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fif" ContentType="image/jpeg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2.xml" ContentType="application/vnd.openxmlformats-officedocument.spreadsheetml.comments+xml"/>
  <Override PartName="/xl/webextensions/webextension1.xml" ContentType="application/vnd.ms-office.webextension+xml"/>
  <Override PartName="/xl/drawings/drawing2.xml" ContentType="application/vnd.openxmlformats-officedocument.drawing+xml"/>
  <Override PartName="/xl/comments3.xml" ContentType="application/vnd.openxmlformats-officedocument.spreadsheetml.comments+xml"/>
  <Override PartName="/xl/webextensions/webextension2.xml" ContentType="application/vnd.ms-office.webextension+xml"/>
  <Override PartName="/xl/drawings/drawing3.xml" ContentType="application/vnd.openxmlformats-officedocument.drawing+xml"/>
  <Override PartName="/xl/webextensions/webextension3.xml" ContentType="application/vnd.ms-office.webextension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webextensions/webextension4.xml" ContentType="application/vnd.ms-office.webextension+xml"/>
  <Override PartName="/xl/drawings/drawing5.xml" ContentType="application/vnd.openxmlformats-officedocument.drawing+xml"/>
  <Override PartName="/xl/webextensions/webextension5.xml" ContentType="application/vnd.ms-office.webextension+xml"/>
  <Override PartName="/xl/drawings/drawing6.xml" ContentType="application/vnd.openxmlformats-officedocument.drawing+xml"/>
  <Override PartName="/xl/comments5.xml" ContentType="application/vnd.openxmlformats-officedocument.spreadsheetml.comments+xml"/>
  <Override PartName="/xl/webextensions/webextension6.xml" ContentType="application/vnd.ms-office.webextension+xml"/>
  <Override PartName="/xl/drawings/drawing7.xml" ContentType="application/vnd.openxmlformats-officedocument.drawing+xml"/>
  <Override PartName="/xl/webextensions/webextension7.xml" ContentType="application/vnd.ms-office.webextension+xml"/>
  <Override PartName="/xl/drawings/drawing8.xml" ContentType="application/vnd.openxmlformats-officedocument.drawing+xml"/>
  <Override PartName="/xl/comments6.xml" ContentType="application/vnd.openxmlformats-officedocument.spreadsheetml.comments+xml"/>
  <Override PartName="/xl/webextensions/webextension8.xml" ContentType="application/vnd.ms-office.webextension+xml"/>
  <Override PartName="/xl/drawings/drawing9.xml" ContentType="application/vnd.openxmlformats-officedocument.drawing+xml"/>
  <Override PartName="/xl/webextensions/webextension9.xml" ContentType="application/vnd.ms-office.webextension+xml"/>
  <Override PartName="/xl/drawings/drawing10.xml" ContentType="application/vnd.openxmlformats-officedocument.drawing+xml"/>
  <Override PartName="/xl/comments7.xml" ContentType="application/vnd.openxmlformats-officedocument.spreadsheetml.comments+xml"/>
  <Override PartName="/xl/webextensions/webextension10.xml" ContentType="application/vnd.ms-office.webextension+xml"/>
  <Override PartName="/xl/drawings/drawing11.xml" ContentType="application/vnd.openxmlformats-officedocument.drawing+xml"/>
  <Override PartName="/xl/comments8.xml" ContentType="application/vnd.openxmlformats-officedocument.spreadsheetml.comments+xml"/>
  <Override PartName="/xl/webextensions/webextension11.xml" ContentType="application/vnd.ms-office.webextension+xml"/>
  <Override PartName="/xl/drawings/drawing12.xml" ContentType="application/vnd.openxmlformats-officedocument.drawing+xml"/>
  <Override PartName="/xl/comments9.xml" ContentType="application/vnd.openxmlformats-officedocument.spreadsheetml.comments+xml"/>
  <Override PartName="/xl/webextensions/webextension12.xml" ContentType="application/vnd.ms-office.webextension+xml"/>
  <Override PartName="/xl/drawings/drawing13.xml" ContentType="application/vnd.openxmlformats-officedocument.drawing+xml"/>
  <Override PartName="/xl/webextensions/webextension13.xml" ContentType="application/vnd.ms-office.webextension+xml"/>
  <Override PartName="/xl/drawings/drawing14.xml" ContentType="application/vnd.openxmlformats-officedocument.drawing+xml"/>
  <Override PartName="/xl/webextensions/webextension14.xml" ContentType="application/vnd.ms-office.webextension+xml"/>
  <Override PartName="/xl/drawings/drawing15.xml" ContentType="application/vnd.openxmlformats-officedocument.drawing+xml"/>
  <Override PartName="/xl/webextensions/webextension15.xml" ContentType="application/vnd.ms-office.webextensi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6.xml" ContentType="application/vnd.ms-office.webextension+xml"/>
  <Override PartName="/xl/webextensions/webextension17.xml" ContentType="application/vnd.ms-office.webextension+xml"/>
  <Override PartName="/xl/webextensions/webextension18.xml" ContentType="application/vnd.ms-office.webextension+xml"/>
  <Override PartName="/xl/webextensions/webextension19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44513576257440d4/Trusted/roofrs/"/>
    </mc:Choice>
  </mc:AlternateContent>
  <xr:revisionPtr revIDLastSave="38" documentId="8_{B7DE474E-5BAB-40E5-85B3-273A36D24BAE}" xr6:coauthVersionLast="47" xr6:coauthVersionMax="47" xr10:uidLastSave="{D2FB1C6F-0410-4857-9641-DF229AB51540}"/>
  <bookViews>
    <workbookView xWindow="-28920" yWindow="-120" windowWidth="29040" windowHeight="15720" tabRatio="718" activeTab="2" xr2:uid="{74C2DFFF-514E-41A1-9650-7A9B7EC34E07}"/>
  </bookViews>
  <sheets>
    <sheet name="R Data" sheetId="11" r:id="rId1"/>
    <sheet name="Input" sheetId="10" r:id="rId2"/>
    <sheet name="B 1" sheetId="3" r:id="rId3"/>
    <sheet name="Roofing RFP - PO" sheetId="14" r:id="rId4"/>
    <sheet name="Roofing WO" sheetId="13" r:id="rId5"/>
    <sheet name="Hardie PO" sheetId="29" r:id="rId6"/>
    <sheet name="Hardie WO" sheetId="30" r:id="rId7"/>
    <sheet name="Vinyl PO" sheetId="18" r:id="rId8"/>
    <sheet name="Vinyl WO" sheetId="25" r:id="rId9"/>
    <sheet name="ET PO" sheetId="20" r:id="rId10"/>
    <sheet name="ET WO" sheetId="19" r:id="rId11"/>
    <sheet name="Jay's PO" sheetId="23" r:id="rId12"/>
    <sheet name="Lift PO" sheetId="24" r:id="rId13"/>
    <sheet name="Scafolding PO" sheetId="31" r:id="rId14"/>
    <sheet name="Painting WO" sheetId="17" r:id="rId15"/>
    <sheet name="Insulation WO" sheetId="22" r:id="rId16"/>
    <sheet name="Summary" sheetId="2" r:id="rId17"/>
    <sheet name="Siding Data" sheetId="15" r:id="rId18"/>
    <sheet name="RoofR" sheetId="27" r:id="rId19"/>
    <sheet name="ELLISDON" sheetId="28" r:id="rId20"/>
    <sheet name="To Build" sheetId="26" r:id="rId21"/>
  </sheets>
  <definedNames>
    <definedName name="_Hlk66694005" localSheetId="2">'B 1'!$S$4</definedName>
    <definedName name="ESTSTATUS">#REF!</definedName>
    <definedName name="OLE_LINK1" localSheetId="2">'B 1'!#REF!</definedName>
    <definedName name="OLE_LINK1" localSheetId="1">Input!#REF!</definedName>
    <definedName name="_xlnm.Print_Area" localSheetId="2">'B 1'!$B$1:$U$94</definedName>
    <definedName name="_xlnm.Print_Area" localSheetId="1">Input!#REF!</definedName>
    <definedName name="_xlnm.Print_Titles" localSheetId="2">'B 1'!$1:$7</definedName>
    <definedName name="_xlnm.Print_Titles" localSheetId="1">Input!$1:$7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Y8" i="2" l="1"/>
  <c r="A8" i="23" a="1"/>
  <c r="A8" i="23" s="1"/>
  <c r="A8" i="20" a="1"/>
  <c r="A8" i="20" s="1"/>
  <c r="A8" i="18" a="1"/>
  <c r="A8" i="18" s="1"/>
  <c r="A8" i="29" a="1"/>
  <c r="A8" i="29" s="1"/>
  <c r="A8" i="14" a="1"/>
  <c r="A8" i="14" s="1"/>
  <c r="B21" i="2"/>
  <c r="C21" i="2"/>
  <c r="H21" i="2"/>
  <c r="L21" i="2"/>
  <c r="M21" i="2"/>
  <c r="Q21" i="2"/>
  <c r="R21" i="2"/>
  <c r="B22" i="2"/>
  <c r="C22" i="2"/>
  <c r="H22" i="2"/>
  <c r="L22" i="2"/>
  <c r="M22" i="2"/>
  <c r="Q22" i="2"/>
  <c r="R22" i="2"/>
  <c r="B23" i="2"/>
  <c r="C23" i="2"/>
  <c r="H23" i="2"/>
  <c r="L23" i="2"/>
  <c r="M23" i="2"/>
  <c r="Q23" i="2"/>
  <c r="R23" i="2"/>
  <c r="B24" i="2"/>
  <c r="C24" i="2"/>
  <c r="H24" i="2"/>
  <c r="L24" i="2"/>
  <c r="M24" i="2"/>
  <c r="Q24" i="2"/>
  <c r="R24" i="2"/>
  <c r="B25" i="2"/>
  <c r="C25" i="2"/>
  <c r="H25" i="2"/>
  <c r="L25" i="2"/>
  <c r="M25" i="2"/>
  <c r="Q25" i="2"/>
  <c r="R25" i="2"/>
  <c r="B26" i="2"/>
  <c r="C26" i="2"/>
  <c r="H26" i="2"/>
  <c r="L26" i="2"/>
  <c r="M26" i="2"/>
  <c r="Q26" i="2"/>
  <c r="R26" i="2"/>
  <c r="B27" i="2"/>
  <c r="C27" i="2"/>
  <c r="H27" i="2"/>
  <c r="L27" i="2"/>
  <c r="M27" i="2"/>
  <c r="Q27" i="2"/>
  <c r="R27" i="2"/>
  <c r="T54" i="2" l="1"/>
  <c r="T99" i="2"/>
  <c r="J99" i="2"/>
  <c r="E99" i="2"/>
  <c r="L45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" i="2"/>
  <c r="Q5" i="2"/>
  <c r="Q6" i="2"/>
  <c r="Q7" i="2"/>
  <c r="Q8" i="2"/>
  <c r="Q9" i="2"/>
  <c r="Q10" i="2"/>
  <c r="Q11" i="2"/>
  <c r="Q12" i="2"/>
  <c r="Q13" i="2"/>
  <c r="Q14" i="2"/>
  <c r="Q15" i="2"/>
  <c r="Q16" i="2"/>
  <c r="Q17" i="2"/>
  <c r="Q18" i="2"/>
  <c r="Q19" i="2"/>
  <c r="Q20" i="2"/>
  <c r="Q28" i="2"/>
  <c r="Q29" i="2"/>
  <c r="Q30" i="2"/>
  <c r="Q31" i="2"/>
  <c r="Q32" i="2"/>
  <c r="Q33" i="2"/>
  <c r="Q34" i="2"/>
  <c r="Q35" i="2"/>
  <c r="Q36" i="2"/>
  <c r="Q37" i="2"/>
  <c r="Q38" i="2"/>
  <c r="Q39" i="2"/>
  <c r="Q40" i="2"/>
  <c r="Q41" i="2"/>
  <c r="Q42" i="2"/>
  <c r="Q43" i="2"/>
  <c r="Q44" i="2"/>
  <c r="Q45" i="2"/>
  <c r="Q4" i="2"/>
  <c r="O182" i="2"/>
  <c r="T104" i="2"/>
  <c r="O104" i="2"/>
  <c r="T103" i="2"/>
  <c r="O103" i="2"/>
  <c r="T102" i="2"/>
  <c r="O102" i="2"/>
  <c r="T101" i="2"/>
  <c r="O101" i="2"/>
  <c r="Q98" i="2"/>
  <c r="Q97" i="2"/>
  <c r="Q96" i="2"/>
  <c r="Q95" i="2"/>
  <c r="Q94" i="2"/>
  <c r="Q93" i="2"/>
  <c r="Q92" i="2"/>
  <c r="Q91" i="2"/>
  <c r="Q90" i="2"/>
  <c r="Q89" i="2"/>
  <c r="Q88" i="2"/>
  <c r="Q87" i="2"/>
  <c r="Q86" i="2"/>
  <c r="Q85" i="2"/>
  <c r="Q84" i="2"/>
  <c r="Q83" i="2"/>
  <c r="Q82" i="2"/>
  <c r="Q81" i="2"/>
  <c r="Q80" i="2"/>
  <c r="Q79" i="2"/>
  <c r="Q78" i="2"/>
  <c r="Q77" i="2"/>
  <c r="Q76" i="2"/>
  <c r="Q75" i="2"/>
  <c r="Q74" i="2"/>
  <c r="Q73" i="2"/>
  <c r="Q72" i="2"/>
  <c r="Q71" i="2"/>
  <c r="Q70" i="2"/>
  <c r="Q69" i="2"/>
  <c r="Q68" i="2"/>
  <c r="Q67" i="2"/>
  <c r="Q66" i="2"/>
  <c r="Q65" i="2"/>
  <c r="Q64" i="2"/>
  <c r="Q63" i="2"/>
  <c r="Q62" i="2"/>
  <c r="Q61" i="2"/>
  <c r="Q60" i="2"/>
  <c r="Q59" i="2"/>
  <c r="Q58" i="2"/>
  <c r="Q57" i="2"/>
  <c r="O54" i="2"/>
  <c r="O99" i="2" s="1"/>
  <c r="J182" i="2"/>
  <c r="J104" i="2"/>
  <c r="J103" i="2"/>
  <c r="J102" i="2"/>
  <c r="J101" i="2"/>
  <c r="J54" i="2"/>
  <c r="T180" i="2" l="1"/>
  <c r="T183" i="2" s="1"/>
  <c r="S183" i="2" s="1"/>
  <c r="O180" i="2"/>
  <c r="O183" i="2" s="1"/>
  <c r="J180" i="2"/>
  <c r="J183" i="2" s="1"/>
  <c r="N182" i="2"/>
  <c r="I182" i="2"/>
  <c r="E102" i="2"/>
  <c r="E103" i="2"/>
  <c r="E104" i="2"/>
  <c r="E101" i="2"/>
  <c r="B98" i="2"/>
  <c r="B97" i="2"/>
  <c r="B96" i="2"/>
  <c r="B95" i="2"/>
  <c r="B94" i="2"/>
  <c r="B93" i="2"/>
  <c r="B92" i="2"/>
  <c r="B91" i="2"/>
  <c r="B90" i="2"/>
  <c r="B89" i="2"/>
  <c r="B88" i="2"/>
  <c r="B87" i="2"/>
  <c r="B86" i="2"/>
  <c r="B85" i="2"/>
  <c r="B84" i="2"/>
  <c r="B83" i="2"/>
  <c r="B82" i="2"/>
  <c r="B81" i="2"/>
  <c r="B80" i="2"/>
  <c r="B79" i="2"/>
  <c r="B78" i="2"/>
  <c r="B77" i="2"/>
  <c r="B76" i="2"/>
  <c r="B75" i="2"/>
  <c r="B74" i="2"/>
  <c r="B73" i="2"/>
  <c r="B72" i="2"/>
  <c r="B71" i="2"/>
  <c r="B70" i="2"/>
  <c r="B69" i="2"/>
  <c r="B68" i="2"/>
  <c r="B67" i="2"/>
  <c r="B66" i="2"/>
  <c r="B65" i="2"/>
  <c r="B64" i="2"/>
  <c r="B63" i="2"/>
  <c r="B62" i="2"/>
  <c r="B61" i="2"/>
  <c r="C45" i="2"/>
  <c r="C44" i="2"/>
  <c r="C43" i="2"/>
  <c r="C42" i="2"/>
  <c r="C41" i="2"/>
  <c r="C40" i="2"/>
  <c r="C39" i="2"/>
  <c r="C38" i="2"/>
  <c r="C37" i="2"/>
  <c r="C36" i="2"/>
  <c r="B45" i="2"/>
  <c r="B44" i="2"/>
  <c r="B43" i="2"/>
  <c r="B42" i="2"/>
  <c r="B41" i="2"/>
  <c r="B40" i="2"/>
  <c r="B39" i="2"/>
  <c r="B38" i="2"/>
  <c r="B37" i="2"/>
  <c r="B36" i="2"/>
  <c r="C35" i="2"/>
  <c r="C34" i="2"/>
  <c r="C33" i="2"/>
  <c r="C32" i="2"/>
  <c r="C31" i="2"/>
  <c r="C30" i="2"/>
  <c r="C29" i="2"/>
  <c r="C28" i="2"/>
  <c r="C20" i="2"/>
  <c r="C19" i="2"/>
  <c r="C18" i="2"/>
  <c r="C17" i="2"/>
  <c r="C16" i="2"/>
  <c r="C15" i="2"/>
  <c r="C14" i="2"/>
  <c r="C13" i="2"/>
  <c r="C12" i="2"/>
  <c r="C11" i="2"/>
  <c r="C10" i="2"/>
  <c r="C9" i="2"/>
  <c r="C8" i="2"/>
  <c r="C7" i="2"/>
  <c r="C6" i="2"/>
  <c r="C5" i="2"/>
  <c r="C4" i="2"/>
  <c r="X8" i="2"/>
  <c r="B35" i="2"/>
  <c r="B34" i="2"/>
  <c r="B33" i="2"/>
  <c r="B32" i="2"/>
  <c r="B31" i="2"/>
  <c r="B30" i="2"/>
  <c r="B29" i="2"/>
  <c r="B28" i="2"/>
  <c r="B20" i="2"/>
  <c r="B19" i="2"/>
  <c r="B18" i="2"/>
  <c r="B17" i="2"/>
  <c r="B16" i="2"/>
  <c r="B15" i="2"/>
  <c r="B14" i="2"/>
  <c r="B13" i="2"/>
  <c r="B12" i="2"/>
  <c r="B11" i="2"/>
  <c r="B10" i="2"/>
  <c r="B9" i="2"/>
  <c r="B8" i="2"/>
  <c r="A231" i="3"/>
  <c r="A303" i="3"/>
  <c r="A377" i="3"/>
  <c r="N12" i="3"/>
  <c r="BE5" i="10"/>
  <c r="BE6" i="10"/>
  <c r="BE7" i="10"/>
  <c r="BE8" i="10"/>
  <c r="BE9" i="10"/>
  <c r="BE10" i="10"/>
  <c r="BE11" i="10"/>
  <c r="BE12" i="10"/>
  <c r="BE13" i="10"/>
  <c r="BE14" i="10"/>
  <c r="BE15" i="10"/>
  <c r="BE16" i="10"/>
  <c r="BE17" i="10"/>
  <c r="BE18" i="10"/>
  <c r="BE19" i="10"/>
  <c r="BE4" i="10"/>
  <c r="M63" i="11"/>
  <c r="M53" i="11"/>
  <c r="C101" i="10"/>
  <c r="C93" i="10"/>
  <c r="C82" i="10"/>
  <c r="A251" i="3" s="1"/>
  <c r="E180" i="2" l="1"/>
  <c r="N183" i="2"/>
  <c r="O184" i="2"/>
  <c r="C59" i="2"/>
  <c r="M6" i="2"/>
  <c r="R6" i="2"/>
  <c r="H6" i="2"/>
  <c r="C63" i="2"/>
  <c r="M10" i="2"/>
  <c r="H10" i="2"/>
  <c r="R10" i="2"/>
  <c r="C67" i="2"/>
  <c r="M14" i="2"/>
  <c r="R14" i="2"/>
  <c r="H14" i="2"/>
  <c r="C71" i="2"/>
  <c r="M18" i="2"/>
  <c r="H18" i="2"/>
  <c r="R18" i="2"/>
  <c r="C75" i="2"/>
  <c r="C79" i="2"/>
  <c r="C83" i="2"/>
  <c r="M30" i="2"/>
  <c r="R30" i="2"/>
  <c r="H30" i="2"/>
  <c r="C87" i="2"/>
  <c r="M34" i="2"/>
  <c r="H34" i="2"/>
  <c r="R34" i="2"/>
  <c r="C89" i="2"/>
  <c r="H36" i="2"/>
  <c r="R36" i="2"/>
  <c r="M36" i="2"/>
  <c r="C93" i="2"/>
  <c r="H40" i="2"/>
  <c r="R40" i="2"/>
  <c r="M40" i="2"/>
  <c r="C97" i="2"/>
  <c r="H44" i="2"/>
  <c r="R44" i="2"/>
  <c r="M44" i="2"/>
  <c r="C60" i="2"/>
  <c r="R7" i="2"/>
  <c r="H7" i="2"/>
  <c r="M7" i="2"/>
  <c r="C64" i="2"/>
  <c r="R11" i="2"/>
  <c r="H11" i="2"/>
  <c r="M11" i="2"/>
  <c r="C68" i="2"/>
  <c r="R15" i="2"/>
  <c r="H15" i="2"/>
  <c r="M15" i="2"/>
  <c r="C72" i="2"/>
  <c r="R19" i="2"/>
  <c r="H19" i="2"/>
  <c r="M19" i="2"/>
  <c r="C76" i="2"/>
  <c r="C80" i="2"/>
  <c r="C84" i="2"/>
  <c r="R31" i="2"/>
  <c r="H31" i="2"/>
  <c r="M31" i="2"/>
  <c r="C88" i="2"/>
  <c r="R35" i="2"/>
  <c r="H35" i="2"/>
  <c r="M35" i="2"/>
  <c r="C90" i="2"/>
  <c r="M37" i="2"/>
  <c r="R37" i="2"/>
  <c r="H37" i="2"/>
  <c r="C94" i="2"/>
  <c r="M41" i="2"/>
  <c r="H41" i="2"/>
  <c r="R41" i="2"/>
  <c r="C98" i="2"/>
  <c r="M45" i="2"/>
  <c r="R45" i="2"/>
  <c r="H45" i="2"/>
  <c r="C57" i="2"/>
  <c r="M4" i="2"/>
  <c r="R4" i="2"/>
  <c r="H4" i="2"/>
  <c r="C61" i="2"/>
  <c r="H8" i="2"/>
  <c r="R8" i="2"/>
  <c r="M8" i="2"/>
  <c r="C65" i="2"/>
  <c r="H12" i="2"/>
  <c r="R12" i="2"/>
  <c r="M12" i="2"/>
  <c r="C69" i="2"/>
  <c r="H16" i="2"/>
  <c r="R16" i="2"/>
  <c r="M16" i="2"/>
  <c r="C73" i="2"/>
  <c r="H20" i="2"/>
  <c r="R20" i="2"/>
  <c r="M20" i="2"/>
  <c r="C77" i="2"/>
  <c r="C81" i="2"/>
  <c r="H28" i="2"/>
  <c r="R28" i="2"/>
  <c r="M28" i="2"/>
  <c r="C85" i="2"/>
  <c r="H32" i="2"/>
  <c r="R32" i="2"/>
  <c r="M32" i="2"/>
  <c r="C91" i="2"/>
  <c r="M38" i="2"/>
  <c r="R38" i="2"/>
  <c r="H38" i="2"/>
  <c r="C95" i="2"/>
  <c r="M42" i="2"/>
  <c r="H42" i="2"/>
  <c r="R42" i="2"/>
  <c r="C58" i="2"/>
  <c r="M5" i="2"/>
  <c r="R5" i="2"/>
  <c r="H5" i="2"/>
  <c r="C62" i="2"/>
  <c r="M9" i="2"/>
  <c r="H9" i="2"/>
  <c r="R9" i="2"/>
  <c r="C66" i="2"/>
  <c r="M13" i="2"/>
  <c r="R13" i="2"/>
  <c r="H13" i="2"/>
  <c r="C70" i="2"/>
  <c r="M17" i="2"/>
  <c r="H17" i="2"/>
  <c r="R17" i="2"/>
  <c r="C74" i="2"/>
  <c r="C78" i="2"/>
  <c r="C82" i="2"/>
  <c r="M29" i="2"/>
  <c r="R29" i="2"/>
  <c r="H29" i="2"/>
  <c r="C86" i="2"/>
  <c r="M33" i="2"/>
  <c r="H33" i="2"/>
  <c r="R33" i="2"/>
  <c r="C92" i="2"/>
  <c r="R39" i="2"/>
  <c r="H39" i="2"/>
  <c r="M39" i="2"/>
  <c r="C96" i="2"/>
  <c r="R43" i="2"/>
  <c r="H43" i="2"/>
  <c r="M43" i="2"/>
  <c r="I183" i="2"/>
  <c r="J184" i="2"/>
  <c r="C136" i="2"/>
  <c r="C132" i="2"/>
  <c r="C120" i="2"/>
  <c r="C116" i="2"/>
  <c r="C145" i="2"/>
  <c r="C141" i="2"/>
  <c r="C128" i="2"/>
  <c r="C112" i="2"/>
  <c r="C137" i="2"/>
  <c r="C124" i="2"/>
  <c r="C108" i="2"/>
  <c r="C133" i="2"/>
  <c r="C129" i="2"/>
  <c r="C125" i="2"/>
  <c r="C121" i="2"/>
  <c r="C117" i="2"/>
  <c r="C113" i="2"/>
  <c r="C109" i="2"/>
  <c r="C144" i="2"/>
  <c r="C140" i="2"/>
  <c r="C105" i="2"/>
  <c r="C143" i="2"/>
  <c r="C139" i="2"/>
  <c r="C135" i="2"/>
  <c r="C131" i="2"/>
  <c r="C127" i="2"/>
  <c r="C123" i="2"/>
  <c r="C119" i="2"/>
  <c r="C115" i="2"/>
  <c r="C111" i="2"/>
  <c r="C107" i="2"/>
  <c r="C146" i="2"/>
  <c r="C142" i="2"/>
  <c r="C138" i="2"/>
  <c r="C134" i="2"/>
  <c r="C130" i="2"/>
  <c r="C126" i="2"/>
  <c r="C122" i="2"/>
  <c r="C118" i="2"/>
  <c r="C114" i="2"/>
  <c r="C110" i="2"/>
  <c r="C106" i="2"/>
  <c r="D237" i="3"/>
  <c r="I46" i="29"/>
  <c r="I45" i="29"/>
  <c r="I44" i="29"/>
  <c r="I43" i="29"/>
  <c r="I42" i="29"/>
  <c r="I35" i="29"/>
  <c r="I36" i="29"/>
  <c r="I37" i="29"/>
  <c r="I38" i="29"/>
  <c r="I34" i="29"/>
  <c r="G32" i="29"/>
  <c r="H32" i="29"/>
  <c r="I32" i="29"/>
  <c r="D254" i="3"/>
  <c r="C251" i="3"/>
  <c r="A268" i="3"/>
  <c r="D268" i="3" s="1"/>
  <c r="D265" i="3"/>
  <c r="A236" i="3"/>
  <c r="C253" i="3"/>
  <c r="C92" i="10"/>
  <c r="C91" i="10"/>
  <c r="C87" i="10"/>
  <c r="M106" i="2" l="1"/>
  <c r="M58" i="2"/>
  <c r="M143" i="2"/>
  <c r="M95" i="2"/>
  <c r="M139" i="2"/>
  <c r="M91" i="2"/>
  <c r="H85" i="2"/>
  <c r="H133" i="2"/>
  <c r="H81" i="2"/>
  <c r="H129" i="2"/>
  <c r="H77" i="2"/>
  <c r="H125" i="2"/>
  <c r="H73" i="2"/>
  <c r="H121" i="2"/>
  <c r="H69" i="2"/>
  <c r="H117" i="2"/>
  <c r="H65" i="2"/>
  <c r="H113" i="2"/>
  <c r="H61" i="2"/>
  <c r="H109" i="2"/>
  <c r="M105" i="2"/>
  <c r="M57" i="2"/>
  <c r="M146" i="2"/>
  <c r="M98" i="2"/>
  <c r="M142" i="2"/>
  <c r="M94" i="2"/>
  <c r="M138" i="2"/>
  <c r="M90" i="2"/>
  <c r="R136" i="2"/>
  <c r="R88" i="2"/>
  <c r="R132" i="2"/>
  <c r="R84" i="2"/>
  <c r="R128" i="2"/>
  <c r="R80" i="2"/>
  <c r="R124" i="2"/>
  <c r="R76" i="2"/>
  <c r="R120" i="2"/>
  <c r="R72" i="2"/>
  <c r="R116" i="2"/>
  <c r="R68" i="2"/>
  <c r="R112" i="2"/>
  <c r="R64" i="2"/>
  <c r="R108" i="2"/>
  <c r="R60" i="2"/>
  <c r="H97" i="2"/>
  <c r="H145" i="2"/>
  <c r="H93" i="2"/>
  <c r="H141" i="2"/>
  <c r="H89" i="2"/>
  <c r="H137" i="2"/>
  <c r="M135" i="2"/>
  <c r="M87" i="2"/>
  <c r="M131" i="2"/>
  <c r="M83" i="2"/>
  <c r="M127" i="2"/>
  <c r="M79" i="2"/>
  <c r="M123" i="2"/>
  <c r="M75" i="2"/>
  <c r="M119" i="2"/>
  <c r="M71" i="2"/>
  <c r="M115" i="2"/>
  <c r="M67" i="2"/>
  <c r="M111" i="2"/>
  <c r="M63" i="2"/>
  <c r="M107" i="2"/>
  <c r="M59" i="2"/>
  <c r="R144" i="2"/>
  <c r="R96" i="2"/>
  <c r="R140" i="2"/>
  <c r="R92" i="2"/>
  <c r="M134" i="2"/>
  <c r="M86" i="2"/>
  <c r="M130" i="2"/>
  <c r="M82" i="2"/>
  <c r="M126" i="2"/>
  <c r="M78" i="2"/>
  <c r="M122" i="2"/>
  <c r="M74" i="2"/>
  <c r="M118" i="2"/>
  <c r="M70" i="2"/>
  <c r="M114" i="2"/>
  <c r="M66" i="2"/>
  <c r="M110" i="2"/>
  <c r="M62" i="2"/>
  <c r="M96" i="2"/>
  <c r="M144" i="2"/>
  <c r="M140" i="2"/>
  <c r="M92" i="2"/>
  <c r="R134" i="2"/>
  <c r="R86" i="2"/>
  <c r="H82" i="2"/>
  <c r="H130" i="2"/>
  <c r="R126" i="2"/>
  <c r="R78" i="2"/>
  <c r="H74" i="2"/>
  <c r="H122" i="2"/>
  <c r="R118" i="2"/>
  <c r="R70" i="2"/>
  <c r="H66" i="2"/>
  <c r="H114" i="2"/>
  <c r="R110" i="2"/>
  <c r="R62" i="2"/>
  <c r="H58" i="2"/>
  <c r="H106" i="2"/>
  <c r="R95" i="2"/>
  <c r="R143" i="2"/>
  <c r="H139" i="2"/>
  <c r="H91" i="2"/>
  <c r="M85" i="2"/>
  <c r="M133" i="2"/>
  <c r="M129" i="2"/>
  <c r="M81" i="2"/>
  <c r="M77" i="2"/>
  <c r="M125" i="2"/>
  <c r="M73" i="2"/>
  <c r="M121" i="2"/>
  <c r="M69" i="2"/>
  <c r="M117" i="2"/>
  <c r="M65" i="2"/>
  <c r="M113" i="2"/>
  <c r="M61" i="2"/>
  <c r="M109" i="2"/>
  <c r="H57" i="2"/>
  <c r="H105" i="2"/>
  <c r="H98" i="2"/>
  <c r="H146" i="2"/>
  <c r="R142" i="2"/>
  <c r="R94" i="2"/>
  <c r="H90" i="2"/>
  <c r="H138" i="2"/>
  <c r="M136" i="2"/>
  <c r="M88" i="2"/>
  <c r="M84" i="2"/>
  <c r="M132" i="2"/>
  <c r="M80" i="2"/>
  <c r="M128" i="2"/>
  <c r="M76" i="2"/>
  <c r="M124" i="2"/>
  <c r="M120" i="2"/>
  <c r="M72" i="2"/>
  <c r="M116" i="2"/>
  <c r="M68" i="2"/>
  <c r="M64" i="2"/>
  <c r="M112" i="2"/>
  <c r="M60" i="2"/>
  <c r="M108" i="2"/>
  <c r="M97" i="2"/>
  <c r="M145" i="2"/>
  <c r="M93" i="2"/>
  <c r="M141" i="2"/>
  <c r="M137" i="2"/>
  <c r="M89" i="2"/>
  <c r="R87" i="2"/>
  <c r="R135" i="2"/>
  <c r="H131" i="2"/>
  <c r="H83" i="2"/>
  <c r="R79" i="2"/>
  <c r="R127" i="2"/>
  <c r="H123" i="2"/>
  <c r="H75" i="2"/>
  <c r="R71" i="2"/>
  <c r="R119" i="2"/>
  <c r="H115" i="2"/>
  <c r="H67" i="2"/>
  <c r="R63" i="2"/>
  <c r="R111" i="2"/>
  <c r="H107" i="2"/>
  <c r="H59" i="2"/>
  <c r="H144" i="2"/>
  <c r="H96" i="2"/>
  <c r="H140" i="2"/>
  <c r="H92" i="2"/>
  <c r="H86" i="2"/>
  <c r="H134" i="2"/>
  <c r="R130" i="2"/>
  <c r="R82" i="2"/>
  <c r="H78" i="2"/>
  <c r="H126" i="2"/>
  <c r="R122" i="2"/>
  <c r="R74" i="2"/>
  <c r="H70" i="2"/>
  <c r="H118" i="2"/>
  <c r="R114" i="2"/>
  <c r="R66" i="2"/>
  <c r="H62" i="2"/>
  <c r="H110" i="2"/>
  <c r="R106" i="2"/>
  <c r="R58" i="2"/>
  <c r="H143" i="2"/>
  <c r="H95" i="2"/>
  <c r="R91" i="2"/>
  <c r="R139" i="2"/>
  <c r="R85" i="2"/>
  <c r="R133" i="2"/>
  <c r="R81" i="2"/>
  <c r="R129" i="2"/>
  <c r="R77" i="2"/>
  <c r="R125" i="2"/>
  <c r="R73" i="2"/>
  <c r="R121" i="2"/>
  <c r="R69" i="2"/>
  <c r="R117" i="2"/>
  <c r="R65" i="2"/>
  <c r="R113" i="2"/>
  <c r="R61" i="2"/>
  <c r="R109" i="2"/>
  <c r="R57" i="2"/>
  <c r="R105" i="2"/>
  <c r="R146" i="2"/>
  <c r="R98" i="2"/>
  <c r="H94" i="2"/>
  <c r="H142" i="2"/>
  <c r="R138" i="2"/>
  <c r="R90" i="2"/>
  <c r="H136" i="2"/>
  <c r="H88" i="2"/>
  <c r="H132" i="2"/>
  <c r="H84" i="2"/>
  <c r="H128" i="2"/>
  <c r="H80" i="2"/>
  <c r="H124" i="2"/>
  <c r="H76" i="2"/>
  <c r="H120" i="2"/>
  <c r="H72" i="2"/>
  <c r="H116" i="2"/>
  <c r="H68" i="2"/>
  <c r="H112" i="2"/>
  <c r="H64" i="2"/>
  <c r="H108" i="2"/>
  <c r="H60" i="2"/>
  <c r="R97" i="2"/>
  <c r="R145" i="2"/>
  <c r="R93" i="2"/>
  <c r="R141" i="2"/>
  <c r="R89" i="2"/>
  <c r="R137" i="2"/>
  <c r="H135" i="2"/>
  <c r="H87" i="2"/>
  <c r="R83" i="2"/>
  <c r="R131" i="2"/>
  <c r="H127" i="2"/>
  <c r="H79" i="2"/>
  <c r="R75" i="2"/>
  <c r="R123" i="2"/>
  <c r="H119" i="2"/>
  <c r="H71" i="2"/>
  <c r="R67" i="2"/>
  <c r="R115" i="2"/>
  <c r="H111" i="2"/>
  <c r="H63" i="2"/>
  <c r="R59" i="2"/>
  <c r="R107" i="2"/>
  <c r="C98" i="10"/>
  <c r="C85" i="10"/>
  <c r="BG103" i="10"/>
  <c r="I42" i="3"/>
  <c r="F107" i="13"/>
  <c r="F68" i="13"/>
  <c r="H68" i="13" s="1"/>
  <c r="F67" i="13"/>
  <c r="H66" i="13"/>
  <c r="N13" i="3"/>
  <c r="N14" i="3"/>
  <c r="AC125" i="3" l="1"/>
  <c r="AC127" i="3" s="1"/>
  <c r="AC126" i="3"/>
  <c r="AC129" i="3"/>
  <c r="AC130" i="3"/>
  <c r="AC133" i="3" s="1"/>
  <c r="AC131" i="3"/>
  <c r="AC132" i="3"/>
  <c r="C136" i="10" l="1"/>
  <c r="C140" i="10"/>
  <c r="BC140" i="10" s="1"/>
  <c r="C139" i="10"/>
  <c r="AZ139" i="10" s="1"/>
  <c r="BC138" i="10"/>
  <c r="C138" i="10"/>
  <c r="AZ138" i="10" s="1"/>
  <c r="C137" i="10"/>
  <c r="C390" i="3" s="1"/>
  <c r="U390" i="3" s="1"/>
  <c r="BC136" i="10"/>
  <c r="C135" i="10"/>
  <c r="AZ135" i="10" s="1"/>
  <c r="C134" i="10"/>
  <c r="BC134" i="10" s="1"/>
  <c r="A388" i="3"/>
  <c r="A389" i="3"/>
  <c r="A390" i="3"/>
  <c r="A391" i="3"/>
  <c r="A392" i="3"/>
  <c r="A393" i="3"/>
  <c r="A387" i="3"/>
  <c r="C388" i="3"/>
  <c r="C393" i="3"/>
  <c r="U393" i="3" s="1"/>
  <c r="C387" i="3"/>
  <c r="U387" i="3" s="1"/>
  <c r="T388" i="3"/>
  <c r="Q386" i="3"/>
  <c r="M386" i="3"/>
  <c r="J386" i="3" s="1"/>
  <c r="H386" i="3"/>
  <c r="AZ134" i="10" l="1"/>
  <c r="C392" i="3"/>
  <c r="U392" i="3" s="1"/>
  <c r="C391" i="3"/>
  <c r="U391" i="3" s="1"/>
  <c r="V387" i="3" s="1"/>
  <c r="O386" i="3"/>
  <c r="T391" i="3" s="1"/>
  <c r="U388" i="3"/>
  <c r="C389" i="3"/>
  <c r="U389" i="3" s="1"/>
  <c r="BC139" i="10"/>
  <c r="BC135" i="10"/>
  <c r="AZ136" i="10"/>
  <c r="BC137" i="10"/>
  <c r="AZ140" i="10"/>
  <c r="AZ137" i="10"/>
  <c r="S122" i="10" l="1"/>
  <c r="S96" i="10"/>
  <c r="S67" i="10"/>
  <c r="S37" i="10"/>
  <c r="D15" i="14"/>
  <c r="X100" i="3"/>
  <c r="F14" i="30"/>
  <c r="C52" i="10"/>
  <c r="D42" i="3"/>
  <c r="I26" i="25"/>
  <c r="I19" i="25"/>
  <c r="H20" i="25"/>
  <c r="H21" i="25"/>
  <c r="H22" i="25"/>
  <c r="H23" i="25"/>
  <c r="H24" i="25"/>
  <c r="H25" i="25"/>
  <c r="H26" i="25"/>
  <c r="H27" i="25"/>
  <c r="H28" i="25"/>
  <c r="H29" i="25"/>
  <c r="H31" i="25"/>
  <c r="H32" i="25"/>
  <c r="H33" i="25"/>
  <c r="H34" i="25"/>
  <c r="H35" i="25"/>
  <c r="H36" i="25"/>
  <c r="H37" i="25"/>
  <c r="H38" i="25"/>
  <c r="H39" i="25"/>
  <c r="H40" i="25"/>
  <c r="H41" i="25"/>
  <c r="H42" i="25"/>
  <c r="G16" i="18"/>
  <c r="I18" i="18"/>
  <c r="I20" i="25" s="1"/>
  <c r="I26" i="18"/>
  <c r="I28" i="25" s="1"/>
  <c r="I27" i="18"/>
  <c r="I29" i="25" s="1"/>
  <c r="I25" i="18"/>
  <c r="I27" i="25" s="1"/>
  <c r="I19" i="30"/>
  <c r="I20" i="30"/>
  <c r="I22" i="30"/>
  <c r="I23" i="30"/>
  <c r="I24" i="30"/>
  <c r="I25" i="30"/>
  <c r="I28" i="30"/>
  <c r="I29" i="30"/>
  <c r="I30" i="30"/>
  <c r="I33" i="30"/>
  <c r="I37" i="30"/>
  <c r="I39" i="30"/>
  <c r="I40" i="30"/>
  <c r="I41" i="30"/>
  <c r="I42" i="30"/>
  <c r="I45" i="30"/>
  <c r="I48" i="30"/>
  <c r="I49" i="30"/>
  <c r="I18" i="30"/>
  <c r="H19" i="30"/>
  <c r="H20" i="30"/>
  <c r="H22" i="30"/>
  <c r="H23" i="30"/>
  <c r="H24" i="30"/>
  <c r="H25" i="30"/>
  <c r="H26" i="30"/>
  <c r="H27" i="30"/>
  <c r="H28" i="30"/>
  <c r="H29" i="30"/>
  <c r="H30" i="30"/>
  <c r="H31" i="30"/>
  <c r="H32" i="30"/>
  <c r="H33" i="30"/>
  <c r="H34" i="30"/>
  <c r="H35" i="30"/>
  <c r="H36" i="30"/>
  <c r="H37" i="30"/>
  <c r="H38" i="30"/>
  <c r="H39" i="30"/>
  <c r="H40" i="30"/>
  <c r="H41" i="30"/>
  <c r="H42" i="30"/>
  <c r="H43" i="30"/>
  <c r="H44" i="30"/>
  <c r="H45" i="30"/>
  <c r="H46" i="30"/>
  <c r="H47" i="30"/>
  <c r="H48" i="30"/>
  <c r="H49" i="30"/>
  <c r="I44" i="30"/>
  <c r="I46" i="30"/>
  <c r="I47" i="30"/>
  <c r="I43" i="30"/>
  <c r="I35" i="30"/>
  <c r="I36" i="30"/>
  <c r="I38" i="30"/>
  <c r="I34" i="30"/>
  <c r="I31" i="29"/>
  <c r="I32" i="30" s="1"/>
  <c r="I30" i="29"/>
  <c r="I31" i="30" s="1"/>
  <c r="I25" i="29"/>
  <c r="I26" i="30" s="1"/>
  <c r="I26" i="29"/>
  <c r="I27" i="30" s="1"/>
  <c r="I24" i="29"/>
  <c r="H48" i="29"/>
  <c r="G48" i="29"/>
  <c r="G49" i="30" s="1"/>
  <c r="H47" i="29"/>
  <c r="G47" i="29"/>
  <c r="G48" i="30" s="1"/>
  <c r="H46" i="29"/>
  <c r="H45" i="29"/>
  <c r="H44" i="29"/>
  <c r="H43" i="29"/>
  <c r="H42" i="29"/>
  <c r="H41" i="29"/>
  <c r="G41" i="29"/>
  <c r="G42" i="30" s="1"/>
  <c r="G16" i="29"/>
  <c r="H19" i="29"/>
  <c r="H20" i="29"/>
  <c r="G21" i="29"/>
  <c r="G22" i="30" s="1"/>
  <c r="H21" i="29"/>
  <c r="G22" i="29"/>
  <c r="G23" i="30" s="1"/>
  <c r="H22" i="29"/>
  <c r="H23" i="29"/>
  <c r="H24" i="29"/>
  <c r="H25" i="29"/>
  <c r="H26" i="29"/>
  <c r="H27" i="29"/>
  <c r="H28" i="29"/>
  <c r="H29" i="29"/>
  <c r="H30" i="29"/>
  <c r="H31" i="29"/>
  <c r="H33" i="29"/>
  <c r="H35" i="29"/>
  <c r="H36" i="29"/>
  <c r="H37" i="29"/>
  <c r="H38" i="29"/>
  <c r="H40" i="29"/>
  <c r="J203" i="3"/>
  <c r="A20" i="29"/>
  <c r="A21" i="29" s="1"/>
  <c r="A23" i="29" s="1"/>
  <c r="A24" i="29" s="1"/>
  <c r="A20" i="14"/>
  <c r="A21" i="14" s="1"/>
  <c r="A23" i="14" s="1"/>
  <c r="A24" i="14" s="1"/>
  <c r="A20" i="18"/>
  <c r="A21" i="18" s="1"/>
  <c r="A23" i="18" s="1"/>
  <c r="A24" i="18" s="1"/>
  <c r="AR40" i="3"/>
  <c r="AX19" i="3"/>
  <c r="AP19" i="3"/>
  <c r="AH19" i="3"/>
  <c r="N19" i="3"/>
  <c r="Z19" i="3"/>
  <c r="AX17" i="3"/>
  <c r="AP17" i="3"/>
  <c r="AH17" i="3"/>
  <c r="Z17" i="3"/>
  <c r="N17" i="3"/>
  <c r="B17" i="3"/>
  <c r="B16" i="3"/>
  <c r="B15" i="3"/>
  <c r="B14" i="3"/>
  <c r="Z13" i="3"/>
  <c r="B13" i="3"/>
  <c r="J357" i="3"/>
  <c r="O357" i="3" s="1"/>
  <c r="M357" i="3"/>
  <c r="C45" i="10"/>
  <c r="BE108" i="10"/>
  <c r="BH107" i="10"/>
  <c r="BG107" i="10"/>
  <c r="BE107" i="10"/>
  <c r="BH106" i="10"/>
  <c r="BG106" i="10"/>
  <c r="BE106" i="10"/>
  <c r="BH105" i="10"/>
  <c r="BG105" i="10"/>
  <c r="BE105" i="10"/>
  <c r="BH104" i="10"/>
  <c r="BG104" i="10"/>
  <c r="BE104" i="10"/>
  <c r="BH103" i="10"/>
  <c r="BE103" i="10"/>
  <c r="BH85" i="10"/>
  <c r="BH84" i="10"/>
  <c r="BH83" i="10"/>
  <c r="BH82" i="10"/>
  <c r="BH81" i="10"/>
  <c r="BC81" i="10"/>
  <c r="BB81" i="10"/>
  <c r="S357" i="3" l="1"/>
  <c r="Q357" i="3"/>
  <c r="T357" i="3"/>
  <c r="D370" i="3"/>
  <c r="D296" i="3"/>
  <c r="D224" i="3"/>
  <c r="D165" i="3"/>
  <c r="D163" i="3"/>
  <c r="D157" i="3"/>
  <c r="J157" i="3" s="1"/>
  <c r="AN33" i="3"/>
  <c r="AX27" i="3"/>
  <c r="AW27" i="3"/>
  <c r="AP27" i="3"/>
  <c r="AO27" i="3"/>
  <c r="AH27" i="3"/>
  <c r="AG27" i="3"/>
  <c r="B28" i="3"/>
  <c r="B27" i="3"/>
  <c r="Y27" i="3"/>
  <c r="Z27" i="3"/>
  <c r="N28" i="3"/>
  <c r="N27" i="3"/>
  <c r="AX22" i="3"/>
  <c r="AP22" i="3"/>
  <c r="AH22" i="3"/>
  <c r="Z22" i="3"/>
  <c r="N22" i="3"/>
  <c r="AX21" i="3"/>
  <c r="AP21" i="3"/>
  <c r="AH21" i="3"/>
  <c r="Z21" i="3"/>
  <c r="N21" i="3"/>
  <c r="AX20" i="3"/>
  <c r="AP20" i="3"/>
  <c r="AH20" i="3"/>
  <c r="Z20" i="3"/>
  <c r="N20" i="3"/>
  <c r="AW19" i="3"/>
  <c r="AO19" i="3"/>
  <c r="AG19" i="3"/>
  <c r="Y19" i="3"/>
  <c r="B19" i="3"/>
  <c r="AX18" i="3"/>
  <c r="AW18" i="3"/>
  <c r="AP18" i="3"/>
  <c r="AO18" i="3"/>
  <c r="AH18" i="3"/>
  <c r="AG18" i="3"/>
  <c r="Z18" i="3"/>
  <c r="Y18" i="3"/>
  <c r="N18" i="3"/>
  <c r="B18" i="3"/>
  <c r="H10" i="17"/>
  <c r="A20" i="31"/>
  <c r="A21" i="31" s="1"/>
  <c r="A23" i="31" s="1"/>
  <c r="A24" i="31" s="1"/>
  <c r="F13" i="31"/>
  <c r="H11" i="31"/>
  <c r="H10" i="31"/>
  <c r="C10" i="31"/>
  <c r="F5" i="31"/>
  <c r="C15" i="31" s="1"/>
  <c r="H10" i="19"/>
  <c r="I14" i="25"/>
  <c r="H10" i="25"/>
  <c r="F5" i="30"/>
  <c r="D15" i="30" s="1"/>
  <c r="A20" i="20"/>
  <c r="A21" i="20" s="1"/>
  <c r="A23" i="20" s="1"/>
  <c r="A24" i="20" s="1"/>
  <c r="H10" i="14"/>
  <c r="G5" i="13"/>
  <c r="AO12" i="3"/>
  <c r="AX16" i="3"/>
  <c r="AX15" i="3"/>
  <c r="AW16" i="3"/>
  <c r="AW17" i="3"/>
  <c r="AW15" i="3"/>
  <c r="AP16" i="3"/>
  <c r="AP15" i="3"/>
  <c r="AO17" i="3"/>
  <c r="AO16" i="3"/>
  <c r="AO15" i="3"/>
  <c r="AG16" i="3"/>
  <c r="AH16" i="3"/>
  <c r="AH15" i="3"/>
  <c r="AG17" i="3"/>
  <c r="AG15" i="3"/>
  <c r="Y17" i="3"/>
  <c r="Y16" i="3"/>
  <c r="Y15" i="3"/>
  <c r="Z16" i="3"/>
  <c r="Z15" i="3"/>
  <c r="N16" i="3"/>
  <c r="N15" i="3"/>
  <c r="BF20" i="3"/>
  <c r="BG20" i="3"/>
  <c r="BH20" i="3"/>
  <c r="BI20" i="3"/>
  <c r="BJ20" i="3"/>
  <c r="BK20" i="3"/>
  <c r="BL20" i="3"/>
  <c r="BM20" i="3"/>
  <c r="BN20" i="3"/>
  <c r="BO20" i="3"/>
  <c r="BP20" i="3"/>
  <c r="BE20" i="3"/>
  <c r="AW14" i="3"/>
  <c r="AX14" i="3"/>
  <c r="AP14" i="3"/>
  <c r="AO14" i="3"/>
  <c r="AG14" i="3"/>
  <c r="AH14" i="3"/>
  <c r="Z14" i="3"/>
  <c r="Y14" i="3"/>
  <c r="AX13" i="3"/>
  <c r="AW13" i="3"/>
  <c r="AP13" i="3"/>
  <c r="AO13" i="3"/>
  <c r="AH13" i="3"/>
  <c r="AG13" i="3"/>
  <c r="Y13" i="3"/>
  <c r="AW12" i="3"/>
  <c r="AG12" i="3"/>
  <c r="Y12" i="3"/>
  <c r="B12" i="3"/>
  <c r="AX12" i="3"/>
  <c r="AP12" i="3"/>
  <c r="AH12" i="3"/>
  <c r="Z12" i="3"/>
  <c r="H18" i="30"/>
  <c r="C11" i="25"/>
  <c r="E10" i="25"/>
  <c r="C11" i="30"/>
  <c r="E10" i="30"/>
  <c r="B12" i="30"/>
  <c r="H11" i="30"/>
  <c r="H10" i="30"/>
  <c r="H17" i="29"/>
  <c r="F13" i="29"/>
  <c r="H11" i="29"/>
  <c r="H10" i="29"/>
  <c r="C10" i="29"/>
  <c r="F5" i="29"/>
  <c r="C15" i="29" s="1"/>
  <c r="F14" i="22"/>
  <c r="B12" i="22"/>
  <c r="H11" i="22"/>
  <c r="H10" i="22"/>
  <c r="F14" i="17"/>
  <c r="B12" i="17"/>
  <c r="H11" i="17"/>
  <c r="F13" i="24"/>
  <c r="H11" i="24"/>
  <c r="H10" i="24"/>
  <c r="C10" i="24"/>
  <c r="F13" i="23"/>
  <c r="H11" i="23"/>
  <c r="H10" i="23"/>
  <c r="C10" i="23"/>
  <c r="F13" i="20"/>
  <c r="H11" i="20"/>
  <c r="H10" i="20"/>
  <c r="C10" i="20"/>
  <c r="BP21" i="3" l="1"/>
  <c r="BH21" i="3"/>
  <c r="BG22" i="3"/>
  <c r="BG21" i="3"/>
  <c r="BK21" i="3"/>
  <c r="Q157" i="3"/>
  <c r="S157" i="3"/>
  <c r="M157" i="3"/>
  <c r="O157" i="3"/>
  <c r="BJ22" i="3"/>
  <c r="BP22" i="3"/>
  <c r="BM22" i="3"/>
  <c r="BM21" i="3"/>
  <c r="BN21" i="3"/>
  <c r="BE21" i="3"/>
  <c r="BJ21" i="3"/>
  <c r="F13" i="18"/>
  <c r="H11" i="18"/>
  <c r="H10" i="18"/>
  <c r="C10" i="18"/>
  <c r="F10" i="13"/>
  <c r="D11" i="13"/>
  <c r="I33" i="14"/>
  <c r="A118" i="3"/>
  <c r="A116" i="3"/>
  <c r="C10" i="14"/>
  <c r="F13" i="14"/>
  <c r="AF99" i="3"/>
  <c r="C23" i="3"/>
  <c r="C58" i="10"/>
  <c r="C69" i="10" s="1"/>
  <c r="C60" i="10"/>
  <c r="C68" i="10" s="1"/>
  <c r="C72" i="10"/>
  <c r="C66" i="10"/>
  <c r="C67" i="10" s="1"/>
  <c r="AV25" i="10"/>
  <c r="AV26" i="10"/>
  <c r="AV28" i="10"/>
  <c r="C28" i="10"/>
  <c r="C50" i="10" a="1"/>
  <c r="C50" i="10" s="1"/>
  <c r="C41" i="10"/>
  <c r="C97" i="10"/>
  <c r="C83" i="10" s="1"/>
  <c r="H35" i="3"/>
  <c r="H34" i="3"/>
  <c r="C71" i="10" l="1"/>
  <c r="A188" i="3"/>
  <c r="T157" i="3"/>
  <c r="I19" i="14"/>
  <c r="I34" i="14"/>
  <c r="I32" i="14"/>
  <c r="I31" i="14"/>
  <c r="I30" i="14"/>
  <c r="I29" i="14"/>
  <c r="I25" i="14"/>
  <c r="I24" i="14"/>
  <c r="G34" i="14"/>
  <c r="G33" i="14"/>
  <c r="AS55" i="10" l="1"/>
  <c r="AS54" i="10"/>
  <c r="AN55" i="10"/>
  <c r="AN54" i="10"/>
  <c r="AI55" i="10"/>
  <c r="AI54" i="10"/>
  <c r="AD55" i="10"/>
  <c r="AD54" i="10"/>
  <c r="Y55" i="10"/>
  <c r="Y54" i="10"/>
  <c r="T55" i="10"/>
  <c r="T54" i="10"/>
  <c r="N55" i="10"/>
  <c r="S55" i="10" s="1"/>
  <c r="N54" i="10"/>
  <c r="S54" i="10" s="1"/>
  <c r="I55" i="10"/>
  <c r="C48" i="10" a="1"/>
  <c r="C48" i="10" s="1"/>
  <c r="C47" i="10" a="1"/>
  <c r="C47" i="10" s="1"/>
  <c r="C49" i="10" a="1"/>
  <c r="C49" i="10" s="1"/>
  <c r="C51" i="10" a="1"/>
  <c r="C51" i="10" s="1"/>
  <c r="C46" i="10" a="1"/>
  <c r="C46" i="10" s="1"/>
  <c r="C42" i="10"/>
  <c r="C30" i="10"/>
  <c r="B69" i="3"/>
  <c r="L370" i="3"/>
  <c r="L369" i="3"/>
  <c r="L368" i="3"/>
  <c r="L364" i="3"/>
  <c r="L359" i="3"/>
  <c r="L355" i="3"/>
  <c r="L296" i="3"/>
  <c r="L295" i="3"/>
  <c r="L294" i="3"/>
  <c r="L290" i="3"/>
  <c r="L285" i="3"/>
  <c r="L281" i="3"/>
  <c r="L165" i="3"/>
  <c r="L164" i="3"/>
  <c r="L163" i="3"/>
  <c r="L224" i="3"/>
  <c r="L223" i="3"/>
  <c r="L222" i="3"/>
  <c r="L218" i="3"/>
  <c r="L213" i="3"/>
  <c r="L209" i="3"/>
  <c r="L154" i="3"/>
  <c r="L150" i="3"/>
  <c r="C55" i="10" l="1"/>
  <c r="W14" i="3"/>
  <c r="W13" i="3"/>
  <c r="AE122" i="10"/>
  <c r="AD122" i="10"/>
  <c r="AC122" i="10"/>
  <c r="AB122" i="10"/>
  <c r="AA122" i="10"/>
  <c r="Z122" i="10"/>
  <c r="Y122" i="10"/>
  <c r="X122" i="10"/>
  <c r="W122" i="10"/>
  <c r="V122" i="10"/>
  <c r="U122" i="10"/>
  <c r="AE96" i="10"/>
  <c r="AD96" i="10"/>
  <c r="AC96" i="10"/>
  <c r="AB96" i="10"/>
  <c r="AA96" i="10"/>
  <c r="Z96" i="10"/>
  <c r="Y96" i="10"/>
  <c r="X96" i="10"/>
  <c r="W96" i="10"/>
  <c r="V96" i="10"/>
  <c r="U96" i="10"/>
  <c r="AE67" i="10"/>
  <c r="AD67" i="10"/>
  <c r="AC67" i="10"/>
  <c r="AB67" i="10"/>
  <c r="AA67" i="10"/>
  <c r="Z67" i="10"/>
  <c r="Y67" i="10"/>
  <c r="X67" i="10"/>
  <c r="W67" i="10"/>
  <c r="V67" i="10"/>
  <c r="U67" i="10"/>
  <c r="AE37" i="10"/>
  <c r="AD37" i="10"/>
  <c r="AC37" i="10"/>
  <c r="AB37" i="10"/>
  <c r="AA37" i="10"/>
  <c r="Z37" i="10"/>
  <c r="Y37" i="10"/>
  <c r="X37" i="10"/>
  <c r="W37" i="10"/>
  <c r="V37" i="10"/>
  <c r="U37" i="10"/>
  <c r="AV34" i="3" l="1"/>
  <c r="AV35" i="3"/>
  <c r="AV33" i="3"/>
  <c r="AW90" i="3"/>
  <c r="AW92" i="3"/>
  <c r="AF121" i="3" s="1"/>
  <c r="AV39" i="3"/>
  <c r="D39" i="3"/>
  <c r="C110" i="10"/>
  <c r="C103" i="10"/>
  <c r="C80" i="10"/>
  <c r="C31" i="10"/>
  <c r="C34" i="10"/>
  <c r="AV20" i="10"/>
  <c r="C20" i="10" s="1"/>
  <c r="AV19" i="10"/>
  <c r="AV18" i="10"/>
  <c r="AV17" i="10"/>
  <c r="AV16" i="10"/>
  <c r="AV15" i="10"/>
  <c r="AV14" i="10"/>
  <c r="AV13" i="10"/>
  <c r="AV12" i="10"/>
  <c r="AV11" i="10"/>
  <c r="AV10" i="10"/>
  <c r="AV9" i="10"/>
  <c r="AV8" i="10"/>
  <c r="AV7" i="10"/>
  <c r="AV6" i="10"/>
  <c r="AV5" i="10"/>
  <c r="AV4" i="10"/>
  <c r="E20" i="26"/>
  <c r="E21" i="26"/>
  <c r="E22" i="26"/>
  <c r="E23" i="26"/>
  <c r="E24" i="26"/>
  <c r="E25" i="26"/>
  <c r="E26" i="26"/>
  <c r="E27" i="26"/>
  <c r="E28" i="26"/>
  <c r="E29" i="26"/>
  <c r="E30" i="26"/>
  <c r="E31" i="26"/>
  <c r="E32" i="26"/>
  <c r="E33" i="26"/>
  <c r="E34" i="26"/>
  <c r="E35" i="26"/>
  <c r="E19" i="26"/>
  <c r="E18" i="26"/>
  <c r="E15" i="26"/>
  <c r="Y90" i="3"/>
  <c r="BD110" i="10" l="1"/>
  <c r="BA110" i="10"/>
  <c r="C43" i="10"/>
  <c r="C88" i="10"/>
  <c r="E36" i="26"/>
  <c r="E37" i="26" s="1"/>
  <c r="E38" i="26" s="1"/>
  <c r="L102" i="3" l="1"/>
  <c r="M102" i="3" s="1"/>
  <c r="L101" i="3"/>
  <c r="M101" i="3" s="1"/>
  <c r="A38" i="3"/>
  <c r="M105" i="3"/>
  <c r="AO90" i="3"/>
  <c r="C114" i="3" l="1"/>
  <c r="D118" i="3"/>
  <c r="J118" i="3" s="1"/>
  <c r="O118" i="3" s="1"/>
  <c r="T118" i="3" s="1"/>
  <c r="D117" i="3"/>
  <c r="J117" i="3" s="1"/>
  <c r="O117" i="3" s="1"/>
  <c r="T117" i="3" s="1"/>
  <c r="D119" i="3"/>
  <c r="J119" i="3" s="1"/>
  <c r="O119" i="3" s="1"/>
  <c r="T119" i="3" s="1"/>
  <c r="F370" i="3" l="1"/>
  <c r="F369" i="3"/>
  <c r="D369" i="3"/>
  <c r="D368" i="3"/>
  <c r="F296" i="3"/>
  <c r="F295" i="3"/>
  <c r="D295" i="3"/>
  <c r="D294" i="3"/>
  <c r="F224" i="3"/>
  <c r="F223" i="3"/>
  <c r="D223" i="3"/>
  <c r="D222" i="3"/>
  <c r="D164" i="3"/>
  <c r="F165" i="3"/>
  <c r="F164" i="3"/>
  <c r="D86" i="3"/>
  <c r="D87" i="3"/>
  <c r="D88" i="3"/>
  <c r="F87" i="3"/>
  <c r="F88" i="3"/>
  <c r="X382" i="3" a="1"/>
  <c r="X382" i="3" s="1"/>
  <c r="L159" i="3"/>
  <c r="D375" i="3"/>
  <c r="D372" i="3"/>
  <c r="N331" i="3"/>
  <c r="A309" i="3"/>
  <c r="C321" i="3"/>
  <c r="N321" i="3" s="1"/>
  <c r="J367" i="3"/>
  <c r="O367" i="3" s="1"/>
  <c r="J366" i="3"/>
  <c r="S366" i="3" s="1"/>
  <c r="J365" i="3"/>
  <c r="O365" i="3" s="1"/>
  <c r="D362" i="3"/>
  <c r="J361" i="3"/>
  <c r="O361" i="3" s="1"/>
  <c r="J360" i="3"/>
  <c r="O360" i="3" s="1"/>
  <c r="J358" i="3"/>
  <c r="O358" i="3" s="1"/>
  <c r="J356" i="3"/>
  <c r="O356" i="3" s="1"/>
  <c r="AN39" i="3"/>
  <c r="AF39" i="3"/>
  <c r="X39" i="3"/>
  <c r="C143" i="3"/>
  <c r="N133" i="3"/>
  <c r="C139" i="3"/>
  <c r="N126" i="3"/>
  <c r="N124" i="3"/>
  <c r="C132" i="3"/>
  <c r="N132" i="3" s="1"/>
  <c r="C135" i="3"/>
  <c r="N135" i="3" s="1"/>
  <c r="D309" i="3" l="1"/>
  <c r="J309" i="3" s="1"/>
  <c r="O309" i="3" s="1"/>
  <c r="T309" i="3" s="1"/>
  <c r="Q358" i="3"/>
  <c r="M366" i="3"/>
  <c r="O366" i="3"/>
  <c r="Q356" i="3"/>
  <c r="Q361" i="3"/>
  <c r="Q365" i="3"/>
  <c r="Q360" i="3"/>
  <c r="Q367" i="3"/>
  <c r="D363" i="3"/>
  <c r="J363" i="3" s="1"/>
  <c r="J362" i="3"/>
  <c r="S356" i="3"/>
  <c r="S358" i="3"/>
  <c r="S367" i="3"/>
  <c r="M356" i="3"/>
  <c r="M358" i="3"/>
  <c r="M361" i="3"/>
  <c r="M365" i="3"/>
  <c r="Q366" i="3"/>
  <c r="M367" i="3"/>
  <c r="S365" i="3"/>
  <c r="M360" i="3"/>
  <c r="C134" i="3"/>
  <c r="N134" i="3" s="1"/>
  <c r="C127" i="3"/>
  <c r="N127" i="3" s="1"/>
  <c r="T358" i="3" l="1"/>
  <c r="D333" i="3"/>
  <c r="T366" i="3"/>
  <c r="T356" i="3"/>
  <c r="T367" i="3"/>
  <c r="O362" i="3"/>
  <c r="M362" i="3"/>
  <c r="S362" i="3"/>
  <c r="Q362" i="3"/>
  <c r="T365" i="3"/>
  <c r="Q363" i="3"/>
  <c r="O363" i="3"/>
  <c r="M363" i="3"/>
  <c r="S363" i="3"/>
  <c r="C145" i="3"/>
  <c r="C128" i="3"/>
  <c r="N128" i="3" s="1"/>
  <c r="F37" i="10"/>
  <c r="G37" i="10"/>
  <c r="H37" i="10"/>
  <c r="I37" i="10"/>
  <c r="J37" i="10"/>
  <c r="K37" i="10"/>
  <c r="L37" i="10"/>
  <c r="M37" i="10"/>
  <c r="N37" i="10"/>
  <c r="O37" i="10"/>
  <c r="P37" i="10"/>
  <c r="Q37" i="10"/>
  <c r="R37" i="10"/>
  <c r="T37" i="10"/>
  <c r="AF37" i="10"/>
  <c r="AG37" i="10"/>
  <c r="AH37" i="10"/>
  <c r="AI37" i="10"/>
  <c r="AJ37" i="10"/>
  <c r="AK37" i="10"/>
  <c r="AL37" i="10"/>
  <c r="AM37" i="10"/>
  <c r="AN37" i="10"/>
  <c r="AO37" i="10"/>
  <c r="AP37" i="10"/>
  <c r="AQ37" i="10"/>
  <c r="AR37" i="10"/>
  <c r="AS37" i="10"/>
  <c r="AT37" i="10"/>
  <c r="E37" i="10"/>
  <c r="F67" i="10"/>
  <c r="G67" i="10"/>
  <c r="H67" i="10"/>
  <c r="I67" i="10"/>
  <c r="J67" i="10"/>
  <c r="K67" i="10"/>
  <c r="L67" i="10"/>
  <c r="M67" i="10"/>
  <c r="N67" i="10"/>
  <c r="O67" i="10"/>
  <c r="P67" i="10"/>
  <c r="Q67" i="10"/>
  <c r="R67" i="10"/>
  <c r="T67" i="10"/>
  <c r="AF67" i="10"/>
  <c r="AG67" i="10"/>
  <c r="AH67" i="10"/>
  <c r="AI67" i="10"/>
  <c r="AJ67" i="10"/>
  <c r="AK67" i="10"/>
  <c r="AL67" i="10"/>
  <c r="AM67" i="10"/>
  <c r="AN67" i="10"/>
  <c r="AO67" i="10"/>
  <c r="AP67" i="10"/>
  <c r="AQ67" i="10"/>
  <c r="AR67" i="10"/>
  <c r="AS67" i="10"/>
  <c r="AT67" i="10"/>
  <c r="E67" i="10"/>
  <c r="F96" i="10"/>
  <c r="G96" i="10"/>
  <c r="H96" i="10"/>
  <c r="I96" i="10"/>
  <c r="J96" i="10"/>
  <c r="K96" i="10"/>
  <c r="L96" i="10"/>
  <c r="M96" i="10"/>
  <c r="N96" i="10"/>
  <c r="O96" i="10"/>
  <c r="P96" i="10"/>
  <c r="Q96" i="10"/>
  <c r="R96" i="10"/>
  <c r="T96" i="10"/>
  <c r="AF96" i="10"/>
  <c r="AG96" i="10"/>
  <c r="AH96" i="10"/>
  <c r="AI96" i="10"/>
  <c r="AJ96" i="10"/>
  <c r="AK96" i="10"/>
  <c r="AL96" i="10"/>
  <c r="AM96" i="10"/>
  <c r="AN96" i="10"/>
  <c r="AO96" i="10"/>
  <c r="AP96" i="10"/>
  <c r="AQ96" i="10"/>
  <c r="AR96" i="10"/>
  <c r="AS96" i="10"/>
  <c r="AT96" i="10"/>
  <c r="E96" i="10"/>
  <c r="AN35" i="3"/>
  <c r="AF35" i="3"/>
  <c r="X35" i="3"/>
  <c r="AN34" i="3"/>
  <c r="AF34" i="3"/>
  <c r="X34" i="3"/>
  <c r="AF33" i="3"/>
  <c r="X33" i="3"/>
  <c r="C128" i="10"/>
  <c r="C129" i="10"/>
  <c r="BA129" i="10" s="1"/>
  <c r="C130" i="10"/>
  <c r="BD130" i="10" s="1"/>
  <c r="C123" i="10"/>
  <c r="C120" i="10"/>
  <c r="C121" i="10"/>
  <c r="F122" i="10"/>
  <c r="G122" i="10"/>
  <c r="H122" i="10"/>
  <c r="I122" i="10"/>
  <c r="J122" i="10"/>
  <c r="K122" i="10"/>
  <c r="L122" i="10"/>
  <c r="M122" i="10"/>
  <c r="N122" i="10"/>
  <c r="O122" i="10"/>
  <c r="P122" i="10"/>
  <c r="Q122" i="10"/>
  <c r="R122" i="10"/>
  <c r="T122" i="10"/>
  <c r="AF122" i="10"/>
  <c r="AG122" i="10"/>
  <c r="AH122" i="10"/>
  <c r="AI122" i="10"/>
  <c r="AJ122" i="10"/>
  <c r="AK122" i="10"/>
  <c r="AL122" i="10"/>
  <c r="AM122" i="10"/>
  <c r="AN122" i="10"/>
  <c r="AO122" i="10"/>
  <c r="AP122" i="10"/>
  <c r="AQ122" i="10"/>
  <c r="AR122" i="10"/>
  <c r="AS122" i="10"/>
  <c r="AT122" i="10"/>
  <c r="E122" i="10"/>
  <c r="C119" i="10"/>
  <c r="C127" i="10"/>
  <c r="C126" i="10"/>
  <c r="C125" i="10"/>
  <c r="C124" i="10"/>
  <c r="C118" i="10"/>
  <c r="C117" i="10"/>
  <c r="C116" i="10"/>
  <c r="C115" i="10"/>
  <c r="C114" i="10"/>
  <c r="C113" i="10"/>
  <c r="C112" i="10"/>
  <c r="C111" i="10"/>
  <c r="BD111" i="10" s="1"/>
  <c r="C75" i="10"/>
  <c r="J211" i="3"/>
  <c r="M211" i="3" s="1"/>
  <c r="J152" i="3"/>
  <c r="M152" i="3" s="1"/>
  <c r="J74" i="3"/>
  <c r="M74" i="3" s="1"/>
  <c r="C258" i="3"/>
  <c r="G39" i="29" s="1"/>
  <c r="G40" i="30" s="1"/>
  <c r="A239" i="3"/>
  <c r="D239" i="3" s="1"/>
  <c r="J284" i="3"/>
  <c r="M284" i="3" s="1"/>
  <c r="N251" i="3"/>
  <c r="N252" i="3"/>
  <c r="N253" i="3"/>
  <c r="N254" i="3"/>
  <c r="N255" i="3"/>
  <c r="N256" i="3"/>
  <c r="N257" i="3"/>
  <c r="N264" i="3"/>
  <c r="N265" i="3"/>
  <c r="N239" i="3"/>
  <c r="J293" i="3"/>
  <c r="M293" i="3" s="1"/>
  <c r="J292" i="3"/>
  <c r="Q292" i="3" s="1"/>
  <c r="J291" i="3"/>
  <c r="M291" i="3" s="1"/>
  <c r="J287" i="3"/>
  <c r="O287" i="3" s="1"/>
  <c r="J286" i="3"/>
  <c r="Q286" i="3" s="1"/>
  <c r="J282" i="3"/>
  <c r="O282" i="3" s="1"/>
  <c r="C237" i="3"/>
  <c r="G18" i="29" s="1"/>
  <c r="G19" i="30" s="1"/>
  <c r="C238" i="3"/>
  <c r="C239" i="3"/>
  <c r="G20" i="29" s="1"/>
  <c r="G21" i="30" s="1"/>
  <c r="C242" i="3"/>
  <c r="G23" i="29" s="1"/>
  <c r="G24" i="30" s="1"/>
  <c r="C243" i="3"/>
  <c r="G24" i="29" s="1"/>
  <c r="G25" i="30" s="1"/>
  <c r="C244" i="3"/>
  <c r="G25" i="29" s="1"/>
  <c r="G26" i="30" s="1"/>
  <c r="C245" i="3"/>
  <c r="G26" i="29" s="1"/>
  <c r="G27" i="30" s="1"/>
  <c r="C246" i="3"/>
  <c r="G27" i="29" s="1"/>
  <c r="G28" i="30" s="1"/>
  <c r="C247" i="3"/>
  <c r="G28" i="29" s="1"/>
  <c r="G29" i="30" s="1"/>
  <c r="C248" i="3"/>
  <c r="G29" i="29" s="1"/>
  <c r="G30" i="30" s="1"/>
  <c r="C249" i="3"/>
  <c r="G30" i="29" s="1"/>
  <c r="G31" i="30" s="1"/>
  <c r="C250" i="3"/>
  <c r="C252" i="3"/>
  <c r="G33" i="29" s="1"/>
  <c r="G33" i="30" s="1"/>
  <c r="G34" i="29"/>
  <c r="G34" i="30" s="1"/>
  <c r="G35" i="30"/>
  <c r="C254" i="3"/>
  <c r="G35" i="29" s="1"/>
  <c r="G36" i="30" s="1"/>
  <c r="C255" i="3"/>
  <c r="G36" i="29" s="1"/>
  <c r="G37" i="30" s="1"/>
  <c r="C256" i="3"/>
  <c r="G37" i="29" s="1"/>
  <c r="G38" i="30" s="1"/>
  <c r="C257" i="3"/>
  <c r="G38" i="29" s="1"/>
  <c r="G39" i="30" s="1"/>
  <c r="C259" i="3"/>
  <c r="G40" i="29" s="1"/>
  <c r="G41" i="30" s="1"/>
  <c r="C261" i="3"/>
  <c r="G42" i="29" s="1"/>
  <c r="G43" i="30" s="1"/>
  <c r="C262" i="3"/>
  <c r="G43" i="29" s="1"/>
  <c r="G44" i="30" s="1"/>
  <c r="C263" i="3"/>
  <c r="G44" i="29" s="1"/>
  <c r="G45" i="30" s="1"/>
  <c r="C264" i="3"/>
  <c r="G45" i="29" s="1"/>
  <c r="G46" i="30" s="1"/>
  <c r="C265" i="3"/>
  <c r="G46" i="29" s="1"/>
  <c r="G47" i="30" s="1"/>
  <c r="A261" i="3"/>
  <c r="D261" i="3" s="1"/>
  <c r="A249" i="3"/>
  <c r="D249" i="3" s="1"/>
  <c r="N250" i="3" l="1"/>
  <c r="G31" i="29"/>
  <c r="G32" i="30" s="1"/>
  <c r="N238" i="3"/>
  <c r="G19" i="29"/>
  <c r="G20" i="30" s="1"/>
  <c r="A326" i="3"/>
  <c r="D326" i="3" s="1"/>
  <c r="J326" i="3" s="1"/>
  <c r="O326" i="3" s="1"/>
  <c r="T326" i="3" s="1"/>
  <c r="BD127" i="10"/>
  <c r="A322" i="3"/>
  <c r="D322" i="3" s="1"/>
  <c r="J322" i="3" s="1"/>
  <c r="O322" i="3" s="1"/>
  <c r="T322" i="3" s="1"/>
  <c r="BA123" i="10"/>
  <c r="BD123" i="10"/>
  <c r="A323" i="3"/>
  <c r="D323" i="3" s="1"/>
  <c r="D346" i="3" s="1"/>
  <c r="J346" i="3" s="1"/>
  <c r="BD124" i="10"/>
  <c r="A328" i="3"/>
  <c r="D328" i="3" s="1"/>
  <c r="D351" i="3" s="1"/>
  <c r="J351" i="3" s="1"/>
  <c r="M351" i="3" s="1"/>
  <c r="BD129" i="10"/>
  <c r="A325" i="3"/>
  <c r="D325" i="3" s="1"/>
  <c r="D348" i="3" s="1"/>
  <c r="J348" i="3" s="1"/>
  <c r="S348" i="3" s="1"/>
  <c r="BD126" i="10"/>
  <c r="A324" i="3"/>
  <c r="D324" i="3" s="1"/>
  <c r="D347" i="3" s="1"/>
  <c r="J347" i="3" s="1"/>
  <c r="Q347" i="3" s="1"/>
  <c r="BD125" i="10"/>
  <c r="A327" i="3"/>
  <c r="D327" i="3" s="1"/>
  <c r="J327" i="3" s="1"/>
  <c r="O327" i="3" s="1"/>
  <c r="T327" i="3" s="1"/>
  <c r="BD128" i="10"/>
  <c r="A312" i="3"/>
  <c r="D312" i="3" s="1"/>
  <c r="D336" i="3" s="1"/>
  <c r="BD113" i="10"/>
  <c r="A316" i="3"/>
  <c r="D316" i="3" s="1"/>
  <c r="J316" i="3" s="1"/>
  <c r="O316" i="3" s="1"/>
  <c r="T316" i="3" s="1"/>
  <c r="BD117" i="10"/>
  <c r="A313" i="3"/>
  <c r="D313" i="3" s="1"/>
  <c r="J313" i="3" s="1"/>
  <c r="O313" i="3" s="1"/>
  <c r="T313" i="3" s="1"/>
  <c r="BD114" i="10"/>
  <c r="A314" i="3"/>
  <c r="D314" i="3" s="1"/>
  <c r="J314" i="3" s="1"/>
  <c r="O314" i="3" s="1"/>
  <c r="T314" i="3" s="1"/>
  <c r="BD115" i="10"/>
  <c r="A318" i="3"/>
  <c r="D318" i="3" s="1"/>
  <c r="D342" i="3" s="1"/>
  <c r="J342" i="3" s="1"/>
  <c r="BD119" i="10"/>
  <c r="A320" i="3"/>
  <c r="D320" i="3" s="1"/>
  <c r="J320" i="3" s="1"/>
  <c r="O320" i="3" s="1"/>
  <c r="T320" i="3" s="1"/>
  <c r="BD121" i="10"/>
  <c r="A317" i="3"/>
  <c r="D317" i="3" s="1"/>
  <c r="J317" i="3" s="1"/>
  <c r="O317" i="3" s="1"/>
  <c r="T317" i="3" s="1"/>
  <c r="BD118" i="10"/>
  <c r="A311" i="3"/>
  <c r="D311" i="3" s="1"/>
  <c r="D335" i="3" s="1"/>
  <c r="J335" i="3" s="1"/>
  <c r="Q335" i="3" s="1"/>
  <c r="BD112" i="10"/>
  <c r="A315" i="3"/>
  <c r="D315" i="3" s="1"/>
  <c r="J315" i="3" s="1"/>
  <c r="O315" i="3" s="1"/>
  <c r="T315" i="3" s="1"/>
  <c r="BD116" i="10"/>
  <c r="A319" i="3"/>
  <c r="D319" i="3" s="1"/>
  <c r="J319" i="3" s="1"/>
  <c r="O319" i="3" s="1"/>
  <c r="T319" i="3" s="1"/>
  <c r="BD120" i="10"/>
  <c r="N243" i="3"/>
  <c r="N242" i="3"/>
  <c r="N249" i="3"/>
  <c r="N245" i="3"/>
  <c r="N258" i="3"/>
  <c r="N248" i="3"/>
  <c r="N244" i="3"/>
  <c r="N237" i="3"/>
  <c r="A310" i="3"/>
  <c r="D310" i="3" s="1"/>
  <c r="J310" i="3" s="1"/>
  <c r="O310" i="3" s="1"/>
  <c r="T310" i="3" s="1"/>
  <c r="BA111" i="10"/>
  <c r="BA115" i="10"/>
  <c r="BA125" i="10"/>
  <c r="AW81" i="10"/>
  <c r="BA119" i="10"/>
  <c r="D340" i="3"/>
  <c r="J340" i="3" s="1"/>
  <c r="S340" i="3" s="1"/>
  <c r="D349" i="3"/>
  <c r="J349" i="3" s="1"/>
  <c r="BA114" i="10"/>
  <c r="D200" i="3"/>
  <c r="BA117" i="10"/>
  <c r="BA113" i="10"/>
  <c r="BA127" i="10"/>
  <c r="BA130" i="10"/>
  <c r="A329" i="3"/>
  <c r="D329" i="3" s="1"/>
  <c r="BA118" i="10"/>
  <c r="BA124" i="10"/>
  <c r="BA116" i="10"/>
  <c r="BA112" i="10"/>
  <c r="BA126" i="10"/>
  <c r="BA120" i="10"/>
  <c r="J333" i="3"/>
  <c r="N259" i="3"/>
  <c r="T362" i="3"/>
  <c r="T363" i="3"/>
  <c r="BA128" i="10"/>
  <c r="O211" i="3"/>
  <c r="O152" i="3"/>
  <c r="Q211" i="3"/>
  <c r="S211" i="3"/>
  <c r="O74" i="3"/>
  <c r="Q74" i="3"/>
  <c r="Q152" i="3"/>
  <c r="S152" i="3"/>
  <c r="S74" i="3"/>
  <c r="A254" i="3"/>
  <c r="Q284" i="3"/>
  <c r="O284" i="3"/>
  <c r="S284" i="3"/>
  <c r="O291" i="3"/>
  <c r="M282" i="3"/>
  <c r="M287" i="3"/>
  <c r="O293" i="3"/>
  <c r="Q282" i="3"/>
  <c r="Q287" i="3"/>
  <c r="S282" i="3"/>
  <c r="M286" i="3"/>
  <c r="Q291" i="3"/>
  <c r="M292" i="3"/>
  <c r="Q293" i="3"/>
  <c r="S292" i="3"/>
  <c r="O286" i="3"/>
  <c r="S291" i="3"/>
  <c r="O292" i="3"/>
  <c r="S293" i="3"/>
  <c r="I54" i="10"/>
  <c r="C54" i="10" s="1"/>
  <c r="A255" i="3"/>
  <c r="D255" i="3" s="1"/>
  <c r="C99" i="10"/>
  <c r="A256" i="3" s="1"/>
  <c r="D256" i="3" s="1"/>
  <c r="A246" i="3"/>
  <c r="D246" i="3" s="1"/>
  <c r="C107" i="10"/>
  <c r="A265" i="3" s="1"/>
  <c r="J265" i="3" s="1"/>
  <c r="F46" i="29" s="1"/>
  <c r="F47" i="30" s="1"/>
  <c r="C236" i="3"/>
  <c r="N236" i="3" s="1"/>
  <c r="A238" i="3" l="1"/>
  <c r="A269" i="3" s="1" a="1"/>
  <c r="A269" i="3" s="1"/>
  <c r="D269" i="3" s="1"/>
  <c r="J269" i="3" s="1"/>
  <c r="O269" i="3" s="1"/>
  <c r="T269" i="3" s="1"/>
  <c r="AY112" i="10"/>
  <c r="D338" i="3"/>
  <c r="J338" i="3" s="1"/>
  <c r="S338" i="3" s="1"/>
  <c r="G17" i="29"/>
  <c r="G18" i="30" s="1"/>
  <c r="D345" i="3"/>
  <c r="D350" i="3"/>
  <c r="J350" i="3" s="1"/>
  <c r="S350" i="3" s="1"/>
  <c r="D343" i="3"/>
  <c r="J343" i="3" s="1"/>
  <c r="Q343" i="3" s="1"/>
  <c r="M335" i="3"/>
  <c r="S347" i="3"/>
  <c r="D341" i="3"/>
  <c r="J341" i="3" s="1"/>
  <c r="O341" i="3" s="1"/>
  <c r="O351" i="3"/>
  <c r="D344" i="3"/>
  <c r="J344" i="3" s="1"/>
  <c r="M344" i="3" s="1"/>
  <c r="J323" i="3"/>
  <c r="O323" i="3" s="1"/>
  <c r="T323" i="3" s="1"/>
  <c r="Q348" i="3"/>
  <c r="J311" i="3"/>
  <c r="O311" i="3" s="1"/>
  <c r="T311" i="3" s="1"/>
  <c r="O335" i="3"/>
  <c r="O348" i="3"/>
  <c r="S335" i="3"/>
  <c r="M348" i="3"/>
  <c r="D337" i="3"/>
  <c r="J337" i="3" s="1"/>
  <c r="O337" i="3" s="1"/>
  <c r="AY130" i="10"/>
  <c r="O347" i="3"/>
  <c r="Q351" i="3"/>
  <c r="M347" i="3"/>
  <c r="S351" i="3"/>
  <c r="J324" i="3"/>
  <c r="O324" i="3" s="1"/>
  <c r="T324" i="3" s="1"/>
  <c r="AY125" i="10"/>
  <c r="D339" i="3"/>
  <c r="J339" i="3" s="1"/>
  <c r="S339" i="3" s="1"/>
  <c r="J312" i="3"/>
  <c r="O312" i="3" s="1"/>
  <c r="T312" i="3" s="1"/>
  <c r="J318" i="3"/>
  <c r="O318" i="3" s="1"/>
  <c r="T318" i="3" s="1"/>
  <c r="M343" i="3"/>
  <c r="D334" i="3"/>
  <c r="J334" i="3" s="1"/>
  <c r="Q334" i="3" s="1"/>
  <c r="O265" i="3"/>
  <c r="T265" i="3" s="1"/>
  <c r="M340" i="3"/>
  <c r="Q340" i="3"/>
  <c r="O340" i="3"/>
  <c r="O342" i="3"/>
  <c r="Q342" i="3"/>
  <c r="S342" i="3"/>
  <c r="M342" i="3"/>
  <c r="O349" i="3"/>
  <c r="Q349" i="3"/>
  <c r="M349" i="3"/>
  <c r="S349" i="3"/>
  <c r="D352" i="3"/>
  <c r="J352" i="3" s="1"/>
  <c r="J329" i="3"/>
  <c r="O329" i="3" s="1"/>
  <c r="T329" i="3" s="1"/>
  <c r="S346" i="3"/>
  <c r="O346" i="3"/>
  <c r="Q346" i="3"/>
  <c r="M346" i="3"/>
  <c r="Q333" i="3"/>
  <c r="O333" i="3"/>
  <c r="S333" i="3"/>
  <c r="M333" i="3"/>
  <c r="J325" i="3"/>
  <c r="O325" i="3" s="1"/>
  <c r="T325" i="3" s="1"/>
  <c r="BA121" i="10"/>
  <c r="AY121" i="10" s="1"/>
  <c r="D238" i="3"/>
  <c r="T211" i="3"/>
  <c r="T152" i="3"/>
  <c r="D274" i="3"/>
  <c r="J274" i="3" s="1"/>
  <c r="Q274" i="3" s="1"/>
  <c r="T74" i="3"/>
  <c r="T284" i="3"/>
  <c r="T282" i="3"/>
  <c r="T291" i="3"/>
  <c r="T293" i="3"/>
  <c r="T292" i="3"/>
  <c r="C106" i="10"/>
  <c r="A264" i="3" s="1"/>
  <c r="D264" i="3" s="1"/>
  <c r="J264" i="3" s="1"/>
  <c r="F45" i="29" s="1"/>
  <c r="F46" i="30" s="1"/>
  <c r="C105" i="10"/>
  <c r="A263" i="3" s="1"/>
  <c r="D263" i="3" s="1"/>
  <c r="C104" i="10"/>
  <c r="C100" i="10"/>
  <c r="A257" i="3" s="1"/>
  <c r="D257" i="3" s="1"/>
  <c r="M338" i="3" l="1"/>
  <c r="O338" i="3"/>
  <c r="Q338" i="3"/>
  <c r="T338" i="3" s="1"/>
  <c r="O350" i="3"/>
  <c r="M350" i="3"/>
  <c r="Q350" i="3"/>
  <c r="S343" i="3"/>
  <c r="O343" i="3"/>
  <c r="T348" i="3"/>
  <c r="S334" i="3"/>
  <c r="O344" i="3"/>
  <c r="Q341" i="3"/>
  <c r="M341" i="3"/>
  <c r="T347" i="3"/>
  <c r="T335" i="3"/>
  <c r="S341" i="3"/>
  <c r="O339" i="3"/>
  <c r="Q339" i="3"/>
  <c r="S344" i="3"/>
  <c r="Q337" i="3"/>
  <c r="O334" i="3"/>
  <c r="M339" i="3"/>
  <c r="Q344" i="3"/>
  <c r="T344" i="3" s="1"/>
  <c r="M337" i="3"/>
  <c r="M334" i="3"/>
  <c r="S337" i="3"/>
  <c r="T351" i="3"/>
  <c r="O264" i="3"/>
  <c r="T264" i="3" s="1"/>
  <c r="T340" i="3"/>
  <c r="A262" i="3"/>
  <c r="D262" i="3" s="1"/>
  <c r="T346" i="3"/>
  <c r="T349" i="3"/>
  <c r="T342" i="3"/>
  <c r="Q352" i="3"/>
  <c r="S352" i="3"/>
  <c r="M352" i="3"/>
  <c r="O352" i="3"/>
  <c r="D353" i="3"/>
  <c r="S354" i="3" s="1"/>
  <c r="C122" i="10"/>
  <c r="C132" i="10" s="1"/>
  <c r="T333" i="3"/>
  <c r="J328" i="3"/>
  <c r="O328" i="3" s="1"/>
  <c r="T328" i="3" s="1"/>
  <c r="O274" i="3"/>
  <c r="S274" i="3"/>
  <c r="M274" i="3"/>
  <c r="J204" i="3"/>
  <c r="M204" i="3" s="1"/>
  <c r="S106" i="3"/>
  <c r="T106" i="3" s="1"/>
  <c r="S103" i="3"/>
  <c r="T103" i="3" s="1"/>
  <c r="S102" i="3"/>
  <c r="S101" i="3"/>
  <c r="H19" i="13"/>
  <c r="H20" i="13"/>
  <c r="B22" i="13"/>
  <c r="E54" i="2"/>
  <c r="B60" i="2"/>
  <c r="B59" i="2"/>
  <c r="B58" i="2"/>
  <c r="B57" i="2"/>
  <c r="B4" i="2"/>
  <c r="B7" i="2"/>
  <c r="B6" i="2"/>
  <c r="B5" i="2"/>
  <c r="B12" i="19"/>
  <c r="C11" i="19"/>
  <c r="E10" i="19"/>
  <c r="B12" i="25"/>
  <c r="B12" i="13"/>
  <c r="E183" i="2" l="1"/>
  <c r="T350" i="3"/>
  <c r="T343" i="3"/>
  <c r="T334" i="3"/>
  <c r="T341" i="3"/>
  <c r="T339" i="3"/>
  <c r="T337" i="3"/>
  <c r="E369" i="3"/>
  <c r="J369" i="3" s="1"/>
  <c r="D355" i="3"/>
  <c r="D359" i="3"/>
  <c r="E370" i="3"/>
  <c r="J370" i="3" s="1"/>
  <c r="E368" i="3"/>
  <c r="J368" i="3" s="1"/>
  <c r="AW94" i="10"/>
  <c r="C131" i="10"/>
  <c r="A330" i="3" s="1"/>
  <c r="D330" i="3" s="1"/>
  <c r="J330" i="3" s="1"/>
  <c r="O330" i="3" s="1"/>
  <c r="T330" i="3" s="1"/>
  <c r="T352" i="3"/>
  <c r="A321" i="3"/>
  <c r="T274" i="3"/>
  <c r="A331" i="3"/>
  <c r="D331" i="3" s="1"/>
  <c r="J331" i="3" s="1"/>
  <c r="O331" i="3" s="1"/>
  <c r="T331" i="3" s="1"/>
  <c r="A245" i="3"/>
  <c r="D245" i="3" s="1"/>
  <c r="O204" i="3"/>
  <c r="Q204" i="3"/>
  <c r="S204" i="3"/>
  <c r="F5" i="22"/>
  <c r="D15" i="22" s="1"/>
  <c r="F5" i="17"/>
  <c r="D15" i="17" s="1"/>
  <c r="F5" i="24"/>
  <c r="C15" i="24" s="1"/>
  <c r="F5" i="23"/>
  <c r="C15" i="23" s="1"/>
  <c r="F5" i="19"/>
  <c r="D15" i="19" s="1"/>
  <c r="F5" i="20"/>
  <c r="C15" i="20" s="1"/>
  <c r="F5" i="25"/>
  <c r="D15" i="25" s="1"/>
  <c r="F5" i="18"/>
  <c r="C15" i="18" s="1"/>
  <c r="F5" i="14"/>
  <c r="C15" i="14" s="1"/>
  <c r="E15" i="13"/>
  <c r="H11" i="14"/>
  <c r="G14" i="13"/>
  <c r="D66" i="13" s="1"/>
  <c r="I11" i="13"/>
  <c r="F64" i="13" s="1"/>
  <c r="I10" i="13"/>
  <c r="H11" i="25"/>
  <c r="F14" i="19"/>
  <c r="H11" i="19"/>
  <c r="J221" i="3"/>
  <c r="M221" i="3" s="1"/>
  <c r="J220" i="3"/>
  <c r="J219" i="3"/>
  <c r="M219" i="3" s="1"/>
  <c r="D216" i="3"/>
  <c r="J215" i="3"/>
  <c r="J214" i="3"/>
  <c r="O214" i="3" s="1"/>
  <c r="J210" i="3"/>
  <c r="Q210" i="3" s="1"/>
  <c r="J81" i="13" l="1"/>
  <c r="J110" i="13" s="1"/>
  <c r="J166" i="13" s="1"/>
  <c r="D63" i="13"/>
  <c r="D217" i="3"/>
  <c r="J217" i="3" s="1"/>
  <c r="D321" i="3"/>
  <c r="J321" i="3" s="1"/>
  <c r="O321" i="3" s="1"/>
  <c r="T321" i="3" s="1"/>
  <c r="U308" i="3" s="1"/>
  <c r="V308" i="3" s="1"/>
  <c r="D364" i="3"/>
  <c r="J364" i="3" s="1"/>
  <c r="J355" i="3"/>
  <c r="Q370" i="3"/>
  <c r="M370" i="3"/>
  <c r="O370" i="3"/>
  <c r="S370" i="3"/>
  <c r="O368" i="3"/>
  <c r="M368" i="3"/>
  <c r="Q368" i="3"/>
  <c r="S368" i="3"/>
  <c r="S369" i="3"/>
  <c r="O369" i="3"/>
  <c r="Q369" i="3"/>
  <c r="M369" i="3"/>
  <c r="Q220" i="3"/>
  <c r="T204" i="3"/>
  <c r="O221" i="3"/>
  <c r="M214" i="3"/>
  <c r="Q214" i="3"/>
  <c r="O215" i="3"/>
  <c r="J216" i="3"/>
  <c r="S216" i="3" s="1"/>
  <c r="O219" i="3"/>
  <c r="S210" i="3"/>
  <c r="M210" i="3"/>
  <c r="Q215" i="3"/>
  <c r="Q219" i="3"/>
  <c r="M220" i="3"/>
  <c r="Q221" i="3"/>
  <c r="S220" i="3"/>
  <c r="O210" i="3"/>
  <c r="S219" i="3"/>
  <c r="O220" i="3"/>
  <c r="S221" i="3"/>
  <c r="M215" i="3"/>
  <c r="M217" i="3" l="1"/>
  <c r="O217" i="3"/>
  <c r="S217" i="3"/>
  <c r="Q217" i="3"/>
  <c r="T217" i="3" s="1"/>
  <c r="I377" i="3"/>
  <c r="T369" i="3"/>
  <c r="T370" i="3"/>
  <c r="T368" i="3"/>
  <c r="O355" i="3"/>
  <c r="Q355" i="3"/>
  <c r="M355" i="3"/>
  <c r="S355" i="3"/>
  <c r="Q364" i="3"/>
  <c r="M364" i="3"/>
  <c r="O364" i="3"/>
  <c r="S364" i="3"/>
  <c r="J359" i="3" s="1"/>
  <c r="Q216" i="3"/>
  <c r="T219" i="3"/>
  <c r="T221" i="3"/>
  <c r="M216" i="3"/>
  <c r="O216" i="3"/>
  <c r="T220" i="3"/>
  <c r="T210" i="3"/>
  <c r="T364" i="3" l="1"/>
  <c r="T355" i="3"/>
  <c r="O359" i="3"/>
  <c r="M359" i="3"/>
  <c r="S359" i="3"/>
  <c r="Q359" i="3"/>
  <c r="T216" i="3"/>
  <c r="T359" i="3" l="1"/>
  <c r="J162" i="3"/>
  <c r="M162" i="3" s="1"/>
  <c r="J161" i="3"/>
  <c r="Q161" i="3" s="1"/>
  <c r="J160" i="3"/>
  <c r="M160" i="3" s="1"/>
  <c r="J156" i="3"/>
  <c r="Q156" i="3" s="1"/>
  <c r="J155" i="3"/>
  <c r="O155" i="3" s="1"/>
  <c r="J153" i="3"/>
  <c r="Q153" i="3" s="1"/>
  <c r="J151" i="3"/>
  <c r="S151" i="3" s="1"/>
  <c r="J262" i="3"/>
  <c r="F43" i="29" s="1"/>
  <c r="F44" i="30" s="1"/>
  <c r="L104" i="3"/>
  <c r="M104" i="3" s="1"/>
  <c r="AO92" i="3"/>
  <c r="X103" i="3" s="1"/>
  <c r="Q25" i="11"/>
  <c r="L43" i="3"/>
  <c r="AU33" i="10"/>
  <c r="C33" i="10" s="1"/>
  <c r="AU32" i="10"/>
  <c r="C32" i="10" s="1"/>
  <c r="A24" i="3" s="1"/>
  <c r="D24" i="3" s="1"/>
  <c r="AU27" i="10"/>
  <c r="C27" i="10" s="1"/>
  <c r="AU26" i="10"/>
  <c r="C26" i="10" s="1"/>
  <c r="C37" i="10" s="1"/>
  <c r="AU25" i="10"/>
  <c r="C25" i="10" s="1"/>
  <c r="AU24" i="10"/>
  <c r="C24" i="10" s="1"/>
  <c r="AU23" i="10"/>
  <c r="C23" i="10" s="1"/>
  <c r="AU19" i="10"/>
  <c r="C19" i="10" s="1"/>
  <c r="AU18" i="10"/>
  <c r="C18" i="10" s="1"/>
  <c r="AU17" i="10"/>
  <c r="C17" i="10" s="1"/>
  <c r="AU16" i="10"/>
  <c r="C16" i="10" s="1"/>
  <c r="AU15" i="10"/>
  <c r="C15" i="10" s="1"/>
  <c r="AU14" i="10"/>
  <c r="C14" i="10" s="1"/>
  <c r="AU13" i="10"/>
  <c r="C13" i="10" s="1"/>
  <c r="AU12" i="10"/>
  <c r="C12" i="10" s="1"/>
  <c r="AU11" i="10"/>
  <c r="C11" i="10" s="1"/>
  <c r="AU10" i="10"/>
  <c r="C10" i="10" s="1"/>
  <c r="AU9" i="10"/>
  <c r="C9" i="10" s="1"/>
  <c r="AU8" i="10"/>
  <c r="C8" i="10" s="1"/>
  <c r="AU7" i="10"/>
  <c r="C7" i="10" s="1"/>
  <c r="AU6" i="10"/>
  <c r="C6" i="10" s="1"/>
  <c r="AU5" i="10"/>
  <c r="C5" i="10" s="1"/>
  <c r="AU4" i="10"/>
  <c r="C4" i="10" s="1"/>
  <c r="AJ40" i="3"/>
  <c r="AG90" i="3"/>
  <c r="AG92" i="3"/>
  <c r="X102" i="3" s="1"/>
  <c r="A33" i="3" l="1"/>
  <c r="AF115" i="3"/>
  <c r="AF110" i="3"/>
  <c r="J24" i="3"/>
  <c r="F33" i="14" s="1"/>
  <c r="D65" i="3"/>
  <c r="A44" i="3"/>
  <c r="J158" i="3"/>
  <c r="O162" i="3"/>
  <c r="M151" i="3"/>
  <c r="O160" i="3"/>
  <c r="O151" i="3"/>
  <c r="Q155" i="3"/>
  <c r="Q151" i="3"/>
  <c r="S153" i="3"/>
  <c r="S161" i="3"/>
  <c r="O262" i="3"/>
  <c r="T262" i="3" s="1"/>
  <c r="O153" i="3"/>
  <c r="M155" i="3"/>
  <c r="O156" i="3"/>
  <c r="Q160" i="3"/>
  <c r="M161" i="3"/>
  <c r="Q162" i="3"/>
  <c r="M153" i="3"/>
  <c r="M156" i="3"/>
  <c r="S160" i="3"/>
  <c r="O161" i="3"/>
  <c r="S162" i="3"/>
  <c r="AB40" i="3"/>
  <c r="D35" i="3" l="1"/>
  <c r="D34" i="3"/>
  <c r="D33" i="3"/>
  <c r="J33" i="3" s="1"/>
  <c r="G37" i="13"/>
  <c r="O24" i="3"/>
  <c r="T24" i="3" s="1"/>
  <c r="T151" i="3"/>
  <c r="T162" i="3"/>
  <c r="T153" i="3"/>
  <c r="T160" i="3"/>
  <c r="S158" i="3"/>
  <c r="O158" i="3"/>
  <c r="M158" i="3"/>
  <c r="Q158" i="3"/>
  <c r="T161" i="3"/>
  <c r="Y92" i="3"/>
  <c r="X101" i="3" s="1"/>
  <c r="AJ24" i="3" l="1"/>
  <c r="AZ24" i="3"/>
  <c r="AR24" i="3"/>
  <c r="AF104" i="3"/>
  <c r="AB24" i="3"/>
  <c r="T158" i="3"/>
  <c r="H19" i="25"/>
  <c r="C199" i="3"/>
  <c r="C198" i="3"/>
  <c r="H40" i="18"/>
  <c r="H39" i="18"/>
  <c r="H38" i="18"/>
  <c r="H37" i="18"/>
  <c r="H36" i="18"/>
  <c r="G36" i="18"/>
  <c r="G38" i="25" s="1"/>
  <c r="H35" i="18"/>
  <c r="H34" i="18"/>
  <c r="H33" i="18"/>
  <c r="H32" i="18"/>
  <c r="H31" i="18"/>
  <c r="H30" i="18"/>
  <c r="H29" i="18"/>
  <c r="H27" i="18"/>
  <c r="H26" i="18"/>
  <c r="H25" i="18"/>
  <c r="H24" i="18"/>
  <c r="H23" i="18"/>
  <c r="H22" i="18"/>
  <c r="H21" i="18"/>
  <c r="H20" i="18"/>
  <c r="H19" i="18"/>
  <c r="H18" i="18"/>
  <c r="H17" i="18"/>
  <c r="A20" i="24"/>
  <c r="A21" i="24" s="1"/>
  <c r="A23" i="24" s="1"/>
  <c r="A24" i="24" s="1"/>
  <c r="G22" i="23"/>
  <c r="G21" i="23"/>
  <c r="G20" i="23"/>
  <c r="G19" i="23"/>
  <c r="G18" i="23"/>
  <c r="G17" i="23"/>
  <c r="I18" i="23"/>
  <c r="I19" i="23" s="1"/>
  <c r="I20" i="23" s="1"/>
  <c r="I21" i="23" s="1"/>
  <c r="A20" i="23"/>
  <c r="A21" i="23" s="1"/>
  <c r="A23" i="23" s="1"/>
  <c r="A24" i="23" s="1"/>
  <c r="A18" i="22"/>
  <c r="A19" i="22" s="1"/>
  <c r="A21" i="22" s="1"/>
  <c r="A22" i="22" s="1"/>
  <c r="A18" i="17"/>
  <c r="A19" i="17" s="1"/>
  <c r="A21" i="17" s="1"/>
  <c r="A22" i="17" s="1"/>
  <c r="G39" i="18" l="1"/>
  <c r="G41" i="25" s="1"/>
  <c r="G38" i="18"/>
  <c r="G40" i="25" s="1"/>
  <c r="G40" i="18"/>
  <c r="G42" i="25" s="1"/>
  <c r="I22" i="23"/>
  <c r="I30" i="20"/>
  <c r="G30" i="20"/>
  <c r="I29" i="20"/>
  <c r="G29" i="20"/>
  <c r="I28" i="20"/>
  <c r="G28" i="20"/>
  <c r="I27" i="20"/>
  <c r="G27" i="20"/>
  <c r="I26" i="20"/>
  <c r="G26" i="20"/>
  <c r="G25" i="20"/>
  <c r="I24" i="20"/>
  <c r="G24" i="20"/>
  <c r="I23" i="20"/>
  <c r="G23" i="20"/>
  <c r="I22" i="20"/>
  <c r="G22" i="20"/>
  <c r="I21" i="20"/>
  <c r="G21" i="20"/>
  <c r="G20" i="20"/>
  <c r="I19" i="20"/>
  <c r="G19" i="20"/>
  <c r="I18" i="20"/>
  <c r="G18" i="20"/>
  <c r="G17" i="20"/>
  <c r="I32" i="19"/>
  <c r="I31" i="19"/>
  <c r="I30" i="19"/>
  <c r="I29" i="19"/>
  <c r="I28" i="19"/>
  <c r="I26" i="19"/>
  <c r="I25" i="19"/>
  <c r="I24" i="19"/>
  <c r="I23" i="19"/>
  <c r="I21" i="19"/>
  <c r="I20" i="19"/>
  <c r="G32" i="19"/>
  <c r="G31" i="19"/>
  <c r="G30" i="19"/>
  <c r="G29" i="19"/>
  <c r="G28" i="19"/>
  <c r="G27" i="19"/>
  <c r="G26" i="19"/>
  <c r="G25" i="19"/>
  <c r="G24" i="19"/>
  <c r="G23" i="19"/>
  <c r="G22" i="19"/>
  <c r="G21" i="19"/>
  <c r="G20" i="19"/>
  <c r="G19" i="19"/>
  <c r="I22" i="18" l="1"/>
  <c r="I24" i="25" s="1"/>
  <c r="I40" i="18"/>
  <c r="I42" i="25" s="1"/>
  <c r="I39" i="18"/>
  <c r="I41" i="25" s="1"/>
  <c r="I38" i="18"/>
  <c r="I40" i="25" s="1"/>
  <c r="I37" i="18"/>
  <c r="I39" i="25" s="1"/>
  <c r="I36" i="18"/>
  <c r="I38" i="25" s="1"/>
  <c r="I35" i="18"/>
  <c r="I37" i="25" s="1"/>
  <c r="I34" i="18"/>
  <c r="I36" i="25" s="1"/>
  <c r="I33" i="18"/>
  <c r="I35" i="25" s="1"/>
  <c r="I32" i="18"/>
  <c r="I34" i="25" s="1"/>
  <c r="I31" i="18"/>
  <c r="I33" i="25" s="1"/>
  <c r="I30" i="18"/>
  <c r="I32" i="25" s="1"/>
  <c r="I29" i="18"/>
  <c r="I31" i="25" s="1"/>
  <c r="I23" i="18"/>
  <c r="I25" i="25" s="1"/>
  <c r="I21" i="18"/>
  <c r="I23" i="25" s="1"/>
  <c r="I20" i="18"/>
  <c r="I22" i="25" s="1"/>
  <c r="I19" i="18"/>
  <c r="I21" i="25" s="1"/>
  <c r="J24" i="13" l="1"/>
  <c r="J19" i="13"/>
  <c r="J33" i="13" l="1"/>
  <c r="J26" i="13"/>
  <c r="J36" i="13"/>
  <c r="J32" i="13"/>
  <c r="J35" i="13"/>
  <c r="J31" i="13"/>
  <c r="J34" i="13"/>
  <c r="J27" i="13"/>
  <c r="C90" i="10"/>
  <c r="A243" i="3"/>
  <c r="D243" i="3" s="1"/>
  <c r="C84" i="10"/>
  <c r="C81" i="10"/>
  <c r="C74" i="10"/>
  <c r="C73" i="10"/>
  <c r="C65" i="10"/>
  <c r="C64" i="10"/>
  <c r="C63" i="10"/>
  <c r="C62" i="10"/>
  <c r="C61" i="10"/>
  <c r="C59" i="10"/>
  <c r="AV34" i="10"/>
  <c r="AV30" i="10"/>
  <c r="C86" i="10" l="1"/>
  <c r="C94" i="10"/>
  <c r="C77" i="10"/>
  <c r="C76" i="10" a="1"/>
  <c r="C76" i="10" s="1"/>
  <c r="C70" i="10"/>
  <c r="A189" i="3" s="1"/>
  <c r="A242" i="3"/>
  <c r="A247" i="3"/>
  <c r="D247" i="3" s="1"/>
  <c r="A237" i="3"/>
  <c r="A250" i="3"/>
  <c r="D250" i="3" s="1"/>
  <c r="A248" i="3"/>
  <c r="D248" i="3" s="1"/>
  <c r="A59" i="3"/>
  <c r="A58" i="3"/>
  <c r="A57" i="3"/>
  <c r="A56" i="3"/>
  <c r="A55" i="3"/>
  <c r="A252" i="3" l="1"/>
  <c r="D251" i="3" s="1"/>
  <c r="A244" i="3"/>
  <c r="D244" i="3" s="1"/>
  <c r="C95" i="10"/>
  <c r="A253" i="3" s="1"/>
  <c r="D242" i="3"/>
  <c r="A241" i="3"/>
  <c r="A240" i="3"/>
  <c r="D240" i="3" s="1"/>
  <c r="J240" i="3" s="1"/>
  <c r="F21" i="29" s="1"/>
  <c r="F22" i="30" s="1"/>
  <c r="D272" i="3"/>
  <c r="D288" i="3"/>
  <c r="A258" i="3"/>
  <c r="D258" i="3" s="1"/>
  <c r="J258" i="3" s="1"/>
  <c r="F39" i="29" s="1"/>
  <c r="F40" i="30" s="1"/>
  <c r="A266" i="3"/>
  <c r="D266" i="3" s="1"/>
  <c r="A267" i="3"/>
  <c r="D267" i="3" s="1"/>
  <c r="D236" i="3"/>
  <c r="G32" i="14"/>
  <c r="G31" i="14"/>
  <c r="G30" i="14"/>
  <c r="G29" i="14"/>
  <c r="G27" i="14"/>
  <c r="G26" i="14"/>
  <c r="G17" i="14"/>
  <c r="G18" i="14"/>
  <c r="G25" i="14"/>
  <c r="G24" i="14"/>
  <c r="G23" i="14"/>
  <c r="G22" i="14"/>
  <c r="G21" i="14"/>
  <c r="G20" i="14"/>
  <c r="G19" i="14"/>
  <c r="H27" i="13"/>
  <c r="H26" i="13"/>
  <c r="H25" i="13"/>
  <c r="H24" i="13"/>
  <c r="H23" i="13"/>
  <c r="H22" i="13"/>
  <c r="H21" i="13"/>
  <c r="J21" i="13"/>
  <c r="C197" i="3"/>
  <c r="C195" i="3"/>
  <c r="C194" i="3"/>
  <c r="C193" i="3"/>
  <c r="C192" i="3"/>
  <c r="C191" i="3"/>
  <c r="C190" i="3"/>
  <c r="C189" i="3"/>
  <c r="C188" i="3"/>
  <c r="C187" i="3"/>
  <c r="C186" i="3"/>
  <c r="C185" i="3"/>
  <c r="C184" i="3"/>
  <c r="C183" i="3"/>
  <c r="C182" i="3"/>
  <c r="C181" i="3"/>
  <c r="C180" i="3"/>
  <c r="C179" i="3"/>
  <c r="C178" i="3"/>
  <c r="C177" i="3"/>
  <c r="D277" i="3" l="1"/>
  <c r="D278" i="3" s="1"/>
  <c r="D252" i="3"/>
  <c r="D253" i="3"/>
  <c r="C102" i="10" a="1"/>
  <c r="C102" i="10" s="1"/>
  <c r="D90" i="10"/>
  <c r="J266" i="3"/>
  <c r="O258" i="3"/>
  <c r="T258" i="3" s="1"/>
  <c r="O240" i="3"/>
  <c r="T240" i="3" s="1"/>
  <c r="J268" i="3"/>
  <c r="J267" i="3"/>
  <c r="F48" i="29" s="1"/>
  <c r="F49" i="30" s="1"/>
  <c r="J288" i="3"/>
  <c r="M288" i="3" s="1"/>
  <c r="D241" i="3"/>
  <c r="J241" i="3" s="1"/>
  <c r="F22" i="29" s="1"/>
  <c r="F23" i="30" s="1"/>
  <c r="J249" i="3"/>
  <c r="F30" i="29" s="1"/>
  <c r="F31" i="30" s="1"/>
  <c r="G20" i="18"/>
  <c r="G22" i="25" s="1"/>
  <c r="G24" i="18"/>
  <c r="G26" i="25" s="1"/>
  <c r="G28" i="18"/>
  <c r="G30" i="25" s="1"/>
  <c r="G32" i="18"/>
  <c r="G34" i="25" s="1"/>
  <c r="G37" i="18"/>
  <c r="G39" i="25" s="1"/>
  <c r="G17" i="18"/>
  <c r="G19" i="25" s="1"/>
  <c r="G21" i="18"/>
  <c r="G23" i="25" s="1"/>
  <c r="G25" i="18"/>
  <c r="G27" i="25" s="1"/>
  <c r="G29" i="18"/>
  <c r="G31" i="25" s="1"/>
  <c r="G33" i="18"/>
  <c r="G35" i="25" s="1"/>
  <c r="G18" i="18"/>
  <c r="G20" i="25" s="1"/>
  <c r="G22" i="18"/>
  <c r="G24" i="25" s="1"/>
  <c r="G26" i="18"/>
  <c r="G28" i="25" s="1"/>
  <c r="G30" i="18"/>
  <c r="G32" i="25" s="1"/>
  <c r="G34" i="18"/>
  <c r="G36" i="25" s="1"/>
  <c r="G19" i="18"/>
  <c r="G21" i="25" s="1"/>
  <c r="G23" i="18"/>
  <c r="G25" i="25" s="1"/>
  <c r="G27" i="18"/>
  <c r="G29" i="25" s="1"/>
  <c r="G31" i="18"/>
  <c r="G33" i="25" s="1"/>
  <c r="G35" i="18"/>
  <c r="G37" i="25" s="1"/>
  <c r="N141" i="3"/>
  <c r="N140" i="3"/>
  <c r="A200" i="3"/>
  <c r="A199" i="3"/>
  <c r="D199" i="3" s="1"/>
  <c r="J199" i="3" s="1"/>
  <c r="A198" i="3"/>
  <c r="D198" i="3" s="1"/>
  <c r="J198" i="3" s="1"/>
  <c r="A196" i="3"/>
  <c r="D196" i="3" s="1"/>
  <c r="J196" i="3" s="1"/>
  <c r="J302" i="3"/>
  <c r="M302" i="3" s="1"/>
  <c r="J300" i="3"/>
  <c r="M300" i="3" s="1"/>
  <c r="J277" i="3"/>
  <c r="D273" i="3"/>
  <c r="J263" i="3"/>
  <c r="F44" i="29" s="1"/>
  <c r="F45" i="30" s="1"/>
  <c r="J257" i="3"/>
  <c r="F38" i="29" s="1"/>
  <c r="F39" i="30" s="1"/>
  <c r="J256" i="3"/>
  <c r="F37" i="29" s="1"/>
  <c r="F38" i="30" s="1"/>
  <c r="J255" i="3"/>
  <c r="F36" i="29" s="1"/>
  <c r="F37" i="30" s="1"/>
  <c r="J254" i="3"/>
  <c r="F35" i="29" s="1"/>
  <c r="F36" i="30" s="1"/>
  <c r="J253" i="3"/>
  <c r="F34" i="29" s="1"/>
  <c r="F35" i="30" s="1"/>
  <c r="J252" i="3"/>
  <c r="F33" i="29" s="1"/>
  <c r="F34" i="30" s="1"/>
  <c r="J251" i="3"/>
  <c r="F32" i="29" s="1"/>
  <c r="F33" i="30" s="1"/>
  <c r="J250" i="3"/>
  <c r="F31" i="29" s="1"/>
  <c r="F32" i="30" s="1"/>
  <c r="J248" i="3"/>
  <c r="F29" i="29" s="1"/>
  <c r="F30" i="30" s="1"/>
  <c r="J247" i="3"/>
  <c r="F28" i="29" s="1"/>
  <c r="F29" i="30" s="1"/>
  <c r="J246" i="3"/>
  <c r="F27" i="29" s="1"/>
  <c r="F28" i="30" s="1"/>
  <c r="J245" i="3"/>
  <c r="F26" i="29" s="1"/>
  <c r="F27" i="30" s="1"/>
  <c r="J244" i="3"/>
  <c r="F25" i="29" s="1"/>
  <c r="F26" i="30" s="1"/>
  <c r="J243" i="3"/>
  <c r="F24" i="29" s="1"/>
  <c r="F25" i="30" s="1"/>
  <c r="J242" i="3"/>
  <c r="J239" i="3"/>
  <c r="F20" i="29" s="1"/>
  <c r="F21" i="30" s="1"/>
  <c r="J238" i="3"/>
  <c r="F19" i="29" s="1"/>
  <c r="F20" i="30" s="1"/>
  <c r="J237" i="3"/>
  <c r="F18" i="29" s="1"/>
  <c r="F19" i="30" s="1"/>
  <c r="J236" i="3"/>
  <c r="F17" i="29" s="1"/>
  <c r="F18" i="30" s="1"/>
  <c r="J230" i="3"/>
  <c r="S230" i="3" s="1"/>
  <c r="J228" i="3"/>
  <c r="N199" i="3"/>
  <c r="D197" i="3"/>
  <c r="A259" i="3" l="1"/>
  <c r="D259" i="3" s="1"/>
  <c r="J259" i="3" s="1"/>
  <c r="F40" i="29" s="1"/>
  <c r="F41" i="30" s="1"/>
  <c r="A260" i="3"/>
  <c r="D260" i="3" s="1"/>
  <c r="J260" i="3" s="1"/>
  <c r="F41" i="29" s="1"/>
  <c r="F42" i="30" s="1"/>
  <c r="F23" i="29"/>
  <c r="F24" i="30" s="1"/>
  <c r="F47" i="29"/>
  <c r="F48" i="30" s="1"/>
  <c r="O266" i="3"/>
  <c r="T266" i="3" s="1"/>
  <c r="D275" i="3"/>
  <c r="J275" i="3" s="1"/>
  <c r="S275" i="3" s="1"/>
  <c r="O245" i="3"/>
  <c r="T245" i="3" s="1"/>
  <c r="O259" i="3"/>
  <c r="T259" i="3" s="1"/>
  <c r="O267" i="3"/>
  <c r="T267" i="3" s="1"/>
  <c r="O246" i="3"/>
  <c r="T246" i="3" s="1"/>
  <c r="O251" i="3"/>
  <c r="T251" i="3" s="1"/>
  <c r="O255" i="3"/>
  <c r="T255" i="3" s="1"/>
  <c r="O268" i="3"/>
  <c r="T268" i="3" s="1"/>
  <c r="O239" i="3"/>
  <c r="T239" i="3" s="1"/>
  <c r="O250" i="3"/>
  <c r="T250" i="3" s="1"/>
  <c r="O254" i="3"/>
  <c r="T254" i="3" s="1"/>
  <c r="O237" i="3"/>
  <c r="T237" i="3" s="1"/>
  <c r="O243" i="3"/>
  <c r="T243" i="3" s="1"/>
  <c r="O247" i="3"/>
  <c r="T247" i="3" s="1"/>
  <c r="O252" i="3"/>
  <c r="T252" i="3" s="1"/>
  <c r="O256" i="3"/>
  <c r="T256" i="3" s="1"/>
  <c r="O238" i="3"/>
  <c r="T238" i="3" s="1"/>
  <c r="O244" i="3"/>
  <c r="T244" i="3" s="1"/>
  <c r="O253" i="3"/>
  <c r="T253" i="3" s="1"/>
  <c r="O257" i="3"/>
  <c r="T257" i="3" s="1"/>
  <c r="D276" i="3"/>
  <c r="J276" i="3" s="1"/>
  <c r="J273" i="3"/>
  <c r="Q273" i="3" s="1"/>
  <c r="J278" i="3"/>
  <c r="M278" i="3" s="1"/>
  <c r="O288" i="3"/>
  <c r="S288" i="3"/>
  <c r="Q288" i="3"/>
  <c r="O241" i="3"/>
  <c r="T241" i="3" s="1"/>
  <c r="D279" i="3"/>
  <c r="O236" i="3"/>
  <c r="T236" i="3" s="1"/>
  <c r="O242" i="3"/>
  <c r="T242" i="3" s="1"/>
  <c r="S228" i="3"/>
  <c r="J200" i="3"/>
  <c r="F39" i="18"/>
  <c r="F41" i="25" s="1"/>
  <c r="O196" i="3"/>
  <c r="T196" i="3" s="1"/>
  <c r="F36" i="18"/>
  <c r="F38" i="25" s="1"/>
  <c r="O198" i="3"/>
  <c r="T198" i="3" s="1"/>
  <c r="F38" i="18"/>
  <c r="F40" i="25" s="1"/>
  <c r="O248" i="3"/>
  <c r="T248" i="3" s="1"/>
  <c r="O199" i="3"/>
  <c r="T199" i="3" s="1"/>
  <c r="O300" i="3"/>
  <c r="O249" i="3"/>
  <c r="T249" i="3" s="1"/>
  <c r="O263" i="3"/>
  <c r="T263" i="3" s="1"/>
  <c r="J261" i="3"/>
  <c r="F42" i="29" s="1"/>
  <c r="F43" i="30" s="1"/>
  <c r="O302" i="3"/>
  <c r="J272" i="3"/>
  <c r="Q272" i="3" s="1"/>
  <c r="J197" i="3"/>
  <c r="S277" i="3"/>
  <c r="Q277" i="3"/>
  <c r="O277" i="3"/>
  <c r="M228" i="3"/>
  <c r="Q228" i="3"/>
  <c r="M230" i="3"/>
  <c r="Q230" i="3"/>
  <c r="M277" i="3"/>
  <c r="O228" i="3"/>
  <c r="O230" i="3"/>
  <c r="Q300" i="3"/>
  <c r="Q302" i="3"/>
  <c r="S300" i="3"/>
  <c r="S302" i="3"/>
  <c r="O260" i="3" l="1"/>
  <c r="T260" i="3" s="1"/>
  <c r="C50" i="30"/>
  <c r="C50" i="25"/>
  <c r="M273" i="3"/>
  <c r="O261" i="3"/>
  <c r="T261" i="3" s="1"/>
  <c r="S273" i="3"/>
  <c r="S276" i="3"/>
  <c r="Q276" i="3"/>
  <c r="O276" i="3"/>
  <c r="M276" i="3"/>
  <c r="O273" i="3"/>
  <c r="T288" i="3"/>
  <c r="O278" i="3"/>
  <c r="Q278" i="3"/>
  <c r="S278" i="3"/>
  <c r="S280" i="3"/>
  <c r="H283" i="3" s="1"/>
  <c r="O275" i="3"/>
  <c r="Q275" i="3"/>
  <c r="M275" i="3"/>
  <c r="J289" i="3"/>
  <c r="O200" i="3"/>
  <c r="T200" i="3" s="1"/>
  <c r="F40" i="18"/>
  <c r="F42" i="25" s="1"/>
  <c r="O197" i="3"/>
  <c r="T197" i="3" s="1"/>
  <c r="F37" i="18"/>
  <c r="F39" i="25" s="1"/>
  <c r="S272" i="3"/>
  <c r="M272" i="3"/>
  <c r="O272" i="3"/>
  <c r="T277" i="3"/>
  <c r="T273" i="3" l="1"/>
  <c r="T276" i="3"/>
  <c r="E295" i="3"/>
  <c r="J295" i="3" s="1"/>
  <c r="E294" i="3"/>
  <c r="J294" i="3" s="1"/>
  <c r="E296" i="3"/>
  <c r="J296" i="3" s="1"/>
  <c r="T278" i="3"/>
  <c r="D281" i="3"/>
  <c r="J281" i="3" s="1"/>
  <c r="M281" i="3" s="1"/>
  <c r="J283" i="3"/>
  <c r="D290" i="3"/>
  <c r="D285" i="3"/>
  <c r="J285" i="3" s="1"/>
  <c r="Q285" i="3" s="1"/>
  <c r="T275" i="3"/>
  <c r="M289" i="3"/>
  <c r="S289" i="3"/>
  <c r="Q289" i="3"/>
  <c r="O289" i="3"/>
  <c r="T272" i="3"/>
  <c r="U271" i="3" l="1"/>
  <c r="M296" i="3"/>
  <c r="O296" i="3"/>
  <c r="Q296" i="3"/>
  <c r="S296" i="3"/>
  <c r="Q294" i="3"/>
  <c r="O294" i="3"/>
  <c r="M294" i="3"/>
  <c r="S294" i="3"/>
  <c r="Q295" i="3"/>
  <c r="S295" i="3"/>
  <c r="O295" i="3"/>
  <c r="M295" i="3"/>
  <c r="Q281" i="3"/>
  <c r="J290" i="3"/>
  <c r="O290" i="3" s="1"/>
  <c r="S281" i="3"/>
  <c r="O281" i="3"/>
  <c r="S283" i="3"/>
  <c r="Q283" i="3"/>
  <c r="O283" i="3"/>
  <c r="M283" i="3"/>
  <c r="S285" i="3"/>
  <c r="M285" i="3"/>
  <c r="O285" i="3"/>
  <c r="T289" i="3"/>
  <c r="V271" i="3" l="1"/>
  <c r="N303" i="3"/>
  <c r="T296" i="3"/>
  <c r="T295" i="3"/>
  <c r="T294" i="3"/>
  <c r="Q290" i="3"/>
  <c r="M290" i="3"/>
  <c r="S290" i="3"/>
  <c r="T281" i="3"/>
  <c r="T283" i="3"/>
  <c r="T285" i="3"/>
  <c r="A54" i="3"/>
  <c r="A53" i="3"/>
  <c r="A52" i="3"/>
  <c r="A51" i="3"/>
  <c r="A50" i="3"/>
  <c r="A49" i="3"/>
  <c r="A48" i="3"/>
  <c r="A47" i="3"/>
  <c r="A46" i="3"/>
  <c r="N144" i="3"/>
  <c r="A134" i="3"/>
  <c r="A128" i="3"/>
  <c r="D226" i="3"/>
  <c r="D229" i="3"/>
  <c r="D301" i="3" s="1"/>
  <c r="J345" i="3" s="1"/>
  <c r="J169" i="3"/>
  <c r="S169" i="3" s="1"/>
  <c r="A193" i="3"/>
  <c r="D193" i="3" s="1"/>
  <c r="J193" i="3" s="1"/>
  <c r="A192" i="3"/>
  <c r="D192" i="3" s="1"/>
  <c r="J192" i="3" s="1"/>
  <c r="A191" i="3"/>
  <c r="D191" i="3" s="1"/>
  <c r="J191" i="3" s="1"/>
  <c r="A186" i="3"/>
  <c r="D186" i="3" s="1"/>
  <c r="J186" i="3" s="1"/>
  <c r="A185" i="3"/>
  <c r="A184" i="3"/>
  <c r="A183" i="3"/>
  <c r="D183" i="3" s="1"/>
  <c r="J183" i="3" s="1"/>
  <c r="A182" i="3"/>
  <c r="D182" i="3" s="1"/>
  <c r="A181" i="3"/>
  <c r="A180" i="3"/>
  <c r="D180" i="3" s="1"/>
  <c r="J180" i="3" s="1"/>
  <c r="A179" i="3"/>
  <c r="D179" i="3" s="1"/>
  <c r="J179" i="3" s="1"/>
  <c r="A178" i="3"/>
  <c r="D178" i="3" s="1"/>
  <c r="J178" i="3" s="1"/>
  <c r="A177" i="3"/>
  <c r="D202" i="3" s="1"/>
  <c r="N145" i="3" l="1"/>
  <c r="N146" i="3" s="1"/>
  <c r="N147" i="3" s="1"/>
  <c r="B11" i="11"/>
  <c r="D207" i="3"/>
  <c r="D185" i="3"/>
  <c r="J185" i="3" s="1"/>
  <c r="D205" i="3"/>
  <c r="T290" i="3"/>
  <c r="S345" i="3"/>
  <c r="M345" i="3"/>
  <c r="Q345" i="3"/>
  <c r="O345" i="3"/>
  <c r="A45" i="3"/>
  <c r="C3" i="10"/>
  <c r="A12" i="3" s="1"/>
  <c r="D298" i="3"/>
  <c r="D184" i="3"/>
  <c r="J184" i="3" s="1"/>
  <c r="J182" i="3"/>
  <c r="O183" i="3"/>
  <c r="T183" i="3" s="1"/>
  <c r="F23" i="18"/>
  <c r="F25" i="25" s="1"/>
  <c r="O180" i="3"/>
  <c r="T180" i="3" s="1"/>
  <c r="F20" i="18"/>
  <c r="F22" i="25" s="1"/>
  <c r="O192" i="3"/>
  <c r="T192" i="3" s="1"/>
  <c r="F32" i="18"/>
  <c r="F34" i="25" s="1"/>
  <c r="O193" i="3"/>
  <c r="T193" i="3" s="1"/>
  <c r="F33" i="18"/>
  <c r="F35" i="25" s="1"/>
  <c r="O179" i="3"/>
  <c r="T179" i="3" s="1"/>
  <c r="F19" i="18"/>
  <c r="F21" i="25" s="1"/>
  <c r="O191" i="3"/>
  <c r="T191" i="3" s="1"/>
  <c r="F31" i="18"/>
  <c r="F33" i="25" s="1"/>
  <c r="O178" i="3"/>
  <c r="T178" i="3" s="1"/>
  <c r="F18" i="18"/>
  <c r="F20" i="25" s="1"/>
  <c r="O186" i="3"/>
  <c r="T186" i="3" s="1"/>
  <c r="F26" i="18"/>
  <c r="F28" i="25" s="1"/>
  <c r="A195" i="3"/>
  <c r="D195" i="3" s="1"/>
  <c r="J195" i="3" s="1"/>
  <c r="B190" i="3"/>
  <c r="D177" i="3"/>
  <c r="D181" i="3"/>
  <c r="J181" i="3" s="1"/>
  <c r="A129" i="3"/>
  <c r="M169" i="3"/>
  <c r="O169" i="3"/>
  <c r="Q169" i="3"/>
  <c r="D128" i="3"/>
  <c r="D206" i="3" l="1"/>
  <c r="J206" i="3" s="1"/>
  <c r="J94" i="3"/>
  <c r="AI12" i="3"/>
  <c r="AY12" i="3"/>
  <c r="AZ12" i="3" s="1"/>
  <c r="AQ12" i="3"/>
  <c r="AR12" i="3" s="1"/>
  <c r="AA12" i="3"/>
  <c r="AB12" i="3" s="1"/>
  <c r="D12" i="3"/>
  <c r="J12" i="3" s="1"/>
  <c r="O12" i="3" s="1"/>
  <c r="O182" i="3"/>
  <c r="T182" i="3" s="1"/>
  <c r="F25" i="18"/>
  <c r="F27" i="25" s="1"/>
  <c r="O185" i="3"/>
  <c r="T185" i="3" s="1"/>
  <c r="A111" i="3"/>
  <c r="A115" i="3"/>
  <c r="A113" i="3"/>
  <c r="A112" i="3"/>
  <c r="D79" i="3"/>
  <c r="T345" i="3"/>
  <c r="J336" i="3"/>
  <c r="C29" i="10"/>
  <c r="A27" i="3" s="1"/>
  <c r="Q203" i="3"/>
  <c r="O203" i="3"/>
  <c r="M203" i="3"/>
  <c r="S203" i="3"/>
  <c r="F24" i="18"/>
  <c r="F26" i="25" s="1"/>
  <c r="O184" i="3"/>
  <c r="T184" i="3" s="1"/>
  <c r="F22" i="18"/>
  <c r="F24" i="25" s="1"/>
  <c r="J202" i="3"/>
  <c r="J177" i="3"/>
  <c r="O195" i="3"/>
  <c r="T195" i="3" s="1"/>
  <c r="F35" i="18"/>
  <c r="F37" i="25" s="1"/>
  <c r="O181" i="3"/>
  <c r="T181" i="3" s="1"/>
  <c r="F21" i="18"/>
  <c r="F23" i="25" s="1"/>
  <c r="A187" i="3"/>
  <c r="D188" i="3"/>
  <c r="J188" i="3" s="1"/>
  <c r="D189" i="3"/>
  <c r="J189" i="3" s="1"/>
  <c r="A190" i="3"/>
  <c r="D190" i="3" s="1"/>
  <c r="D129" i="3"/>
  <c r="Q206" i="3" l="1"/>
  <c r="O206" i="3"/>
  <c r="S206" i="3"/>
  <c r="M206" i="3"/>
  <c r="O177" i="3"/>
  <c r="T177" i="3" s="1"/>
  <c r="D115" i="3"/>
  <c r="J115" i="3" s="1"/>
  <c r="O115" i="3" s="1"/>
  <c r="T115" i="3" s="1"/>
  <c r="S336" i="3"/>
  <c r="M336" i="3"/>
  <c r="Q336" i="3"/>
  <c r="O336" i="3"/>
  <c r="T203" i="3"/>
  <c r="D187" i="3"/>
  <c r="J187" i="3" s="1"/>
  <c r="S208" i="3"/>
  <c r="Q202" i="3"/>
  <c r="M202" i="3"/>
  <c r="S202" i="3"/>
  <c r="O202" i="3"/>
  <c r="J190" i="3"/>
  <c r="O188" i="3"/>
  <c r="T188" i="3" s="1"/>
  <c r="F28" i="18"/>
  <c r="F30" i="25" s="1"/>
  <c r="O189" i="3"/>
  <c r="T189" i="3" s="1"/>
  <c r="F29" i="18"/>
  <c r="F31" i="25" s="1"/>
  <c r="F17" i="18"/>
  <c r="F19" i="25" s="1"/>
  <c r="D194" i="3"/>
  <c r="J194" i="3" s="1"/>
  <c r="A194" i="3"/>
  <c r="L59" i="3"/>
  <c r="T206" i="3" l="1"/>
  <c r="F30" i="18"/>
  <c r="F32" i="25" s="1"/>
  <c r="D112" i="3"/>
  <c r="J112" i="3" s="1"/>
  <c r="O112" i="3" s="1"/>
  <c r="T112" i="3" s="1"/>
  <c r="D113" i="3"/>
  <c r="J113" i="3" s="1"/>
  <c r="O113" i="3" s="1"/>
  <c r="T113" i="3" s="1"/>
  <c r="D111" i="3"/>
  <c r="J111" i="3" s="1"/>
  <c r="O111" i="3" s="1"/>
  <c r="T111" i="3" s="1"/>
  <c r="D116" i="3"/>
  <c r="J116" i="3" s="1"/>
  <c r="O116" i="3" s="1"/>
  <c r="T116" i="3" s="1"/>
  <c r="E223" i="3"/>
  <c r="J223" i="3" s="1"/>
  <c r="E224" i="3"/>
  <c r="J224" i="3" s="1"/>
  <c r="E222" i="3"/>
  <c r="J222" i="3" s="1"/>
  <c r="T336" i="3"/>
  <c r="C39" i="10"/>
  <c r="C44" i="10" s="1"/>
  <c r="O187" i="3"/>
  <c r="T187" i="3" s="1"/>
  <c r="F27" i="18"/>
  <c r="F29" i="25" s="1"/>
  <c r="T202" i="3"/>
  <c r="O190" i="3"/>
  <c r="T190" i="3" s="1"/>
  <c r="J205" i="3"/>
  <c r="O194" i="3"/>
  <c r="T194" i="3" s="1"/>
  <c r="F34" i="18"/>
  <c r="F36" i="25" s="1"/>
  <c r="A20" i="3"/>
  <c r="A15" i="3"/>
  <c r="L58" i="3"/>
  <c r="L57" i="3"/>
  <c r="L56" i="3"/>
  <c r="L55" i="3"/>
  <c r="L54" i="3"/>
  <c r="L53" i="3"/>
  <c r="L52" i="3"/>
  <c r="L51" i="3"/>
  <c r="L50" i="3"/>
  <c r="L49" i="3"/>
  <c r="L48" i="3"/>
  <c r="L47" i="3"/>
  <c r="L46" i="3"/>
  <c r="L45" i="3"/>
  <c r="L44" i="3"/>
  <c r="J128" i="3"/>
  <c r="D15" i="3" l="1"/>
  <c r="J15" i="3" s="1"/>
  <c r="AY15" i="3"/>
  <c r="AZ15" i="3" s="1"/>
  <c r="AQ15" i="3"/>
  <c r="AR15" i="3" s="1"/>
  <c r="AY20" i="3"/>
  <c r="AZ20" i="3" s="1"/>
  <c r="AQ20" i="3"/>
  <c r="AR20" i="3" s="1"/>
  <c r="AI20" i="3"/>
  <c r="Q222" i="3"/>
  <c r="M222" i="3"/>
  <c r="O222" i="3"/>
  <c r="S222" i="3"/>
  <c r="Q224" i="3"/>
  <c r="S224" i="3"/>
  <c r="O224" i="3"/>
  <c r="M224" i="3"/>
  <c r="O223" i="3"/>
  <c r="S223" i="3"/>
  <c r="M223" i="3"/>
  <c r="Q223" i="3"/>
  <c r="U332" i="3"/>
  <c r="AI15" i="3"/>
  <c r="A131" i="3"/>
  <c r="C40" i="10"/>
  <c r="U176" i="3"/>
  <c r="D218" i="3"/>
  <c r="J218" i="3" s="1"/>
  <c r="D209" i="3"/>
  <c r="J209" i="3" s="1"/>
  <c r="O205" i="3"/>
  <c r="M205" i="3"/>
  <c r="Q205" i="3"/>
  <c r="S205" i="3"/>
  <c r="AA20" i="3"/>
  <c r="AB20" i="3" s="1"/>
  <c r="AA15" i="3"/>
  <c r="AB15" i="3" s="1"/>
  <c r="F21" i="20"/>
  <c r="F23" i="19"/>
  <c r="A127" i="3"/>
  <c r="D141" i="3"/>
  <c r="J141" i="3" s="1"/>
  <c r="A126" i="3"/>
  <c r="A139" i="3" s="1"/>
  <c r="D139" i="3" s="1"/>
  <c r="J129" i="3"/>
  <c r="O128" i="3"/>
  <c r="A43" i="3" l="1"/>
  <c r="B43" i="3" s="1"/>
  <c r="O33" i="3"/>
  <c r="T33" i="3" s="1"/>
  <c r="J35" i="3"/>
  <c r="O35" i="3" s="1"/>
  <c r="T35" i="3" s="1"/>
  <c r="J34" i="3"/>
  <c r="O34" i="3" s="1"/>
  <c r="T34" i="3" s="1"/>
  <c r="D69" i="3"/>
  <c r="T224" i="3"/>
  <c r="T223" i="3"/>
  <c r="T222" i="3"/>
  <c r="N377" i="3"/>
  <c r="V332" i="3"/>
  <c r="I231" i="3"/>
  <c r="V176" i="3"/>
  <c r="T205" i="3"/>
  <c r="U201" i="3" s="1"/>
  <c r="O209" i="3"/>
  <c r="Q209" i="3"/>
  <c r="M209" i="3"/>
  <c r="S209" i="3"/>
  <c r="M218" i="3"/>
  <c r="S218" i="3"/>
  <c r="D213" i="3" s="1"/>
  <c r="J213" i="3" s="1"/>
  <c r="Q218" i="3"/>
  <c r="O218" i="3"/>
  <c r="O15" i="3"/>
  <c r="T15" i="3" s="1"/>
  <c r="AJ15" i="3"/>
  <c r="O129" i="3"/>
  <c r="F24" i="19"/>
  <c r="F22" i="20"/>
  <c r="A141" i="3"/>
  <c r="D126" i="3"/>
  <c r="J126" i="3" s="1"/>
  <c r="D127" i="3"/>
  <c r="J127" i="3" s="1"/>
  <c r="D131" i="3"/>
  <c r="J131" i="3" s="1"/>
  <c r="O141" i="3"/>
  <c r="T128" i="3"/>
  <c r="J139" i="3" l="1"/>
  <c r="AR34" i="3"/>
  <c r="AJ34" i="3"/>
  <c r="AZ34" i="3"/>
  <c r="AB34" i="3"/>
  <c r="AZ35" i="3"/>
  <c r="AB35" i="3"/>
  <c r="AR35" i="3"/>
  <c r="AJ35" i="3"/>
  <c r="AR33" i="3"/>
  <c r="AJ33" i="3"/>
  <c r="AB33" i="3"/>
  <c r="AZ33" i="3"/>
  <c r="H212" i="3"/>
  <c r="J212" i="3" s="1"/>
  <c r="V201" i="3"/>
  <c r="N231" i="3"/>
  <c r="T209" i="3"/>
  <c r="O213" i="3"/>
  <c r="S213" i="3"/>
  <c r="Q213" i="3"/>
  <c r="M213" i="3"/>
  <c r="T218" i="3"/>
  <c r="O127" i="3"/>
  <c r="T127" i="3" s="1"/>
  <c r="F20" i="20"/>
  <c r="F22" i="19"/>
  <c r="O131" i="3"/>
  <c r="T131" i="3" s="1"/>
  <c r="F26" i="19"/>
  <c r="F24" i="20"/>
  <c r="O126" i="3"/>
  <c r="T126" i="3" s="1"/>
  <c r="F21" i="19"/>
  <c r="F19" i="20"/>
  <c r="A130" i="3"/>
  <c r="A132" i="3"/>
  <c r="T141" i="3"/>
  <c r="T129" i="3"/>
  <c r="D145" i="3" l="1"/>
  <c r="J145" i="3" s="1"/>
  <c r="M212" i="3"/>
  <c r="Q212" i="3"/>
  <c r="S212" i="3"/>
  <c r="O212" i="3"/>
  <c r="T213" i="3"/>
  <c r="O139" i="3"/>
  <c r="T139" i="3" s="1"/>
  <c r="F31" i="20"/>
  <c r="F33" i="19"/>
  <c r="A133" i="3"/>
  <c r="D144" i="3" s="1"/>
  <c r="D134" i="3"/>
  <c r="D146" i="3" s="1" a="1"/>
  <c r="D146" i="3" s="1"/>
  <c r="D132" i="3"/>
  <c r="J132" i="3" s="1"/>
  <c r="D130" i="3"/>
  <c r="J130" i="3" s="1"/>
  <c r="M145" i="3" l="1"/>
  <c r="S145" i="3"/>
  <c r="Q145" i="3"/>
  <c r="O145" i="3"/>
  <c r="T212" i="3"/>
  <c r="O130" i="3"/>
  <c r="T130" i="3" s="1"/>
  <c r="F23" i="20"/>
  <c r="F25" i="19"/>
  <c r="O132" i="3"/>
  <c r="T132" i="3" s="1"/>
  <c r="F25" i="20"/>
  <c r="F27" i="19"/>
  <c r="D133" i="3"/>
  <c r="J146" i="3"/>
  <c r="J134" i="3"/>
  <c r="T145" i="3" l="1"/>
  <c r="O134" i="3"/>
  <c r="T134" i="3" s="1"/>
  <c r="F29" i="19"/>
  <c r="F27" i="20"/>
  <c r="A135" i="3"/>
  <c r="J144" i="3"/>
  <c r="S144" i="3" s="1"/>
  <c r="J133" i="3"/>
  <c r="M146" i="3"/>
  <c r="S146" i="3"/>
  <c r="Q146" i="3"/>
  <c r="O146" i="3"/>
  <c r="O133" i="3" l="1"/>
  <c r="T133" i="3" s="1"/>
  <c r="F28" i="19"/>
  <c r="F26" i="20"/>
  <c r="O144" i="3"/>
  <c r="M144" i="3"/>
  <c r="Q144" i="3"/>
  <c r="D135" i="3"/>
  <c r="J135" i="3" s="1"/>
  <c r="T146" i="3"/>
  <c r="V146" i="3" s="1" a="1"/>
  <c r="V146" i="3" s="1"/>
  <c r="O135" i="3" l="1"/>
  <c r="T135" i="3" s="1"/>
  <c r="F30" i="19"/>
  <c r="F28" i="20"/>
  <c r="T144" i="3"/>
  <c r="V144" i="3" s="1" a="1"/>
  <c r="V144" i="3" s="1"/>
  <c r="J78" i="3" l="1"/>
  <c r="Q78" i="3" s="1"/>
  <c r="J75" i="3"/>
  <c r="S75" i="3" s="1"/>
  <c r="J73" i="3"/>
  <c r="M73" i="3" s="1"/>
  <c r="Q73" i="3" l="1"/>
  <c r="Q75" i="3"/>
  <c r="O75" i="3"/>
  <c r="O73" i="3"/>
  <c r="M75" i="3"/>
  <c r="S73" i="3"/>
  <c r="M78" i="3"/>
  <c r="O78" i="3"/>
  <c r="A25" i="3"/>
  <c r="D25" i="3" s="1"/>
  <c r="D64" i="3" s="1"/>
  <c r="AV31" i="10"/>
  <c r="A23" i="3"/>
  <c r="C38" i="10"/>
  <c r="C53" i="10" l="1"/>
  <c r="A125" i="3"/>
  <c r="A124" i="3"/>
  <c r="D124" i="3" s="1"/>
  <c r="A13" i="3"/>
  <c r="AA13" i="3" s="1"/>
  <c r="A14" i="3"/>
  <c r="AA14" i="3" s="1"/>
  <c r="A17" i="3"/>
  <c r="D23" i="3"/>
  <c r="A22" i="3"/>
  <c r="A16" i="3"/>
  <c r="A26" i="3"/>
  <c r="D26" i="3" s="1"/>
  <c r="T75" i="3"/>
  <c r="T73" i="3"/>
  <c r="D20" i="3"/>
  <c r="A21" i="3"/>
  <c r="A18" i="3" s="1"/>
  <c r="A19" i="3" s="1"/>
  <c r="J28" i="3"/>
  <c r="O28" i="3" s="1"/>
  <c r="T28" i="3" s="1"/>
  <c r="D38" i="3"/>
  <c r="D60" i="3" s="1"/>
  <c r="J124" i="3" l="1"/>
  <c r="O124" i="3" s="1"/>
  <c r="T124" i="3" s="1"/>
  <c r="D143" i="3"/>
  <c r="F17" i="20"/>
  <c r="AB14" i="3"/>
  <c r="AY27" i="3"/>
  <c r="AY13" i="3"/>
  <c r="AZ13" i="3" s="1"/>
  <c r="AQ13" i="3"/>
  <c r="AR13" i="3" s="1"/>
  <c r="AB13" i="3"/>
  <c r="AI13" i="3"/>
  <c r="AZ28" i="3"/>
  <c r="AJ28" i="3"/>
  <c r="AR28" i="3"/>
  <c r="AB28" i="3"/>
  <c r="AI17" i="3"/>
  <c r="AY17" i="3"/>
  <c r="AZ17" i="3" s="1"/>
  <c r="AQ17" i="3"/>
  <c r="AR17" i="3" s="1"/>
  <c r="AI16" i="3"/>
  <c r="AY16" i="3"/>
  <c r="AZ16" i="3" s="1"/>
  <c r="AQ16" i="3"/>
  <c r="AR16" i="3" s="1"/>
  <c r="AI14" i="3"/>
  <c r="AY14" i="3"/>
  <c r="AZ14" i="3" s="1"/>
  <c r="AQ14" i="3"/>
  <c r="AR14" i="3" s="1"/>
  <c r="AY22" i="3"/>
  <c r="AZ22" i="3" s="1"/>
  <c r="AQ22" i="3"/>
  <c r="AR22" i="3" s="1"/>
  <c r="A114" i="3"/>
  <c r="D114" i="3" s="1"/>
  <c r="J114" i="3" s="1"/>
  <c r="O114" i="3" s="1"/>
  <c r="T114" i="3" s="1"/>
  <c r="U110" i="3" s="1"/>
  <c r="N39" i="3" s="1"/>
  <c r="AY21" i="3"/>
  <c r="AZ21" i="3" s="1"/>
  <c r="AQ21" i="3"/>
  <c r="AR21" i="3" s="1"/>
  <c r="A140" i="3"/>
  <c r="D140" i="3" s="1"/>
  <c r="J140" i="3" s="1"/>
  <c r="O140" i="3" s="1"/>
  <c r="T140" i="3" s="1"/>
  <c r="V145" i="3" s="1"/>
  <c r="A137" i="3"/>
  <c r="D137" i="3" s="1"/>
  <c r="D14" i="3"/>
  <c r="J14" i="3" s="1"/>
  <c r="A29" i="3"/>
  <c r="D29" i="3" s="1"/>
  <c r="D66" i="3"/>
  <c r="AI22" i="3"/>
  <c r="AI21" i="3"/>
  <c r="AA22" i="3"/>
  <c r="AB22" i="3" s="1"/>
  <c r="AA21" i="3"/>
  <c r="AB21" i="3" s="1"/>
  <c r="D17" i="3"/>
  <c r="AA17" i="3"/>
  <c r="AB17" i="3" s="1"/>
  <c r="D16" i="3"/>
  <c r="J16" i="3" s="1"/>
  <c r="AA16" i="3"/>
  <c r="AB16" i="3" s="1"/>
  <c r="D22" i="3"/>
  <c r="D21" i="3"/>
  <c r="D13" i="3"/>
  <c r="J13" i="3" s="1"/>
  <c r="D125" i="3"/>
  <c r="C103" i="3"/>
  <c r="A30" i="3"/>
  <c r="F19" i="19" l="1"/>
  <c r="D32" i="3"/>
  <c r="D31" i="3"/>
  <c r="J31" i="3" s="1"/>
  <c r="O31" i="3" s="1"/>
  <c r="T31" i="3" s="1"/>
  <c r="D30" i="3"/>
  <c r="V110" i="3"/>
  <c r="AI18" i="3"/>
  <c r="AY18" i="3"/>
  <c r="AZ18" i="3" s="1"/>
  <c r="AQ18" i="3"/>
  <c r="AR18" i="3" s="1"/>
  <c r="O14" i="3"/>
  <c r="T14" i="3" s="1"/>
  <c r="D68" i="3"/>
  <c r="J68" i="3" s="1"/>
  <c r="M68" i="3" s="1"/>
  <c r="T68" i="3" s="1"/>
  <c r="A136" i="3"/>
  <c r="C99" i="3" s="1"/>
  <c r="C107" i="3" s="1"/>
  <c r="D150" i="3" a="1"/>
  <c r="D150" i="3" s="1"/>
  <c r="D159" i="3" s="1"/>
  <c r="F19" i="14"/>
  <c r="G21" i="13"/>
  <c r="D67" i="3"/>
  <c r="J22" i="3"/>
  <c r="O16" i="3"/>
  <c r="T16" i="3" s="1"/>
  <c r="AA18" i="3"/>
  <c r="AB18" i="3" s="1"/>
  <c r="AJ22" i="3"/>
  <c r="AJ16" i="3"/>
  <c r="AJ14" i="3"/>
  <c r="D18" i="3"/>
  <c r="J18" i="3" s="1"/>
  <c r="D62" i="3" s="1"/>
  <c r="J125" i="3"/>
  <c r="J60" i="3"/>
  <c r="M60" i="3" s="1"/>
  <c r="T60" i="3" s="1"/>
  <c r="J137" i="3"/>
  <c r="J64" i="3"/>
  <c r="M64" i="3" s="1"/>
  <c r="T64" i="3" s="1"/>
  <c r="G21" i="2" l="1"/>
  <c r="G22" i="2"/>
  <c r="G23" i="2"/>
  <c r="G24" i="2"/>
  <c r="G25" i="2"/>
  <c r="G26" i="2"/>
  <c r="G27" i="2"/>
  <c r="G45" i="2"/>
  <c r="G41" i="2"/>
  <c r="G37" i="2"/>
  <c r="G33" i="2"/>
  <c r="G29" i="2"/>
  <c r="G18" i="2"/>
  <c r="G14" i="2"/>
  <c r="G10" i="2"/>
  <c r="G6" i="2"/>
  <c r="G39" i="2"/>
  <c r="G31" i="2"/>
  <c r="G16" i="2"/>
  <c r="G8" i="2"/>
  <c r="G42" i="2"/>
  <c r="G30" i="2"/>
  <c r="G15" i="2"/>
  <c r="G7" i="2"/>
  <c r="G44" i="2"/>
  <c r="G40" i="2"/>
  <c r="G36" i="2"/>
  <c r="G32" i="2"/>
  <c r="G28" i="2"/>
  <c r="G17" i="2"/>
  <c r="G13" i="2"/>
  <c r="G9" i="2"/>
  <c r="G5" i="2"/>
  <c r="G43" i="2"/>
  <c r="G35" i="2"/>
  <c r="G20" i="2"/>
  <c r="G12" i="2"/>
  <c r="G4" i="2"/>
  <c r="G38" i="2"/>
  <c r="G34" i="2"/>
  <c r="G19" i="2"/>
  <c r="G11" i="2"/>
  <c r="AB31" i="3"/>
  <c r="AZ31" i="3"/>
  <c r="AR31" i="3"/>
  <c r="G34" i="13"/>
  <c r="D36" i="3"/>
  <c r="AJ31" i="3"/>
  <c r="G22" i="13"/>
  <c r="J62" i="3"/>
  <c r="M62" i="3" s="1"/>
  <c r="T62" i="3" s="1"/>
  <c r="D136" i="3"/>
  <c r="J136" i="3" s="1"/>
  <c r="O136" i="3" s="1"/>
  <c r="T136" i="3" s="1"/>
  <c r="D147" i="3"/>
  <c r="J143" i="3"/>
  <c r="Q143" i="3" s="1"/>
  <c r="J150" i="3"/>
  <c r="M150" i="3" s="1"/>
  <c r="F31" i="14"/>
  <c r="O22" i="3"/>
  <c r="T22" i="3" s="1"/>
  <c r="F19" i="23"/>
  <c r="G33" i="13"/>
  <c r="A138" i="3" a="1"/>
  <c r="A138" i="3" s="1"/>
  <c r="D138" i="3" s="1"/>
  <c r="J138" i="3" s="1"/>
  <c r="O138" i="3" s="1"/>
  <c r="T138" i="3" s="1"/>
  <c r="F20" i="14"/>
  <c r="O125" i="3"/>
  <c r="T125" i="3" s="1"/>
  <c r="F20" i="19"/>
  <c r="F18" i="20"/>
  <c r="O137" i="3"/>
  <c r="F32" i="19"/>
  <c r="F30" i="20"/>
  <c r="J84" i="3"/>
  <c r="J83" i="3"/>
  <c r="J77" i="3"/>
  <c r="J147" i="3" l="1"/>
  <c r="Q147" i="3" s="1"/>
  <c r="D148" i="3"/>
  <c r="F29" i="20"/>
  <c r="F31" i="19"/>
  <c r="S147" i="3"/>
  <c r="O143" i="3"/>
  <c r="S143" i="3"/>
  <c r="M143" i="3"/>
  <c r="S150" i="3"/>
  <c r="O150" i="3"/>
  <c r="Q150" i="3"/>
  <c r="T137" i="3"/>
  <c r="U123" i="3" s="1"/>
  <c r="M84" i="3"/>
  <c r="S84" i="3"/>
  <c r="Q84" i="3"/>
  <c r="O84" i="3"/>
  <c r="M83" i="3"/>
  <c r="S83" i="3"/>
  <c r="O83" i="3"/>
  <c r="Q83" i="3"/>
  <c r="Q77" i="3"/>
  <c r="O77" i="3"/>
  <c r="M77" i="3"/>
  <c r="O147" i="3" l="1"/>
  <c r="M147" i="3"/>
  <c r="T147" i="3" s="1"/>
  <c r="V147" i="3" s="1" a="1"/>
  <c r="V147" i="3" s="1"/>
  <c r="J148" i="3"/>
  <c r="O148" i="3" s="1"/>
  <c r="S149" i="3"/>
  <c r="T143" i="3"/>
  <c r="V143" i="3" s="1" a="1"/>
  <c r="V143" i="3" s="1"/>
  <c r="T150" i="3"/>
  <c r="J159" i="3"/>
  <c r="T84" i="3"/>
  <c r="T83" i="3"/>
  <c r="S148" i="3" l="1"/>
  <c r="Q148" i="3"/>
  <c r="M148" i="3"/>
  <c r="E163" i="3"/>
  <c r="J163" i="3" s="1"/>
  <c r="E165" i="3"/>
  <c r="J165" i="3" s="1"/>
  <c r="E164" i="3"/>
  <c r="J164" i="3" s="1"/>
  <c r="V123" i="3"/>
  <c r="I172" i="3"/>
  <c r="Q159" i="3"/>
  <c r="O159" i="3"/>
  <c r="M159" i="3"/>
  <c r="S159" i="3"/>
  <c r="D154" i="3" s="1"/>
  <c r="J154" i="3" s="1"/>
  <c r="S154" i="3" s="1"/>
  <c r="C105" i="3"/>
  <c r="T148" i="3" l="1"/>
  <c r="U142" i="3" s="1"/>
  <c r="V142" i="3" s="1"/>
  <c r="S164" i="3"/>
  <c r="Q164" i="3"/>
  <c r="M164" i="3"/>
  <c r="O164" i="3"/>
  <c r="O165" i="3"/>
  <c r="S165" i="3"/>
  <c r="Q165" i="3"/>
  <c r="M165" i="3"/>
  <c r="Q163" i="3"/>
  <c r="S163" i="3"/>
  <c r="O163" i="3"/>
  <c r="M163" i="3"/>
  <c r="M154" i="3"/>
  <c r="Q154" i="3"/>
  <c r="O154" i="3"/>
  <c r="T159" i="3"/>
  <c r="A172" i="3" s="1"/>
  <c r="N172" i="3" l="1"/>
  <c r="T163" i="3"/>
  <c r="T165" i="3"/>
  <c r="T164" i="3"/>
  <c r="T154" i="3"/>
  <c r="J36" i="3"/>
  <c r="J32" i="3"/>
  <c r="J30" i="3"/>
  <c r="J29" i="3"/>
  <c r="J26" i="3"/>
  <c r="J25" i="3"/>
  <c r="J21" i="3"/>
  <c r="F18" i="23" s="1"/>
  <c r="J20" i="3"/>
  <c r="J17" i="3"/>
  <c r="J95" i="3"/>
  <c r="O95" i="3" s="1"/>
  <c r="J92" i="3"/>
  <c r="O92" i="3" s="1"/>
  <c r="J90" i="3"/>
  <c r="S90" i="3" s="1"/>
  <c r="J69" i="3"/>
  <c r="J66" i="3"/>
  <c r="F21" i="23" l="1"/>
  <c r="F34" i="14"/>
  <c r="O20" i="3"/>
  <c r="F17" i="23"/>
  <c r="G29" i="13"/>
  <c r="F27" i="14"/>
  <c r="G36" i="13"/>
  <c r="G24" i="13"/>
  <c r="F22" i="14"/>
  <c r="G31" i="13"/>
  <c r="F29" i="14"/>
  <c r="G27" i="13"/>
  <c r="F25" i="14"/>
  <c r="G28" i="13"/>
  <c r="F26" i="14"/>
  <c r="G32" i="13"/>
  <c r="F30" i="14"/>
  <c r="G25" i="13"/>
  <c r="F23" i="14"/>
  <c r="G20" i="13"/>
  <c r="F18" i="14"/>
  <c r="O13" i="3"/>
  <c r="AJ13" i="3" s="1"/>
  <c r="Q95" i="3"/>
  <c r="M66" i="3"/>
  <c r="M69" i="3"/>
  <c r="Q92" i="3"/>
  <c r="J38" i="3"/>
  <c r="J23" i="3"/>
  <c r="O30" i="3"/>
  <c r="M90" i="3"/>
  <c r="O90" i="3"/>
  <c r="O25" i="3"/>
  <c r="O17" i="3"/>
  <c r="AJ17" i="3" s="1"/>
  <c r="O21" i="3"/>
  <c r="AJ21" i="3" s="1"/>
  <c r="O36" i="3"/>
  <c r="O29" i="3"/>
  <c r="O32" i="3"/>
  <c r="S92" i="3"/>
  <c r="S95" i="3"/>
  <c r="O18" i="3"/>
  <c r="AJ18" i="3" s="1"/>
  <c r="Q90" i="3"/>
  <c r="M92" i="3"/>
  <c r="M95" i="3"/>
  <c r="T20" i="3" l="1"/>
  <c r="AJ20" i="3"/>
  <c r="F32" i="14"/>
  <c r="F20" i="23"/>
  <c r="O23" i="3"/>
  <c r="G35" i="13"/>
  <c r="O38" i="3"/>
  <c r="T95" i="3"/>
  <c r="T66" i="3"/>
  <c r="T69" i="3"/>
  <c r="T30" i="3"/>
  <c r="T32" i="3"/>
  <c r="T29" i="3"/>
  <c r="T25" i="3"/>
  <c r="T18" i="3"/>
  <c r="T13" i="3"/>
  <c r="T21" i="3"/>
  <c r="O26" i="3"/>
  <c r="T36" i="3"/>
  <c r="T17" i="3"/>
  <c r="AJ32" i="3" l="1"/>
  <c r="AR32" i="3"/>
  <c r="AZ32" i="3"/>
  <c r="AJ36" i="3"/>
  <c r="AR36" i="3"/>
  <c r="AZ36" i="3"/>
  <c r="AJ30" i="3"/>
  <c r="AZ30" i="3"/>
  <c r="AR30" i="3"/>
  <c r="AJ25" i="3"/>
  <c r="AZ25" i="3"/>
  <c r="AR25" i="3"/>
  <c r="AJ29" i="3"/>
  <c r="AZ29" i="3"/>
  <c r="AR29" i="3"/>
  <c r="AB32" i="3"/>
  <c r="AB29" i="3"/>
  <c r="AB36" i="3"/>
  <c r="AB25" i="3"/>
  <c r="AB30" i="3"/>
  <c r="T38" i="3"/>
  <c r="T23" i="3"/>
  <c r="T26" i="3"/>
  <c r="AJ26" i="3" l="1"/>
  <c r="AZ26" i="3"/>
  <c r="AR26" i="3"/>
  <c r="AJ23" i="3"/>
  <c r="AZ23" i="3"/>
  <c r="AR23" i="3"/>
  <c r="AJ38" i="3"/>
  <c r="AR38" i="3"/>
  <c r="AZ38" i="3"/>
  <c r="AB23" i="3"/>
  <c r="AB38" i="3"/>
  <c r="AB26" i="3"/>
  <c r="J67" i="3"/>
  <c r="M67" i="3" l="1"/>
  <c r="T67" i="3" l="1"/>
  <c r="D183" i="2" l="1"/>
  <c r="D3" i="10" l="1"/>
  <c r="E3" i="10" s="1"/>
  <c r="H71" i="13" s="1"/>
  <c r="AZ27" i="3" l="1"/>
  <c r="AQ27" i="3"/>
  <c r="AR27" i="3" s="1"/>
  <c r="AA27" i="3"/>
  <c r="AB27" i="3" s="1"/>
  <c r="AI27" i="3"/>
  <c r="AJ27" i="3" s="1"/>
  <c r="D27" i="3"/>
  <c r="D37" i="3" s="1"/>
  <c r="J79" i="3"/>
  <c r="AJ12" i="3"/>
  <c r="B58" i="3"/>
  <c r="B48" i="3"/>
  <c r="B45" i="3"/>
  <c r="B44" i="3"/>
  <c r="B52" i="3"/>
  <c r="B46" i="3"/>
  <c r="B55" i="3"/>
  <c r="B53" i="3"/>
  <c r="B56" i="3"/>
  <c r="B47" i="3"/>
  <c r="B50" i="3"/>
  <c r="B49" i="3"/>
  <c r="B59" i="3"/>
  <c r="B57" i="3"/>
  <c r="B51" i="3"/>
  <c r="B54" i="3"/>
  <c r="S2" i="3" l="1"/>
  <c r="AY19" i="3"/>
  <c r="AZ19" i="3" s="1"/>
  <c r="AQ19" i="3"/>
  <c r="AR19" i="3" s="1"/>
  <c r="J37" i="3"/>
  <c r="J65" i="3"/>
  <c r="M65" i="3" s="1"/>
  <c r="T65" i="3" s="1"/>
  <c r="J27" i="3"/>
  <c r="D63" i="3"/>
  <c r="J63" i="3" s="1"/>
  <c r="M63" i="3" s="1"/>
  <c r="T63" i="3" s="1"/>
  <c r="J39" i="3"/>
  <c r="O39" i="3" s="1"/>
  <c r="T39" i="3" s="1"/>
  <c r="Q79" i="3"/>
  <c r="O79" i="3"/>
  <c r="M79" i="3"/>
  <c r="S79" i="3"/>
  <c r="C101" i="3"/>
  <c r="C106" i="3" s="1"/>
  <c r="AI19" i="3"/>
  <c r="AJ19" i="3" s="1"/>
  <c r="AA19" i="3"/>
  <c r="AB19" i="3" s="1"/>
  <c r="D19" i="3"/>
  <c r="J19" i="3" s="1"/>
  <c r="D81" i="3" s="1"/>
  <c r="D80" i="3" s="1"/>
  <c r="F17" i="14"/>
  <c r="G19" i="13"/>
  <c r="T12" i="3"/>
  <c r="AZ39" i="3" l="1"/>
  <c r="AR39" i="3"/>
  <c r="S71" i="3"/>
  <c r="R100" i="3" s="1"/>
  <c r="J80" i="3"/>
  <c r="D43" i="3"/>
  <c r="J43" i="3" s="1"/>
  <c r="M43" i="3" s="1"/>
  <c r="T43" i="3" s="1"/>
  <c r="O37" i="3"/>
  <c r="T37" i="3" s="1"/>
  <c r="F22" i="23"/>
  <c r="T79" i="3"/>
  <c r="AJ39" i="3"/>
  <c r="AB39" i="3"/>
  <c r="O19" i="3"/>
  <c r="F21" i="14"/>
  <c r="G23" i="13"/>
  <c r="O27" i="3"/>
  <c r="T27" i="3" s="1"/>
  <c r="G26" i="13"/>
  <c r="F24" i="14"/>
  <c r="D46" i="3"/>
  <c r="J46" i="3" s="1"/>
  <c r="M46" i="3" s="1"/>
  <c r="T46" i="3" s="1"/>
  <c r="D52" i="3"/>
  <c r="J52" i="3" s="1"/>
  <c r="D47" i="3"/>
  <c r="J47" i="3" s="1"/>
  <c r="M47" i="3" s="1"/>
  <c r="T47" i="3" s="1"/>
  <c r="D44" i="3"/>
  <c r="D45" i="3"/>
  <c r="J45" i="3" s="1"/>
  <c r="M45" i="3" s="1"/>
  <c r="T45" i="3" s="1"/>
  <c r="D53" i="3"/>
  <c r="J53" i="3" s="1"/>
  <c r="A51" i="13" s="1"/>
  <c r="D59" i="3"/>
  <c r="J59" i="3" s="1"/>
  <c r="M59" i="3" s="1"/>
  <c r="T59" i="3" s="1"/>
  <c r="D54" i="3"/>
  <c r="J54" i="3" s="1"/>
  <c r="C51" i="13" s="1"/>
  <c r="D51" i="3"/>
  <c r="J51" i="3" s="1"/>
  <c r="D48" i="3"/>
  <c r="J48" i="3" s="1"/>
  <c r="M48" i="3" s="1"/>
  <c r="T48" i="3" s="1"/>
  <c r="D58" i="3"/>
  <c r="J58" i="3" s="1"/>
  <c r="M58" i="3" s="1"/>
  <c r="T58" i="3" s="1"/>
  <c r="D49" i="3"/>
  <c r="J49" i="3" s="1"/>
  <c r="C50" i="13" s="1"/>
  <c r="D57" i="3"/>
  <c r="J57" i="3" s="1"/>
  <c r="D56" i="3"/>
  <c r="J56" i="3" s="1"/>
  <c r="E51" i="13" s="1"/>
  <c r="D50" i="3"/>
  <c r="J50" i="3" s="1"/>
  <c r="D50" i="13" s="1"/>
  <c r="D55" i="3"/>
  <c r="J55" i="3" s="1"/>
  <c r="D51" i="13" s="1"/>
  <c r="J81" i="3"/>
  <c r="E50" i="13" l="1"/>
  <c r="A270" i="3" a="1"/>
  <c r="A270" i="3" s="1"/>
  <c r="D270" i="3" s="1"/>
  <c r="J270" i="3" s="1"/>
  <c r="O270" i="3" s="1"/>
  <c r="T270" i="3" s="1"/>
  <c r="U235" i="3" s="1"/>
  <c r="D76" i="3"/>
  <c r="D72" i="3"/>
  <c r="J72" i="3" s="1"/>
  <c r="AR37" i="3"/>
  <c r="AS11" i="3" s="1"/>
  <c r="AZ37" i="3"/>
  <c r="M51" i="3"/>
  <c r="T51" i="3" s="1"/>
  <c r="D50" i="14"/>
  <c r="M57" i="3"/>
  <c r="T57" i="3" s="1"/>
  <c r="E51" i="14"/>
  <c r="F51" i="13"/>
  <c r="M55" i="3"/>
  <c r="T55" i="3" s="1"/>
  <c r="C51" i="14"/>
  <c r="M49" i="3"/>
  <c r="T49" i="3" s="1"/>
  <c r="B50" i="14"/>
  <c r="M54" i="3"/>
  <c r="T54" i="3" s="1"/>
  <c r="B51" i="14"/>
  <c r="M50" i="3"/>
  <c r="T50" i="3" s="1"/>
  <c r="C50" i="14"/>
  <c r="M56" i="3"/>
  <c r="T56" i="3" s="1"/>
  <c r="D51" i="14"/>
  <c r="M53" i="3"/>
  <c r="T53" i="3" s="1"/>
  <c r="A51" i="14"/>
  <c r="M52" i="3"/>
  <c r="T52" i="3" s="1"/>
  <c r="E50" i="14"/>
  <c r="F50" i="13"/>
  <c r="E85" i="3"/>
  <c r="J85" i="3" s="1"/>
  <c r="E86" i="3"/>
  <c r="D82" i="3"/>
  <c r="J82" i="3" s="1"/>
  <c r="E87" i="3"/>
  <c r="J87" i="3" s="1"/>
  <c r="E88" i="3"/>
  <c r="J88" i="3" s="1"/>
  <c r="R101" i="3"/>
  <c r="T101" i="3" s="1"/>
  <c r="AJ37" i="3"/>
  <c r="AK11" i="3" s="1"/>
  <c r="AB37" i="3"/>
  <c r="AC11" i="3" s="1"/>
  <c r="K103" i="3"/>
  <c r="M103" i="3" s="1"/>
  <c r="K100" i="3"/>
  <c r="M100" i="3" s="1"/>
  <c r="M81" i="3"/>
  <c r="Q81" i="3"/>
  <c r="S81" i="3"/>
  <c r="O81" i="3"/>
  <c r="D61" i="3"/>
  <c r="J61" i="3" s="1"/>
  <c r="M61" i="3" s="1"/>
  <c r="T61" i="3" s="1"/>
  <c r="J44" i="3"/>
  <c r="A50" i="13" s="1"/>
  <c r="Q80" i="3"/>
  <c r="O80" i="3"/>
  <c r="S80" i="3"/>
  <c r="M80" i="3"/>
  <c r="J76" i="3"/>
  <c r="T19" i="3"/>
  <c r="U11" i="3" s="1"/>
  <c r="I303" i="3" l="1"/>
  <c r="V235" i="3"/>
  <c r="Q72" i="3"/>
  <c r="M72" i="3"/>
  <c r="O72" i="3"/>
  <c r="S72" i="3"/>
  <c r="M44" i="3"/>
  <c r="T44" i="3" s="1"/>
  <c r="A50" i="14"/>
  <c r="AT11" i="3"/>
  <c r="AL11" i="3"/>
  <c r="BA11" i="3"/>
  <c r="Q87" i="3"/>
  <c r="M87" i="3"/>
  <c r="S87" i="3"/>
  <c r="O87" i="3"/>
  <c r="J86" i="3"/>
  <c r="S85" i="3"/>
  <c r="Q85" i="3"/>
  <c r="M85" i="3"/>
  <c r="O85" i="3"/>
  <c r="R105" i="3"/>
  <c r="T105" i="3" s="1"/>
  <c r="T100" i="3"/>
  <c r="R102" i="3"/>
  <c r="T102" i="3" s="1"/>
  <c r="M88" i="3"/>
  <c r="S88" i="3"/>
  <c r="O88" i="3"/>
  <c r="Q88" i="3"/>
  <c r="AD11" i="3"/>
  <c r="M107" i="3"/>
  <c r="M82" i="3"/>
  <c r="Q82" i="3"/>
  <c r="O82" i="3"/>
  <c r="S82" i="3"/>
  <c r="T81" i="3"/>
  <c r="Q76" i="3"/>
  <c r="O76" i="3"/>
  <c r="M76" i="3"/>
  <c r="S76" i="3"/>
  <c r="T80" i="3"/>
  <c r="T82" i="3" l="1"/>
  <c r="A96" i="3" s="1"/>
  <c r="T72" i="3"/>
  <c r="A90" i="3" s="1"/>
  <c r="R361" i="3"/>
  <c r="S361" i="3" s="1"/>
  <c r="T361" i="3" s="1"/>
  <c r="R78" i="3"/>
  <c r="S78" i="3" s="1"/>
  <c r="T78" i="3" s="1"/>
  <c r="R156" i="3"/>
  <c r="S156" i="3" s="1"/>
  <c r="T156" i="3" s="1"/>
  <c r="R215" i="3"/>
  <c r="S215" i="3" s="1"/>
  <c r="T215" i="3" s="1"/>
  <c r="R287" i="3"/>
  <c r="S287" i="3" s="1"/>
  <c r="T287" i="3" s="1"/>
  <c r="BB11" i="3"/>
  <c r="U40" i="3"/>
  <c r="T85" i="3"/>
  <c r="S86" i="3"/>
  <c r="Q86" i="3"/>
  <c r="O86" i="3"/>
  <c r="M86" i="3"/>
  <c r="T87" i="3"/>
  <c r="T107" i="3"/>
  <c r="T88" i="3"/>
  <c r="V11" i="3"/>
  <c r="I96" i="3"/>
  <c r="T76" i="3"/>
  <c r="R77" i="3" l="1"/>
  <c r="S77" i="3" s="1"/>
  <c r="T77" i="3" s="1"/>
  <c r="R214" i="3"/>
  <c r="S214" i="3" s="1"/>
  <c r="T214" i="3" s="1"/>
  <c r="U208" i="3" s="1"/>
  <c r="R360" i="3"/>
  <c r="S360" i="3" s="1"/>
  <c r="T360" i="3" s="1"/>
  <c r="U354" i="3" s="1"/>
  <c r="R377" i="3" s="1"/>
  <c r="R286" i="3"/>
  <c r="S286" i="3" s="1"/>
  <c r="T286" i="3" s="1"/>
  <c r="U280" i="3" s="1"/>
  <c r="R155" i="3"/>
  <c r="S155" i="3" s="1"/>
  <c r="T155" i="3" s="1"/>
  <c r="U149" i="3" s="1"/>
  <c r="BA40" i="3"/>
  <c r="BB40" i="3" s="1"/>
  <c r="AK40" i="3"/>
  <c r="AL40" i="3" s="1"/>
  <c r="AC40" i="3"/>
  <c r="AD40" i="3" s="1"/>
  <c r="V40" i="3"/>
  <c r="AS40" i="3"/>
  <c r="AT40" i="3" s="1"/>
  <c r="N96" i="3"/>
  <c r="T86" i="3"/>
  <c r="U71" i="3" l="1"/>
  <c r="T226" i="3"/>
  <c r="T228" i="3" s="1"/>
  <c r="V208" i="3"/>
  <c r="R303" i="3"/>
  <c r="T372" i="3"/>
  <c r="T374" i="3" s="1"/>
  <c r="V354" i="3"/>
  <c r="V280" i="3"/>
  <c r="T298" i="3"/>
  <c r="U298" i="3" s="1"/>
  <c r="V298" i="3" s="1"/>
  <c r="T167" i="3"/>
  <c r="U167" i="3" s="1"/>
  <c r="V167" i="3" s="1"/>
  <c r="R172" i="3"/>
  <c r="V149" i="3"/>
  <c r="R231" i="3"/>
  <c r="T229" i="3" l="1"/>
  <c r="T230" i="3" s="1"/>
  <c r="T375" i="3"/>
  <c r="C377" i="3" s="1"/>
  <c r="U226" i="3"/>
  <c r="V226" i="3" s="1"/>
  <c r="AS71" i="3"/>
  <c r="AR90" i="3" s="1"/>
  <c r="AS90" i="3" s="1"/>
  <c r="AT90" i="3" s="1"/>
  <c r="BA71" i="3"/>
  <c r="AZ90" i="3" s="1"/>
  <c r="V71" i="3"/>
  <c r="U372" i="3"/>
  <c r="V372" i="3" s="1"/>
  <c r="R96" i="3"/>
  <c r="AC71" i="3"/>
  <c r="AK71" i="3"/>
  <c r="T90" i="3"/>
  <c r="T169" i="3"/>
  <c r="T300" i="3"/>
  <c r="T377" i="3"/>
  <c r="T376" i="3" l="1"/>
  <c r="U376" i="3" s="1"/>
  <c r="U382" i="3" s="1"/>
  <c r="X379" i="3" s="1"/>
  <c r="T231" i="3"/>
  <c r="C231" i="3"/>
  <c r="T301" i="3"/>
  <c r="C303" i="3" s="1"/>
  <c r="T170" i="3"/>
  <c r="U90" i="3"/>
  <c r="V90" i="3" s="1"/>
  <c r="U230" i="3"/>
  <c r="X226" i="3" s="1"/>
  <c r="AF234" i="3"/>
  <c r="AF235" i="3" s="1"/>
  <c r="AF236" i="3" s="1"/>
  <c r="AL71" i="3"/>
  <c r="BB71" i="3"/>
  <c r="AB90" i="3"/>
  <c r="AC90" i="3" s="1"/>
  <c r="AJ90" i="3"/>
  <c r="AK90" i="3" s="1"/>
  <c r="AD71" i="3"/>
  <c r="AT71" i="3"/>
  <c r="T92" i="3"/>
  <c r="T93" i="3" s="1"/>
  <c r="C96" i="3" s="1"/>
  <c r="T302" i="3"/>
  <c r="V376" i="3"/>
  <c r="X372" i="3"/>
  <c r="U377" i="3"/>
  <c r="Y374" i="3" s="1"/>
  <c r="Q377" i="3"/>
  <c r="AR92" i="3"/>
  <c r="AR93" i="3" s="1"/>
  <c r="AR94" i="3" s="1"/>
  <c r="T172" i="3" l="1"/>
  <c r="C172" i="3"/>
  <c r="T171" i="3"/>
  <c r="U171" i="3" s="1"/>
  <c r="X167" i="3" s="1"/>
  <c r="T303" i="3"/>
  <c r="T94" i="3"/>
  <c r="AF100" i="3" s="1"/>
  <c r="C383" i="3"/>
  <c r="AF116" i="3"/>
  <c r="AF117" i="3"/>
  <c r="AF118" i="3" s="1"/>
  <c r="AF119" i="3" s="1"/>
  <c r="AD100" i="3"/>
  <c r="Q94" i="3"/>
  <c r="AD103" i="3"/>
  <c r="U380" i="3"/>
  <c r="X377" i="3" s="1"/>
  <c r="V230" i="3"/>
  <c r="U231" i="3"/>
  <c r="Y228" i="3" s="1"/>
  <c r="Q231" i="3"/>
  <c r="U302" i="3"/>
  <c r="Q303" i="3" s="1"/>
  <c r="AF306" i="3"/>
  <c r="AF307" i="3" s="1"/>
  <c r="AF308" i="3" s="1"/>
  <c r="BA90" i="3"/>
  <c r="AZ92" i="3" s="1"/>
  <c r="AD90" i="3"/>
  <c r="AB92" i="3"/>
  <c r="AB93" i="3" s="1"/>
  <c r="AB94" i="3" s="1"/>
  <c r="AL90" i="3"/>
  <c r="AJ92" i="3"/>
  <c r="AJ93" i="3" s="1"/>
  <c r="AJ94" i="3" s="1"/>
  <c r="AS94" i="3"/>
  <c r="AT94" i="3" s="1"/>
  <c r="AR96" i="3"/>
  <c r="AS98" i="3" s="1"/>
  <c r="U94" i="3" l="1"/>
  <c r="U96" i="3" s="1"/>
  <c r="Y100" i="3" s="1"/>
  <c r="AF176" i="3"/>
  <c r="AF177" i="3" s="1"/>
  <c r="AF178" i="3" s="1"/>
  <c r="T96" i="3"/>
  <c r="AA100" i="3" s="1"/>
  <c r="AF101" i="3"/>
  <c r="AF102" i="3" s="1"/>
  <c r="AF103" i="3" s="1"/>
  <c r="AD101" i="3"/>
  <c r="AF105" i="3"/>
  <c r="AD102" i="3"/>
  <c r="AF111" i="3"/>
  <c r="AF112" i="3"/>
  <c r="AF113" i="3" s="1"/>
  <c r="AF114" i="3" s="1"/>
  <c r="U379" i="3"/>
  <c r="X376" i="3" s="1"/>
  <c r="Y103" i="3"/>
  <c r="V302" i="3"/>
  <c r="X297" i="3"/>
  <c r="U381" i="3"/>
  <c r="X378" i="3" s="1"/>
  <c r="U303" i="3"/>
  <c r="Y299" i="3" s="1"/>
  <c r="V171" i="3"/>
  <c r="Q172" i="3"/>
  <c r="AC94" i="3"/>
  <c r="AD94" i="3" s="1"/>
  <c r="AF106" i="3"/>
  <c r="AF107" i="3" s="1"/>
  <c r="AF109" i="3" s="1"/>
  <c r="U172" i="3"/>
  <c r="Y169" i="3" s="1"/>
  <c r="AJ96" i="3"/>
  <c r="AZ93" i="3"/>
  <c r="AZ94" i="3" s="1"/>
  <c r="BB90" i="3"/>
  <c r="AB96" i="3"/>
  <c r="AK94" i="3"/>
  <c r="V94" i="3" l="1"/>
  <c r="U378" i="3"/>
  <c r="Q96" i="3"/>
  <c r="AA105" i="3" s="1"/>
  <c r="A1" i="10"/>
  <c r="E182" i="2"/>
  <c r="D182" i="2" s="1"/>
  <c r="AL94" i="3"/>
  <c r="T182" i="2"/>
  <c r="AK96" i="3"/>
  <c r="AF122" i="3"/>
  <c r="AF123" i="3"/>
  <c r="AK98" i="3"/>
  <c r="Y102" i="3" s="1"/>
  <c r="AF124" i="3"/>
  <c r="AF125" i="3" s="1"/>
  <c r="AC96" i="3"/>
  <c r="AC98" i="3"/>
  <c r="Y101" i="3" s="1"/>
  <c r="AA106" i="3"/>
  <c r="AA107" i="3"/>
  <c r="AZ96" i="3"/>
  <c r="BA94" i="3"/>
  <c r="BB94" i="3" s="1"/>
  <c r="AS96" i="3"/>
  <c r="E184" i="2"/>
  <c r="U383" i="3"/>
  <c r="X375" i="3"/>
  <c r="X380" i="3" s="1"/>
  <c r="S182" i="2" l="1"/>
  <c r="T184" i="2"/>
  <c r="AB107" i="3"/>
  <c r="AC107" i="3" s="1"/>
  <c r="AD107" i="3" s="1"/>
  <c r="AB105" i="3"/>
  <c r="AB106" i="3"/>
  <c r="AC106" i="3" s="1"/>
  <c r="AD106" i="3" s="1"/>
  <c r="BA98" i="3"/>
  <c r="BA96" i="3"/>
  <c r="AC105" i="3" l="1"/>
  <c r="AD105" i="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Dwight</author>
  </authors>
  <commentList>
    <comment ref="A90" authorId="0" shapeId="0" xr:uid="{A7D878D1-A0E7-470E-9383-5B9625F26D20}">
      <text>
        <r>
          <rPr>
            <b/>
            <sz val="9"/>
            <color indexed="81"/>
            <rFont val="Tahoma"/>
            <family val="2"/>
          </rPr>
          <t>Dwight:</t>
        </r>
        <r>
          <rPr>
            <sz val="9"/>
            <color indexed="81"/>
            <rFont val="Tahoma"/>
            <family val="2"/>
          </rPr>
          <t xml:space="preserve">
Only when nessary</t>
        </r>
      </text>
    </comment>
    <comment ref="A102" authorId="0" shapeId="0" xr:uid="{85E67CE0-F88C-4D67-A531-2A3DAA1C2201}">
      <text>
        <r>
          <rPr>
            <b/>
            <sz val="9"/>
            <color indexed="81"/>
            <rFont val="Tahoma"/>
            <family val="2"/>
          </rPr>
          <t>Dwight:</t>
        </r>
        <r>
          <rPr>
            <sz val="9"/>
            <color indexed="81"/>
            <rFont val="Tahoma"/>
            <family val="2"/>
          </rPr>
          <t xml:space="preserve">
Only when nessary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Peter</author>
    <author>Dwight</author>
  </authors>
  <commentList>
    <comment ref="W5" authorId="0" shapeId="0" xr:uid="{43F2683D-21E4-4AE9-BF29-88D6E1672835}">
      <text>
        <r>
          <rPr>
            <b/>
            <sz val="9"/>
            <color indexed="81"/>
            <rFont val="Tahoma"/>
            <charset val="1"/>
          </rPr>
          <t>Peter:</t>
        </r>
        <r>
          <rPr>
            <sz val="9"/>
            <color indexed="81"/>
            <rFont val="Tahoma"/>
            <charset val="1"/>
          </rPr>
          <t xml:space="preserve">
Do not use my cell phone </t>
        </r>
      </text>
    </comment>
    <comment ref="N12" authorId="1" shapeId="0" xr:uid="{51DC5B27-243F-4ECA-B816-26E7AFE9EDC2}">
      <text>
        <r>
          <rPr>
            <b/>
            <sz val="9"/>
            <color indexed="81"/>
            <rFont val="Tahoma"/>
            <family val="2"/>
          </rPr>
          <t>Dwight:</t>
        </r>
        <r>
          <rPr>
            <sz val="9"/>
            <color indexed="81"/>
            <rFont val="Tahoma"/>
            <family val="2"/>
          </rPr>
          <t xml:space="preserve">
Always verify the pricing. </t>
        </r>
      </text>
    </comment>
    <comment ref="N13" authorId="1" shapeId="0" xr:uid="{BF4D26C9-EE13-493B-9187-F1221D2DC2A3}">
      <text>
        <r>
          <rPr>
            <b/>
            <sz val="9"/>
            <color indexed="81"/>
            <rFont val="Tahoma"/>
            <family val="2"/>
          </rPr>
          <t>Dwight:</t>
        </r>
        <r>
          <rPr>
            <sz val="9"/>
            <color indexed="81"/>
            <rFont val="Tahoma"/>
            <family val="2"/>
          </rPr>
          <t xml:space="preserve">
Always verify the pricing. </t>
        </r>
      </text>
    </comment>
    <comment ref="N14" authorId="1" shapeId="0" xr:uid="{1B97AA8C-6DBA-4CCB-B289-4C64E7F80BBD}">
      <text>
        <r>
          <rPr>
            <b/>
            <sz val="9"/>
            <color indexed="81"/>
            <rFont val="Tahoma"/>
            <family val="2"/>
          </rPr>
          <t>Dwight:</t>
        </r>
        <r>
          <rPr>
            <sz val="9"/>
            <color indexed="81"/>
            <rFont val="Tahoma"/>
            <family val="2"/>
          </rPr>
          <t xml:space="preserve">
Always verify the pricing. </t>
        </r>
      </text>
    </comment>
    <comment ref="N15" authorId="1" shapeId="0" xr:uid="{178F91EC-0F77-4976-83E5-0A378983F154}">
      <text>
        <r>
          <rPr>
            <b/>
            <sz val="9"/>
            <color indexed="81"/>
            <rFont val="Tahoma"/>
            <family val="2"/>
          </rPr>
          <t>Dwight:</t>
        </r>
        <r>
          <rPr>
            <sz val="9"/>
            <color indexed="81"/>
            <rFont val="Tahoma"/>
            <family val="2"/>
          </rPr>
          <t xml:space="preserve">
Always verify the pricing. </t>
        </r>
      </text>
    </comment>
    <comment ref="N16" authorId="1" shapeId="0" xr:uid="{17A44906-58F7-40B9-B3C7-FA70E214ADDC}">
      <text>
        <r>
          <rPr>
            <b/>
            <sz val="9"/>
            <color indexed="81"/>
            <rFont val="Tahoma"/>
            <family val="2"/>
          </rPr>
          <t>Dwight:</t>
        </r>
        <r>
          <rPr>
            <sz val="9"/>
            <color indexed="81"/>
            <rFont val="Tahoma"/>
            <family val="2"/>
          </rPr>
          <t xml:space="preserve">
Always verify the pricing. </t>
        </r>
      </text>
    </comment>
    <comment ref="N17" authorId="1" shapeId="0" xr:uid="{C65813A1-3F4B-47FF-95E7-759D0BE3B81C}">
      <text>
        <r>
          <rPr>
            <b/>
            <sz val="9"/>
            <color indexed="81"/>
            <rFont val="Tahoma"/>
            <family val="2"/>
          </rPr>
          <t>Dwight:</t>
        </r>
        <r>
          <rPr>
            <sz val="9"/>
            <color indexed="81"/>
            <rFont val="Tahoma"/>
            <family val="2"/>
          </rPr>
          <t xml:space="preserve">
Always verify the pricing. </t>
        </r>
      </text>
    </comment>
    <comment ref="N18" authorId="1" shapeId="0" xr:uid="{01193ECB-ACDA-4918-BB91-685E98614D92}">
      <text>
        <r>
          <rPr>
            <b/>
            <sz val="9"/>
            <color indexed="81"/>
            <rFont val="Tahoma"/>
            <family val="2"/>
          </rPr>
          <t>Dwight:</t>
        </r>
        <r>
          <rPr>
            <sz val="9"/>
            <color indexed="81"/>
            <rFont val="Tahoma"/>
            <family val="2"/>
          </rPr>
          <t xml:space="preserve">
Always verify the pricing. </t>
        </r>
      </text>
    </comment>
    <comment ref="N19" authorId="1" shapeId="0" xr:uid="{27E5107C-4A6B-4C95-A7CE-545007519902}">
      <text>
        <r>
          <rPr>
            <b/>
            <sz val="9"/>
            <color indexed="81"/>
            <rFont val="Tahoma"/>
            <family val="2"/>
          </rPr>
          <t>Dwight:</t>
        </r>
        <r>
          <rPr>
            <sz val="9"/>
            <color indexed="81"/>
            <rFont val="Tahoma"/>
            <family val="2"/>
          </rPr>
          <t xml:space="preserve">
Always verify the pricing. </t>
        </r>
      </text>
    </comment>
    <comment ref="N20" authorId="1" shapeId="0" xr:uid="{CBE8D211-271A-4115-A4CE-DE993B74BE89}">
      <text>
        <r>
          <rPr>
            <b/>
            <sz val="9"/>
            <color indexed="81"/>
            <rFont val="Tahoma"/>
            <family val="2"/>
          </rPr>
          <t>Dwight:</t>
        </r>
        <r>
          <rPr>
            <sz val="9"/>
            <color indexed="81"/>
            <rFont val="Tahoma"/>
            <family val="2"/>
          </rPr>
          <t xml:space="preserve">
Always verify the pricing. </t>
        </r>
      </text>
    </comment>
    <comment ref="N21" authorId="1" shapeId="0" xr:uid="{A08783BE-8D44-4F76-9AC5-4F4EA08D3188}">
      <text>
        <r>
          <rPr>
            <b/>
            <sz val="9"/>
            <color indexed="81"/>
            <rFont val="Tahoma"/>
            <family val="2"/>
          </rPr>
          <t>Dwight:</t>
        </r>
        <r>
          <rPr>
            <sz val="9"/>
            <color indexed="81"/>
            <rFont val="Tahoma"/>
            <family val="2"/>
          </rPr>
          <t xml:space="preserve">
Always verify the pricing. </t>
        </r>
      </text>
    </comment>
    <comment ref="N22" authorId="1" shapeId="0" xr:uid="{36BE68AF-9CEF-44BA-BB49-132CFCC23A2F}">
      <text>
        <r>
          <rPr>
            <b/>
            <sz val="9"/>
            <color indexed="81"/>
            <rFont val="Tahoma"/>
            <family val="2"/>
          </rPr>
          <t>Dwight:</t>
        </r>
        <r>
          <rPr>
            <sz val="9"/>
            <color indexed="81"/>
            <rFont val="Tahoma"/>
            <family val="2"/>
          </rPr>
          <t xml:space="preserve">
Always verify the pricing. </t>
        </r>
      </text>
    </comment>
    <comment ref="N27" authorId="1" shapeId="0" xr:uid="{8967A23F-DC7B-4255-8FE3-3C5188F57D60}">
      <text>
        <r>
          <rPr>
            <b/>
            <sz val="9"/>
            <color indexed="81"/>
            <rFont val="Tahoma"/>
            <family val="2"/>
          </rPr>
          <t>Dwight:</t>
        </r>
        <r>
          <rPr>
            <sz val="9"/>
            <color indexed="81"/>
            <rFont val="Tahoma"/>
            <family val="2"/>
          </rPr>
          <t xml:space="preserve">
Always verify the pricing. </t>
        </r>
      </text>
    </comment>
    <comment ref="N28" authorId="1" shapeId="0" xr:uid="{31C4AA03-2528-461E-BF63-4D57C7E28DC0}">
      <text>
        <r>
          <rPr>
            <b/>
            <sz val="9"/>
            <color indexed="81"/>
            <rFont val="Tahoma"/>
            <family val="2"/>
          </rPr>
          <t>Dwight:</t>
        </r>
        <r>
          <rPr>
            <sz val="9"/>
            <color indexed="81"/>
            <rFont val="Tahoma"/>
            <family val="2"/>
          </rPr>
          <t xml:space="preserve">
Always verify the pricing. </t>
        </r>
      </text>
    </comment>
    <comment ref="N33" authorId="1" shapeId="0" xr:uid="{EAEE229D-E4D0-4BF3-9A53-D3F17E72E813}">
      <text>
        <r>
          <rPr>
            <b/>
            <sz val="9"/>
            <color indexed="81"/>
            <rFont val="Tahoma"/>
            <family val="2"/>
          </rPr>
          <t>Dwight:</t>
        </r>
        <r>
          <rPr>
            <sz val="9"/>
            <color indexed="81"/>
            <rFont val="Tahoma"/>
            <family val="2"/>
          </rPr>
          <t xml:space="preserve">
Always verify the pricing. </t>
        </r>
      </text>
    </comment>
    <comment ref="N34" authorId="1" shapeId="0" xr:uid="{BF628B6D-1B5F-433A-97F0-98627923A11C}">
      <text>
        <r>
          <rPr>
            <b/>
            <sz val="9"/>
            <color indexed="81"/>
            <rFont val="Tahoma"/>
            <family val="2"/>
          </rPr>
          <t>Dwight:</t>
        </r>
        <r>
          <rPr>
            <sz val="9"/>
            <color indexed="81"/>
            <rFont val="Tahoma"/>
            <family val="2"/>
          </rPr>
          <t xml:space="preserve">
Always verify the pricing. </t>
        </r>
      </text>
    </comment>
    <comment ref="N35" authorId="1" shapeId="0" xr:uid="{FBA71960-7E8B-4387-8179-DF801FD972EC}">
      <text>
        <r>
          <rPr>
            <b/>
            <sz val="9"/>
            <color indexed="81"/>
            <rFont val="Tahoma"/>
            <family val="2"/>
          </rPr>
          <t>Dwight:</t>
        </r>
        <r>
          <rPr>
            <sz val="9"/>
            <color indexed="81"/>
            <rFont val="Tahoma"/>
            <family val="2"/>
          </rPr>
          <t xml:space="preserve">
Always verify the pricing. </t>
        </r>
      </text>
    </comment>
    <comment ref="E42" authorId="1" shapeId="0" xr:uid="{D4BB33A4-7EE9-45F3-ADFF-9FD9A1245CC6}">
      <text>
        <r>
          <rPr>
            <b/>
            <sz val="9"/>
            <color indexed="81"/>
            <rFont val="Tahoma"/>
            <family val="2"/>
          </rPr>
          <t>Dwight:</t>
        </r>
        <r>
          <rPr>
            <sz val="9"/>
            <color indexed="81"/>
            <rFont val="Tahoma"/>
            <family val="2"/>
          </rPr>
          <t xml:space="preserve">
Remove or adjust to achieve the cost.</t>
        </r>
      </text>
    </comment>
    <comment ref="E74" authorId="1" shapeId="0" xr:uid="{9193CD8C-F204-4A95-861A-B653FED970E7}">
      <text>
        <r>
          <rPr>
            <b/>
            <sz val="9"/>
            <color indexed="81"/>
            <rFont val="Tahoma"/>
            <family val="2"/>
          </rPr>
          <t>Dwight:</t>
        </r>
        <r>
          <rPr>
            <sz val="9"/>
            <color indexed="81"/>
            <rFont val="Tahoma"/>
            <family val="2"/>
          </rPr>
          <t xml:space="preserve">
Overhead protection. Units.</t>
        </r>
      </text>
    </comment>
    <comment ref="D76" authorId="1" shapeId="0" xr:uid="{BE3B0B63-4F83-49E2-8B01-90057A3D5433}">
      <text>
        <r>
          <rPr>
            <b/>
            <sz val="9"/>
            <color indexed="81"/>
            <rFont val="Tahoma"/>
            <family val="2"/>
          </rPr>
          <t>Dwight:</t>
        </r>
        <r>
          <rPr>
            <sz val="9"/>
            <color indexed="81"/>
            <rFont val="Tahoma"/>
            <family val="2"/>
          </rPr>
          <t xml:space="preserve">
0 For New-Con.</t>
        </r>
      </text>
    </comment>
    <comment ref="D77" authorId="1" shapeId="0" xr:uid="{C56AD7E3-D193-4CBB-962C-F316F90BC0D9}">
      <text>
        <r>
          <rPr>
            <b/>
            <sz val="9"/>
            <color indexed="81"/>
            <rFont val="Tahoma"/>
            <family val="2"/>
          </rPr>
          <t>Dwight:</t>
        </r>
        <r>
          <rPr>
            <sz val="9"/>
            <color indexed="81"/>
            <rFont val="Tahoma"/>
            <family val="2"/>
          </rPr>
          <t xml:space="preserve">
0 For New-Con.</t>
        </r>
      </text>
    </comment>
    <comment ref="D79" authorId="1" shapeId="0" xr:uid="{B1A3FDCA-58DB-4F99-A08C-E25726239416}">
      <text>
        <r>
          <rPr>
            <b/>
            <sz val="9"/>
            <color indexed="81"/>
            <rFont val="Tahoma"/>
            <family val="2"/>
          </rPr>
          <t>Dwight:</t>
        </r>
        <r>
          <rPr>
            <sz val="9"/>
            <color indexed="81"/>
            <rFont val="Tahoma"/>
            <family val="2"/>
          </rPr>
          <t xml:space="preserve">
0 For New-Con.</t>
        </r>
      </text>
    </comment>
    <comment ref="I79" authorId="1" shapeId="0" xr:uid="{0E776024-0A62-4ED3-A68F-9F14349619E2}">
      <text>
        <r>
          <rPr>
            <b/>
            <sz val="9"/>
            <color indexed="81"/>
            <rFont val="Tahoma"/>
            <family val="2"/>
          </rPr>
          <t>Dwight:</t>
        </r>
        <r>
          <rPr>
            <sz val="9"/>
            <color indexed="81"/>
            <rFont val="Tahoma"/>
            <family val="2"/>
          </rPr>
          <t xml:space="preserve">
SQ conversion.</t>
        </r>
      </text>
    </comment>
    <comment ref="E82" authorId="1" shapeId="0" xr:uid="{5AC2249E-A9A5-4782-AF5F-E37B11619A77}">
      <text>
        <r>
          <rPr>
            <b/>
            <sz val="9"/>
            <color indexed="81"/>
            <rFont val="Tahoma"/>
            <family val="2"/>
          </rPr>
          <t>Dwight:</t>
        </r>
        <r>
          <rPr>
            <sz val="9"/>
            <color indexed="81"/>
            <rFont val="Tahoma"/>
            <family val="2"/>
          </rPr>
          <t xml:space="preserve">
Travel time.</t>
        </r>
      </text>
    </comment>
    <comment ref="D83" authorId="1" shapeId="0" xr:uid="{CA9158AF-C762-4F4F-A4A9-9B99D0A6907A}">
      <text>
        <r>
          <rPr>
            <b/>
            <sz val="9"/>
            <color indexed="81"/>
            <rFont val="Tahoma"/>
            <family val="2"/>
          </rPr>
          <t>Dwight:</t>
        </r>
        <r>
          <rPr>
            <sz val="9"/>
            <color indexed="81"/>
            <rFont val="Tahoma"/>
            <family val="2"/>
          </rPr>
          <t xml:space="preserve">
Insert the result of =S58 for jobs in National Parks.</t>
        </r>
      </text>
    </comment>
    <comment ref="E83" authorId="1" shapeId="0" xr:uid="{99FDAA2B-0F6D-40F5-92DC-3DF5D9EE8666}">
      <text>
        <r>
          <rPr>
            <b/>
            <sz val="9"/>
            <color indexed="81"/>
            <rFont val="Tahoma"/>
            <family val="2"/>
          </rPr>
          <t>Dwight:</t>
        </r>
        <r>
          <rPr>
            <sz val="9"/>
            <color indexed="81"/>
            <rFont val="Tahoma"/>
            <family val="2"/>
          </rPr>
          <t xml:space="preserve">
Trucks.
</t>
        </r>
      </text>
    </comment>
    <comment ref="R83" authorId="1" shapeId="0" xr:uid="{F78507D8-8D89-4112-9AFA-3CF83B358C1D}">
      <text>
        <r>
          <rPr>
            <b/>
            <sz val="9"/>
            <color indexed="81"/>
            <rFont val="Tahoma"/>
            <family val="2"/>
          </rPr>
          <t>Dwight:</t>
        </r>
        <r>
          <rPr>
            <sz val="9"/>
            <color indexed="81"/>
            <rFont val="Tahoma"/>
            <family val="2"/>
          </rPr>
          <t xml:space="preserve">
Park pass per day.</t>
        </r>
      </text>
    </comment>
    <comment ref="E84" authorId="1" shapeId="0" xr:uid="{6FC78694-7640-4FF5-B43F-1C9F8B5C9A9D}">
      <text>
        <r>
          <rPr>
            <b/>
            <sz val="9"/>
            <color indexed="81"/>
            <rFont val="Tahoma"/>
            <family val="2"/>
          </rPr>
          <t>Dwight:</t>
        </r>
        <r>
          <rPr>
            <sz val="9"/>
            <color indexed="81"/>
            <rFont val="Tahoma"/>
            <family val="2"/>
          </rPr>
          <t xml:space="preserve">
Trucks.
</t>
        </r>
      </text>
    </comment>
    <comment ref="E85" authorId="1" shapeId="0" xr:uid="{3C5DFA56-670A-46B1-AAA3-DD7632E0F019}">
      <text>
        <r>
          <rPr>
            <b/>
            <sz val="9"/>
            <color indexed="81"/>
            <rFont val="Tahoma"/>
            <family val="2"/>
          </rPr>
          <t>Dwight:</t>
        </r>
        <r>
          <rPr>
            <sz val="9"/>
            <color indexed="81"/>
            <rFont val="Tahoma"/>
            <family val="2"/>
          </rPr>
          <t xml:space="preserve">
Trucks.
</t>
        </r>
      </text>
    </comment>
    <comment ref="F86" authorId="1" shapeId="0" xr:uid="{8A3F8BA0-9192-4F9F-9B1F-A1E4D6012F2B}">
      <text>
        <r>
          <rPr>
            <b/>
            <sz val="9"/>
            <color indexed="81"/>
            <rFont val="Tahoma"/>
            <family val="2"/>
          </rPr>
          <t>Dwight:</t>
        </r>
        <r>
          <rPr>
            <sz val="9"/>
            <color indexed="81"/>
            <rFont val="Tahoma"/>
            <family val="2"/>
          </rPr>
          <t xml:space="preserve">
Crew number.</t>
        </r>
      </text>
    </comment>
    <comment ref="K86" authorId="1" shapeId="0" xr:uid="{FB885461-E692-47F0-9337-33C89BF9EAE3}">
      <text>
        <r>
          <rPr>
            <b/>
            <sz val="9"/>
            <color indexed="81"/>
            <rFont val="Tahoma"/>
            <family val="2"/>
          </rPr>
          <t>Dwight:</t>
        </r>
        <r>
          <rPr>
            <sz val="9"/>
            <color indexed="81"/>
            <rFont val="Tahoma"/>
            <family val="2"/>
          </rPr>
          <t xml:space="preserve">
Click to lookup travel time.</t>
        </r>
      </text>
    </comment>
    <comment ref="K87" authorId="1" shapeId="0" xr:uid="{D0416F9C-ED36-4BB3-88CB-61D9026E0517}">
      <text>
        <r>
          <rPr>
            <b/>
            <sz val="9"/>
            <color indexed="81"/>
            <rFont val="Tahoma"/>
            <family val="2"/>
          </rPr>
          <t>Dwight:</t>
        </r>
        <r>
          <rPr>
            <sz val="9"/>
            <color indexed="81"/>
            <rFont val="Tahoma"/>
            <family val="2"/>
          </rPr>
          <t xml:space="preserve">
Click to check local rates.</t>
        </r>
      </text>
    </comment>
    <comment ref="K88" authorId="1" shapeId="0" xr:uid="{850D2A71-A98B-4EC3-B434-053D57151D3E}">
      <text>
        <r>
          <rPr>
            <b/>
            <sz val="9"/>
            <color indexed="81"/>
            <rFont val="Tahoma"/>
            <family val="2"/>
          </rPr>
          <t>Dwight:</t>
        </r>
        <r>
          <rPr>
            <sz val="9"/>
            <color indexed="81"/>
            <rFont val="Tahoma"/>
            <family val="2"/>
          </rPr>
          <t xml:space="preserve">
Click to check local rates.</t>
        </r>
      </text>
    </comment>
    <comment ref="V94" authorId="1" shapeId="0" xr:uid="{E563A61E-45CC-4901-8338-A13C1C21B134}">
      <text>
        <r>
          <rPr>
            <b/>
            <sz val="9"/>
            <color indexed="81"/>
            <rFont val="Tahoma"/>
            <family val="2"/>
          </rPr>
          <t>Dwight:</t>
        </r>
        <r>
          <rPr>
            <sz val="9"/>
            <color indexed="81"/>
            <rFont val="Tahoma"/>
            <family val="2"/>
          </rPr>
          <t xml:space="preserve">
Should be around $300.00</t>
        </r>
      </text>
    </comment>
    <comment ref="AD94" authorId="1" shapeId="0" xr:uid="{13672D22-6364-4229-B80F-599654DFE96D}">
      <text>
        <r>
          <rPr>
            <b/>
            <sz val="9"/>
            <color indexed="81"/>
            <rFont val="Tahoma"/>
            <family val="2"/>
          </rPr>
          <t>Dwight:</t>
        </r>
        <r>
          <rPr>
            <sz val="9"/>
            <color indexed="81"/>
            <rFont val="Tahoma"/>
            <family val="2"/>
          </rPr>
          <t xml:space="preserve">
Should be around $300.00</t>
        </r>
      </text>
    </comment>
    <comment ref="AL94" authorId="1" shapeId="0" xr:uid="{15BE7BDF-8C00-417B-A5C5-404B2DBB42DD}">
      <text>
        <r>
          <rPr>
            <b/>
            <sz val="9"/>
            <color indexed="81"/>
            <rFont val="Tahoma"/>
            <family val="2"/>
          </rPr>
          <t>Dwight:</t>
        </r>
        <r>
          <rPr>
            <sz val="9"/>
            <color indexed="81"/>
            <rFont val="Tahoma"/>
            <family val="2"/>
          </rPr>
          <t xml:space="preserve">
Should be around $300.00</t>
        </r>
      </text>
    </comment>
    <comment ref="AT94" authorId="1" shapeId="0" xr:uid="{5AB4F2B1-23D6-4FB3-904A-E66FFB2324EB}">
      <text>
        <r>
          <rPr>
            <b/>
            <sz val="9"/>
            <color indexed="81"/>
            <rFont val="Tahoma"/>
            <family val="2"/>
          </rPr>
          <t>Dwight:</t>
        </r>
        <r>
          <rPr>
            <sz val="9"/>
            <color indexed="81"/>
            <rFont val="Tahoma"/>
            <family val="2"/>
          </rPr>
          <t xml:space="preserve">
Should be around $300.00</t>
        </r>
      </text>
    </comment>
    <comment ref="BB94" authorId="1" shapeId="0" xr:uid="{FBE6FA56-8935-4848-B568-63D26AAF6353}">
      <text>
        <r>
          <rPr>
            <b/>
            <sz val="9"/>
            <color indexed="81"/>
            <rFont val="Tahoma"/>
            <family val="2"/>
          </rPr>
          <t>Dwight:</t>
        </r>
        <r>
          <rPr>
            <sz val="9"/>
            <color indexed="81"/>
            <rFont val="Tahoma"/>
            <family val="2"/>
          </rPr>
          <t xml:space="preserve">
Should be around $300.00</t>
        </r>
      </text>
    </comment>
    <comment ref="J99" authorId="1" shapeId="0" xr:uid="{CCE4A0F4-37CF-4EC1-9703-13AF1CC5E299}">
      <text>
        <r>
          <rPr>
            <b/>
            <sz val="9"/>
            <color indexed="81"/>
            <rFont val="Tahoma"/>
            <family val="2"/>
          </rPr>
          <t>Dwight:</t>
        </r>
        <r>
          <rPr>
            <sz val="9"/>
            <color indexed="81"/>
            <rFont val="Tahoma"/>
            <family val="2"/>
          </rPr>
          <t xml:space="preserve">
Click to check current rates or to adjust accordingly to the equipment required.</t>
        </r>
      </text>
    </comment>
    <comment ref="E150" authorId="1" shapeId="0" xr:uid="{3D58317C-3310-4F3C-A746-099200BA7A51}">
      <text>
        <r>
          <rPr>
            <b/>
            <sz val="9"/>
            <color indexed="81"/>
            <rFont val="Tahoma"/>
            <family val="2"/>
          </rPr>
          <t>Dwight:</t>
        </r>
        <r>
          <rPr>
            <sz val="9"/>
            <color indexed="81"/>
            <rFont val="Tahoma"/>
            <family val="2"/>
          </rPr>
          <t xml:space="preserve">
Travel time.</t>
        </r>
      </text>
    </comment>
    <comment ref="E152" authorId="1" shapeId="0" xr:uid="{FC8F72CB-88BB-4710-B324-4A72E856818E}">
      <text>
        <r>
          <rPr>
            <b/>
            <sz val="9"/>
            <color indexed="81"/>
            <rFont val="Tahoma"/>
            <family val="2"/>
          </rPr>
          <t>Dwight:</t>
        </r>
        <r>
          <rPr>
            <sz val="9"/>
            <color indexed="81"/>
            <rFont val="Tahoma"/>
            <family val="2"/>
          </rPr>
          <t xml:space="preserve">
Overhead protection. Units.</t>
        </r>
      </text>
    </comment>
    <comment ref="E153" authorId="1" shapeId="0" xr:uid="{0C081DDB-353B-4575-B4DF-0912780F8DBB}">
      <text>
        <r>
          <rPr>
            <b/>
            <sz val="9"/>
            <color indexed="81"/>
            <rFont val="Tahoma"/>
            <family val="2"/>
          </rPr>
          <t>Dwight:</t>
        </r>
        <r>
          <rPr>
            <sz val="9"/>
            <color indexed="81"/>
            <rFont val="Tahoma"/>
            <family val="2"/>
          </rPr>
          <t xml:space="preserve">
Overhead protection. Units.</t>
        </r>
      </text>
    </comment>
    <comment ref="D154" authorId="1" shapeId="0" xr:uid="{6119B64A-4E36-4608-ACBF-6DB49FA4C0CF}">
      <text>
        <r>
          <rPr>
            <b/>
            <sz val="9"/>
            <color indexed="81"/>
            <rFont val="Tahoma"/>
            <family val="2"/>
          </rPr>
          <t>Dwight:</t>
        </r>
        <r>
          <rPr>
            <sz val="9"/>
            <color indexed="81"/>
            <rFont val="Tahoma"/>
            <family val="2"/>
          </rPr>
          <t xml:space="preserve">
0 For New-Con.</t>
        </r>
      </text>
    </comment>
    <comment ref="E154" authorId="1" shapeId="0" xr:uid="{A2B27D21-5207-45D0-BD94-39E243532697}">
      <text>
        <r>
          <rPr>
            <b/>
            <sz val="9"/>
            <color indexed="81"/>
            <rFont val="Tahoma"/>
            <family val="2"/>
          </rPr>
          <t>Dwight:</t>
        </r>
        <r>
          <rPr>
            <sz val="9"/>
            <color indexed="81"/>
            <rFont val="Tahoma"/>
            <family val="2"/>
          </rPr>
          <t xml:space="preserve">
Travel time.</t>
        </r>
      </text>
    </comment>
    <comment ref="D155" authorId="1" shapeId="0" xr:uid="{83AE01E1-4D96-47D6-BB32-81BF647CD322}">
      <text>
        <r>
          <rPr>
            <b/>
            <sz val="9"/>
            <color indexed="81"/>
            <rFont val="Tahoma"/>
            <family val="2"/>
          </rPr>
          <t>Dwight:</t>
        </r>
        <r>
          <rPr>
            <sz val="9"/>
            <color indexed="81"/>
            <rFont val="Tahoma"/>
            <family val="2"/>
          </rPr>
          <t xml:space="preserve">
0 For New-Con.</t>
        </r>
      </text>
    </comment>
    <comment ref="E155" authorId="1" shapeId="0" xr:uid="{B45FD172-9627-4841-9A86-DBCF9111D3FB}">
      <text>
        <r>
          <rPr>
            <b/>
            <sz val="9"/>
            <color indexed="81"/>
            <rFont val="Tahoma"/>
            <family val="2"/>
          </rPr>
          <t>Dwight:</t>
        </r>
        <r>
          <rPr>
            <sz val="9"/>
            <color indexed="81"/>
            <rFont val="Tahoma"/>
            <family val="2"/>
          </rPr>
          <t xml:space="preserve">
Travel time.</t>
        </r>
      </text>
    </comment>
    <comment ref="E156" authorId="1" shapeId="0" xr:uid="{3B5EF4F5-D09A-46FA-A87A-7F25C25A95FB}">
      <text>
        <r>
          <rPr>
            <b/>
            <sz val="9"/>
            <color indexed="81"/>
            <rFont val="Tahoma"/>
            <family val="2"/>
          </rPr>
          <t>Dwight:</t>
        </r>
        <r>
          <rPr>
            <sz val="9"/>
            <color indexed="81"/>
            <rFont val="Tahoma"/>
            <family val="2"/>
          </rPr>
          <t xml:space="preserve">
Travel time.</t>
        </r>
      </text>
    </comment>
    <comment ref="D157" authorId="1" shapeId="0" xr:uid="{479A2C7B-7A84-4002-8290-1EE19699DEAA}">
      <text>
        <r>
          <rPr>
            <b/>
            <sz val="9"/>
            <color indexed="81"/>
            <rFont val="Tahoma"/>
            <family val="2"/>
          </rPr>
          <t>Dwight:</t>
        </r>
        <r>
          <rPr>
            <sz val="9"/>
            <color indexed="81"/>
            <rFont val="Tahoma"/>
            <family val="2"/>
          </rPr>
          <t xml:space="preserve">
0 For New-Con.</t>
        </r>
      </text>
    </comment>
    <comment ref="E157" authorId="1" shapeId="0" xr:uid="{0B6D6126-0E35-4092-9FFA-D90D3A2DAFCB}">
      <text>
        <r>
          <rPr>
            <b/>
            <sz val="9"/>
            <color indexed="81"/>
            <rFont val="Tahoma"/>
            <family val="2"/>
          </rPr>
          <t>Dwight:</t>
        </r>
        <r>
          <rPr>
            <sz val="9"/>
            <color indexed="81"/>
            <rFont val="Tahoma"/>
            <family val="2"/>
          </rPr>
          <t xml:space="preserve">
Shake disposal.</t>
        </r>
      </text>
    </comment>
    <comment ref="I157" authorId="1" shapeId="0" xr:uid="{2A73E41D-2D2D-4236-9606-419B1B102DA2}">
      <text>
        <r>
          <rPr>
            <b/>
            <sz val="9"/>
            <color indexed="81"/>
            <rFont val="Tahoma"/>
            <family val="2"/>
          </rPr>
          <t>Dwight:</t>
        </r>
        <r>
          <rPr>
            <sz val="9"/>
            <color indexed="81"/>
            <rFont val="Tahoma"/>
            <family val="2"/>
          </rPr>
          <t xml:space="preserve">
SQ conversion.</t>
        </r>
      </text>
    </comment>
    <comment ref="D159" authorId="1" shapeId="0" xr:uid="{0032AD70-C8B2-4670-831C-C0861D69782C}">
      <text>
        <r>
          <rPr>
            <b/>
            <sz val="9"/>
            <color indexed="81"/>
            <rFont val="Tahoma"/>
            <family val="2"/>
          </rPr>
          <t>Dwight:</t>
        </r>
        <r>
          <rPr>
            <sz val="9"/>
            <color indexed="81"/>
            <rFont val="Tahoma"/>
            <family val="2"/>
          </rPr>
          <t xml:space="preserve">
Insert the result of =S58.</t>
        </r>
      </text>
    </comment>
    <comment ref="E159" authorId="1" shapeId="0" xr:uid="{29C075A4-A86A-473F-B716-39975DF5F6F4}">
      <text>
        <r>
          <rPr>
            <b/>
            <sz val="9"/>
            <color indexed="81"/>
            <rFont val="Tahoma"/>
            <family val="2"/>
          </rPr>
          <t>Dwight:</t>
        </r>
        <r>
          <rPr>
            <sz val="9"/>
            <color indexed="81"/>
            <rFont val="Tahoma"/>
            <family val="2"/>
          </rPr>
          <t xml:space="preserve">
Travel time.</t>
        </r>
      </text>
    </comment>
    <comment ref="D160" authorId="1" shapeId="0" xr:uid="{F1214C49-6866-4698-B9FA-E6E088A21EE9}">
      <text>
        <r>
          <rPr>
            <b/>
            <sz val="9"/>
            <color indexed="81"/>
            <rFont val="Tahoma"/>
            <family val="2"/>
          </rPr>
          <t>Dwight:</t>
        </r>
        <r>
          <rPr>
            <sz val="9"/>
            <color indexed="81"/>
            <rFont val="Tahoma"/>
            <family val="2"/>
          </rPr>
          <t xml:space="preserve">
Insert the result of =S58 for jobs in National Parks.</t>
        </r>
      </text>
    </comment>
    <comment ref="E160" authorId="1" shapeId="0" xr:uid="{192265B3-53AF-4C3F-92E0-3F7DA8DD7764}">
      <text>
        <r>
          <rPr>
            <b/>
            <sz val="9"/>
            <color indexed="81"/>
            <rFont val="Tahoma"/>
            <family val="2"/>
          </rPr>
          <t>Dwight:</t>
        </r>
        <r>
          <rPr>
            <sz val="9"/>
            <color indexed="81"/>
            <rFont val="Tahoma"/>
            <family val="2"/>
          </rPr>
          <t xml:space="preserve">
Trucks.
</t>
        </r>
      </text>
    </comment>
    <comment ref="R160" authorId="1" shapeId="0" xr:uid="{B8B722E9-F907-4ED3-AF5C-A4A7E4351BC2}">
      <text>
        <r>
          <rPr>
            <b/>
            <sz val="9"/>
            <color indexed="81"/>
            <rFont val="Tahoma"/>
            <family val="2"/>
          </rPr>
          <t>Dwight:</t>
        </r>
        <r>
          <rPr>
            <sz val="9"/>
            <color indexed="81"/>
            <rFont val="Tahoma"/>
            <family val="2"/>
          </rPr>
          <t xml:space="preserve">
Park pass per day.</t>
        </r>
      </text>
    </comment>
    <comment ref="E161" authorId="1" shapeId="0" xr:uid="{7A17C33C-3419-4214-9E68-6F986D69E6B1}">
      <text>
        <r>
          <rPr>
            <b/>
            <sz val="9"/>
            <color indexed="81"/>
            <rFont val="Tahoma"/>
            <family val="2"/>
          </rPr>
          <t>Dwight:</t>
        </r>
        <r>
          <rPr>
            <sz val="9"/>
            <color indexed="81"/>
            <rFont val="Tahoma"/>
            <family val="2"/>
          </rPr>
          <t xml:space="preserve">
Trucks.
</t>
        </r>
      </text>
    </comment>
    <comment ref="E162" authorId="1" shapeId="0" xr:uid="{675E9C75-E87D-4115-8AE5-1C866A7C96A6}">
      <text>
        <r>
          <rPr>
            <b/>
            <sz val="9"/>
            <color indexed="81"/>
            <rFont val="Tahoma"/>
            <family val="2"/>
          </rPr>
          <t>Dwight:</t>
        </r>
        <r>
          <rPr>
            <sz val="9"/>
            <color indexed="81"/>
            <rFont val="Tahoma"/>
            <family val="2"/>
          </rPr>
          <t xml:space="preserve">
Trucks.
</t>
        </r>
      </text>
    </comment>
    <comment ref="F163" authorId="1" shapeId="0" xr:uid="{6628519E-F108-4E32-8C24-74838B6FA84F}">
      <text>
        <r>
          <rPr>
            <b/>
            <sz val="9"/>
            <color indexed="81"/>
            <rFont val="Tahoma"/>
            <family val="2"/>
          </rPr>
          <t>Dwight:</t>
        </r>
        <r>
          <rPr>
            <sz val="9"/>
            <color indexed="81"/>
            <rFont val="Tahoma"/>
            <family val="2"/>
          </rPr>
          <t xml:space="preserve">
Crew number.</t>
        </r>
      </text>
    </comment>
    <comment ref="K163" authorId="1" shapeId="0" xr:uid="{827D363A-AB19-4BC7-A537-1EE3D68B7F02}">
      <text>
        <r>
          <rPr>
            <b/>
            <sz val="9"/>
            <color indexed="81"/>
            <rFont val="Tahoma"/>
            <family val="2"/>
          </rPr>
          <t>Dwight:</t>
        </r>
        <r>
          <rPr>
            <sz val="9"/>
            <color indexed="81"/>
            <rFont val="Tahoma"/>
            <family val="2"/>
          </rPr>
          <t xml:space="preserve">
Click to lookup travel time.</t>
        </r>
      </text>
    </comment>
    <comment ref="K164" authorId="1" shapeId="0" xr:uid="{BE33A023-A5D4-48BF-A863-A32B6CA0E922}">
      <text>
        <r>
          <rPr>
            <b/>
            <sz val="9"/>
            <color indexed="81"/>
            <rFont val="Tahoma"/>
            <family val="2"/>
          </rPr>
          <t>Dwight:</t>
        </r>
        <r>
          <rPr>
            <sz val="9"/>
            <color indexed="81"/>
            <rFont val="Tahoma"/>
            <family val="2"/>
          </rPr>
          <t xml:space="preserve">
Click to check local rates.</t>
        </r>
      </text>
    </comment>
    <comment ref="K165" authorId="1" shapeId="0" xr:uid="{E32D75FC-91B5-404D-8DDC-9BCEFA39B817}">
      <text>
        <r>
          <rPr>
            <b/>
            <sz val="9"/>
            <color indexed="81"/>
            <rFont val="Tahoma"/>
            <family val="2"/>
          </rPr>
          <t>Dwight:</t>
        </r>
        <r>
          <rPr>
            <sz val="9"/>
            <color indexed="81"/>
            <rFont val="Tahoma"/>
            <family val="2"/>
          </rPr>
          <t xml:space="preserve">
Click to check local rates.</t>
        </r>
      </text>
    </comment>
    <comment ref="E209" authorId="1" shapeId="0" xr:uid="{42CEE353-3441-4096-8C7C-2862BCEF5B67}">
      <text>
        <r>
          <rPr>
            <b/>
            <sz val="9"/>
            <color indexed="81"/>
            <rFont val="Tahoma"/>
            <family val="2"/>
          </rPr>
          <t>Dwight:</t>
        </r>
        <r>
          <rPr>
            <sz val="9"/>
            <color indexed="81"/>
            <rFont val="Tahoma"/>
            <family val="2"/>
          </rPr>
          <t xml:space="preserve">
Travel time.</t>
        </r>
      </text>
    </comment>
    <comment ref="E211" authorId="1" shapeId="0" xr:uid="{DC1B49C1-4B18-423A-9676-A2AF40E604E2}">
      <text>
        <r>
          <rPr>
            <b/>
            <sz val="9"/>
            <color indexed="81"/>
            <rFont val="Tahoma"/>
            <family val="2"/>
          </rPr>
          <t>Dwight:</t>
        </r>
        <r>
          <rPr>
            <sz val="9"/>
            <color indexed="81"/>
            <rFont val="Tahoma"/>
            <family val="2"/>
          </rPr>
          <t xml:space="preserve">
Overhead protection. Units.</t>
        </r>
      </text>
    </comment>
    <comment ref="E212" authorId="1" shapeId="0" xr:uid="{1E952CE7-F9AD-4135-B0D1-A49F5B36B5D2}">
      <text>
        <r>
          <rPr>
            <b/>
            <sz val="9"/>
            <color indexed="81"/>
            <rFont val="Tahoma"/>
            <family val="2"/>
          </rPr>
          <t>Dwight:</t>
        </r>
        <r>
          <rPr>
            <sz val="9"/>
            <color indexed="81"/>
            <rFont val="Tahoma"/>
            <family val="2"/>
          </rPr>
          <t xml:space="preserve">
Overhead protection. Units.</t>
        </r>
      </text>
    </comment>
    <comment ref="D213" authorId="1" shapeId="0" xr:uid="{FBD2C12B-10D9-4DD8-AE9D-6657300B3FFC}">
      <text>
        <r>
          <rPr>
            <b/>
            <sz val="9"/>
            <color indexed="81"/>
            <rFont val="Tahoma"/>
            <family val="2"/>
          </rPr>
          <t>Dwight:</t>
        </r>
        <r>
          <rPr>
            <sz val="9"/>
            <color indexed="81"/>
            <rFont val="Tahoma"/>
            <family val="2"/>
          </rPr>
          <t xml:space="preserve">
0 For New-Con.</t>
        </r>
      </text>
    </comment>
    <comment ref="E213" authorId="1" shapeId="0" xr:uid="{9BB32314-4E5A-4F2B-9193-29FD332D1592}">
      <text>
        <r>
          <rPr>
            <b/>
            <sz val="9"/>
            <color indexed="81"/>
            <rFont val="Tahoma"/>
            <family val="2"/>
          </rPr>
          <t>Dwight:</t>
        </r>
        <r>
          <rPr>
            <sz val="9"/>
            <color indexed="81"/>
            <rFont val="Tahoma"/>
            <family val="2"/>
          </rPr>
          <t xml:space="preserve">
Travel time.</t>
        </r>
      </text>
    </comment>
    <comment ref="D214" authorId="1" shapeId="0" xr:uid="{32F1142C-EC47-4203-81F6-6F8707DE94F0}">
      <text>
        <r>
          <rPr>
            <b/>
            <sz val="9"/>
            <color indexed="81"/>
            <rFont val="Tahoma"/>
            <family val="2"/>
          </rPr>
          <t>Dwight:</t>
        </r>
        <r>
          <rPr>
            <sz val="9"/>
            <color indexed="81"/>
            <rFont val="Tahoma"/>
            <family val="2"/>
          </rPr>
          <t xml:space="preserve">
0 For New-Con.</t>
        </r>
      </text>
    </comment>
    <comment ref="E214" authorId="1" shapeId="0" xr:uid="{5725D1AA-7912-4040-80D6-D9909DB877F6}">
      <text>
        <r>
          <rPr>
            <b/>
            <sz val="9"/>
            <color indexed="81"/>
            <rFont val="Tahoma"/>
            <family val="2"/>
          </rPr>
          <t>Dwight:</t>
        </r>
        <r>
          <rPr>
            <sz val="9"/>
            <color indexed="81"/>
            <rFont val="Tahoma"/>
            <family val="2"/>
          </rPr>
          <t xml:space="preserve">
Travel time.</t>
        </r>
      </text>
    </comment>
    <comment ref="E215" authorId="1" shapeId="0" xr:uid="{23DD7CC8-53F8-4C68-AE5D-CE1AEE6E97EF}">
      <text>
        <r>
          <rPr>
            <b/>
            <sz val="9"/>
            <color indexed="81"/>
            <rFont val="Tahoma"/>
            <family val="2"/>
          </rPr>
          <t>Dwight:</t>
        </r>
        <r>
          <rPr>
            <sz val="9"/>
            <color indexed="81"/>
            <rFont val="Tahoma"/>
            <family val="2"/>
          </rPr>
          <t xml:space="preserve">
Travel time.</t>
        </r>
      </text>
    </comment>
    <comment ref="D216" authorId="1" shapeId="0" xr:uid="{9BDB13DB-338F-4596-9F84-0DF0CE4AC5D9}">
      <text>
        <r>
          <rPr>
            <b/>
            <sz val="9"/>
            <color indexed="81"/>
            <rFont val="Tahoma"/>
            <family val="2"/>
          </rPr>
          <t>Dwight:</t>
        </r>
        <r>
          <rPr>
            <sz val="9"/>
            <color indexed="81"/>
            <rFont val="Tahoma"/>
            <family val="2"/>
          </rPr>
          <t xml:space="preserve">
0 For New-Con.</t>
        </r>
      </text>
    </comment>
    <comment ref="E216" authorId="1" shapeId="0" xr:uid="{7EE6801A-CEB7-4FFE-BF66-4B58A94A7DA1}">
      <text>
        <r>
          <rPr>
            <b/>
            <sz val="9"/>
            <color indexed="81"/>
            <rFont val="Tahoma"/>
            <family val="2"/>
          </rPr>
          <t>Dwight:</t>
        </r>
        <r>
          <rPr>
            <sz val="9"/>
            <color indexed="81"/>
            <rFont val="Tahoma"/>
            <family val="2"/>
          </rPr>
          <t xml:space="preserve">
Shake disposal.</t>
        </r>
      </text>
    </comment>
    <comment ref="I216" authorId="1" shapeId="0" xr:uid="{5CE08562-B47F-41EB-BFBB-0ABFB7DDED93}">
      <text>
        <r>
          <rPr>
            <b/>
            <sz val="9"/>
            <color indexed="81"/>
            <rFont val="Tahoma"/>
            <family val="2"/>
          </rPr>
          <t>Dwight:</t>
        </r>
        <r>
          <rPr>
            <sz val="9"/>
            <color indexed="81"/>
            <rFont val="Tahoma"/>
            <family val="2"/>
          </rPr>
          <t xml:space="preserve">
SQ conversion.</t>
        </r>
      </text>
    </comment>
    <comment ref="D218" authorId="1" shapeId="0" xr:uid="{9C728EB4-3058-4D1C-8B99-0349A08E3EE9}">
      <text>
        <r>
          <rPr>
            <b/>
            <sz val="9"/>
            <color indexed="81"/>
            <rFont val="Tahoma"/>
            <family val="2"/>
          </rPr>
          <t>Dwight:</t>
        </r>
        <r>
          <rPr>
            <sz val="9"/>
            <color indexed="81"/>
            <rFont val="Tahoma"/>
            <family val="2"/>
          </rPr>
          <t xml:space="preserve">
Insert the result of =S58.</t>
        </r>
      </text>
    </comment>
    <comment ref="E218" authorId="1" shapeId="0" xr:uid="{19492F31-BBE8-4D6F-A3C7-587B64BA66A3}">
      <text>
        <r>
          <rPr>
            <b/>
            <sz val="9"/>
            <color indexed="81"/>
            <rFont val="Tahoma"/>
            <family val="2"/>
          </rPr>
          <t>Dwight:</t>
        </r>
        <r>
          <rPr>
            <sz val="9"/>
            <color indexed="81"/>
            <rFont val="Tahoma"/>
            <family val="2"/>
          </rPr>
          <t xml:space="preserve">
Travel time.</t>
        </r>
      </text>
    </comment>
    <comment ref="D219" authorId="1" shapeId="0" xr:uid="{F49E6586-D77F-4D7C-99F1-136BD0CC8500}">
      <text>
        <r>
          <rPr>
            <b/>
            <sz val="9"/>
            <color indexed="81"/>
            <rFont val="Tahoma"/>
            <family val="2"/>
          </rPr>
          <t>Dwight:</t>
        </r>
        <r>
          <rPr>
            <sz val="9"/>
            <color indexed="81"/>
            <rFont val="Tahoma"/>
            <family val="2"/>
          </rPr>
          <t xml:space="preserve">
Insert the result of =S58 for jobs in National Parks.</t>
        </r>
      </text>
    </comment>
    <comment ref="E219" authorId="1" shapeId="0" xr:uid="{F5DB65BD-FBE3-4B07-A82B-737A9ACAFAEE}">
      <text>
        <r>
          <rPr>
            <b/>
            <sz val="9"/>
            <color indexed="81"/>
            <rFont val="Tahoma"/>
            <family val="2"/>
          </rPr>
          <t>Dwight:</t>
        </r>
        <r>
          <rPr>
            <sz val="9"/>
            <color indexed="81"/>
            <rFont val="Tahoma"/>
            <family val="2"/>
          </rPr>
          <t xml:space="preserve">
Trucks.
</t>
        </r>
      </text>
    </comment>
    <comment ref="R219" authorId="1" shapeId="0" xr:uid="{6E6F1A79-F809-450A-A4C6-5296147C3DA5}">
      <text>
        <r>
          <rPr>
            <b/>
            <sz val="9"/>
            <color indexed="81"/>
            <rFont val="Tahoma"/>
            <family val="2"/>
          </rPr>
          <t>Dwight:</t>
        </r>
        <r>
          <rPr>
            <sz val="9"/>
            <color indexed="81"/>
            <rFont val="Tahoma"/>
            <family val="2"/>
          </rPr>
          <t xml:space="preserve">
Park pass per day.</t>
        </r>
      </text>
    </comment>
    <comment ref="E220" authorId="1" shapeId="0" xr:uid="{9E8E9A79-5E9B-45AD-B56D-680C79780519}">
      <text>
        <r>
          <rPr>
            <b/>
            <sz val="9"/>
            <color indexed="81"/>
            <rFont val="Tahoma"/>
            <family val="2"/>
          </rPr>
          <t>Dwight:</t>
        </r>
        <r>
          <rPr>
            <sz val="9"/>
            <color indexed="81"/>
            <rFont val="Tahoma"/>
            <family val="2"/>
          </rPr>
          <t xml:space="preserve">
Trucks.
</t>
        </r>
      </text>
    </comment>
    <comment ref="E221" authorId="1" shapeId="0" xr:uid="{F4180DA8-3D2F-490B-AC1E-619CFC5A7574}">
      <text>
        <r>
          <rPr>
            <b/>
            <sz val="9"/>
            <color indexed="81"/>
            <rFont val="Tahoma"/>
            <family val="2"/>
          </rPr>
          <t>Dwight:</t>
        </r>
        <r>
          <rPr>
            <sz val="9"/>
            <color indexed="81"/>
            <rFont val="Tahoma"/>
            <family val="2"/>
          </rPr>
          <t xml:space="preserve">
Trucks.
</t>
        </r>
      </text>
    </comment>
    <comment ref="F222" authorId="1" shapeId="0" xr:uid="{DD5F223F-4368-43AD-9228-9465BC3B244D}">
      <text>
        <r>
          <rPr>
            <b/>
            <sz val="9"/>
            <color indexed="81"/>
            <rFont val="Tahoma"/>
            <family val="2"/>
          </rPr>
          <t>Dwight:</t>
        </r>
        <r>
          <rPr>
            <sz val="9"/>
            <color indexed="81"/>
            <rFont val="Tahoma"/>
            <family val="2"/>
          </rPr>
          <t xml:space="preserve">
Crew number.</t>
        </r>
      </text>
    </comment>
    <comment ref="K222" authorId="1" shapeId="0" xr:uid="{AB3DBBBC-AE26-4C65-9B18-89302A996B21}">
      <text>
        <r>
          <rPr>
            <b/>
            <sz val="9"/>
            <color indexed="81"/>
            <rFont val="Tahoma"/>
            <family val="2"/>
          </rPr>
          <t>Dwight:</t>
        </r>
        <r>
          <rPr>
            <sz val="9"/>
            <color indexed="81"/>
            <rFont val="Tahoma"/>
            <family val="2"/>
          </rPr>
          <t xml:space="preserve">
Click to lookup travel time.</t>
        </r>
      </text>
    </comment>
    <comment ref="K223" authorId="1" shapeId="0" xr:uid="{5E240146-C3D0-4169-90C8-E374CB41736A}">
      <text>
        <r>
          <rPr>
            <b/>
            <sz val="9"/>
            <color indexed="81"/>
            <rFont val="Tahoma"/>
            <family val="2"/>
          </rPr>
          <t>Dwight:</t>
        </r>
        <r>
          <rPr>
            <sz val="9"/>
            <color indexed="81"/>
            <rFont val="Tahoma"/>
            <family val="2"/>
          </rPr>
          <t xml:space="preserve">
Click to check local rates.</t>
        </r>
      </text>
    </comment>
    <comment ref="K224" authorId="1" shapeId="0" xr:uid="{CB899C1D-1C49-4F63-A3B5-F52CB01A595E}">
      <text>
        <r>
          <rPr>
            <b/>
            <sz val="9"/>
            <color indexed="81"/>
            <rFont val="Tahoma"/>
            <family val="2"/>
          </rPr>
          <t>Dwight:</t>
        </r>
        <r>
          <rPr>
            <sz val="9"/>
            <color indexed="81"/>
            <rFont val="Tahoma"/>
            <family val="2"/>
          </rPr>
          <t xml:space="preserve">
Click to check local rates.</t>
        </r>
      </text>
    </comment>
    <comment ref="E281" authorId="1" shapeId="0" xr:uid="{41D78CEC-B3CF-49A7-8D02-91AF92D4CF20}">
      <text>
        <r>
          <rPr>
            <b/>
            <sz val="9"/>
            <color indexed="81"/>
            <rFont val="Tahoma"/>
            <family val="2"/>
          </rPr>
          <t>Dwight:</t>
        </r>
        <r>
          <rPr>
            <sz val="9"/>
            <color indexed="81"/>
            <rFont val="Tahoma"/>
            <family val="2"/>
          </rPr>
          <t xml:space="preserve">
Travel time.</t>
        </r>
      </text>
    </comment>
    <comment ref="E283" authorId="1" shapeId="0" xr:uid="{D35C0094-8916-4E02-8DB4-2452A96A15E4}">
      <text>
        <r>
          <rPr>
            <b/>
            <sz val="9"/>
            <color indexed="81"/>
            <rFont val="Tahoma"/>
            <family val="2"/>
          </rPr>
          <t>Dwight:</t>
        </r>
        <r>
          <rPr>
            <sz val="9"/>
            <color indexed="81"/>
            <rFont val="Tahoma"/>
            <family val="2"/>
          </rPr>
          <t xml:space="preserve">
Overhead protection. Units.</t>
        </r>
      </text>
    </comment>
    <comment ref="E284" authorId="1" shapeId="0" xr:uid="{3CEAFC79-5876-46B8-AEF9-6C25F540E314}">
      <text>
        <r>
          <rPr>
            <b/>
            <sz val="9"/>
            <color indexed="81"/>
            <rFont val="Tahoma"/>
            <family val="2"/>
          </rPr>
          <t>Dwight:</t>
        </r>
        <r>
          <rPr>
            <sz val="9"/>
            <color indexed="81"/>
            <rFont val="Tahoma"/>
            <family val="2"/>
          </rPr>
          <t xml:space="preserve">
Overhead protection. Units.</t>
        </r>
      </text>
    </comment>
    <comment ref="D285" authorId="1" shapeId="0" xr:uid="{48AB5C61-99CE-452D-BE8E-2DB855DBF89A}">
      <text>
        <r>
          <rPr>
            <b/>
            <sz val="9"/>
            <color indexed="81"/>
            <rFont val="Tahoma"/>
            <family val="2"/>
          </rPr>
          <t>Dwight:</t>
        </r>
        <r>
          <rPr>
            <sz val="9"/>
            <color indexed="81"/>
            <rFont val="Tahoma"/>
            <family val="2"/>
          </rPr>
          <t xml:space="preserve">
0 For New-Con.</t>
        </r>
      </text>
    </comment>
    <comment ref="E285" authorId="1" shapeId="0" xr:uid="{CC12596D-61C4-41C2-93E1-B263D71EFE96}">
      <text>
        <r>
          <rPr>
            <b/>
            <sz val="9"/>
            <color indexed="81"/>
            <rFont val="Tahoma"/>
            <family val="2"/>
          </rPr>
          <t>Dwight:</t>
        </r>
        <r>
          <rPr>
            <sz val="9"/>
            <color indexed="81"/>
            <rFont val="Tahoma"/>
            <family val="2"/>
          </rPr>
          <t xml:space="preserve">
Travel time.</t>
        </r>
      </text>
    </comment>
    <comment ref="D286" authorId="1" shapeId="0" xr:uid="{A1C9BD68-7E68-429D-959A-91595564718E}">
      <text>
        <r>
          <rPr>
            <b/>
            <sz val="9"/>
            <color indexed="81"/>
            <rFont val="Tahoma"/>
            <family val="2"/>
          </rPr>
          <t>Dwight:</t>
        </r>
        <r>
          <rPr>
            <sz val="9"/>
            <color indexed="81"/>
            <rFont val="Tahoma"/>
            <family val="2"/>
          </rPr>
          <t xml:space="preserve">
0 For New-Con.</t>
        </r>
      </text>
    </comment>
    <comment ref="E286" authorId="1" shapeId="0" xr:uid="{7240BE4A-3FB3-4C8E-926E-5D5D68F47CA1}">
      <text>
        <r>
          <rPr>
            <b/>
            <sz val="9"/>
            <color indexed="81"/>
            <rFont val="Tahoma"/>
            <family val="2"/>
          </rPr>
          <t>Dwight:</t>
        </r>
        <r>
          <rPr>
            <sz val="9"/>
            <color indexed="81"/>
            <rFont val="Tahoma"/>
            <family val="2"/>
          </rPr>
          <t xml:space="preserve">
Travel time.</t>
        </r>
      </text>
    </comment>
    <comment ref="E287" authorId="1" shapeId="0" xr:uid="{B1AFA0D1-4F5D-4320-A41D-127D3249602A}">
      <text>
        <r>
          <rPr>
            <b/>
            <sz val="9"/>
            <color indexed="81"/>
            <rFont val="Tahoma"/>
            <family val="2"/>
          </rPr>
          <t>Dwight:</t>
        </r>
        <r>
          <rPr>
            <sz val="9"/>
            <color indexed="81"/>
            <rFont val="Tahoma"/>
            <family val="2"/>
          </rPr>
          <t xml:space="preserve">
Travel time.</t>
        </r>
      </text>
    </comment>
    <comment ref="D288" authorId="1" shapeId="0" xr:uid="{1B6AE798-C3C6-4CE0-B765-E02ACE2EEF34}">
      <text>
        <r>
          <rPr>
            <b/>
            <sz val="9"/>
            <color indexed="81"/>
            <rFont val="Tahoma"/>
            <family val="2"/>
          </rPr>
          <t>Dwight:</t>
        </r>
        <r>
          <rPr>
            <sz val="9"/>
            <color indexed="81"/>
            <rFont val="Tahoma"/>
            <family val="2"/>
          </rPr>
          <t xml:space="preserve">
0 For New-Con.</t>
        </r>
      </text>
    </comment>
    <comment ref="E288" authorId="1" shapeId="0" xr:uid="{694E86A2-4BAA-46CA-912D-99C4E0B860AB}">
      <text>
        <r>
          <rPr>
            <b/>
            <sz val="9"/>
            <color indexed="81"/>
            <rFont val="Tahoma"/>
            <family val="2"/>
          </rPr>
          <t>Dwight:</t>
        </r>
        <r>
          <rPr>
            <sz val="9"/>
            <color indexed="81"/>
            <rFont val="Tahoma"/>
            <family val="2"/>
          </rPr>
          <t xml:space="preserve">
Shake disposal.</t>
        </r>
      </text>
    </comment>
    <comment ref="I288" authorId="1" shapeId="0" xr:uid="{1976018E-C477-4954-A0F0-EE9E46DC2770}">
      <text>
        <r>
          <rPr>
            <b/>
            <sz val="9"/>
            <color indexed="81"/>
            <rFont val="Tahoma"/>
            <family val="2"/>
          </rPr>
          <t>Dwight:</t>
        </r>
        <r>
          <rPr>
            <sz val="9"/>
            <color indexed="81"/>
            <rFont val="Tahoma"/>
            <family val="2"/>
          </rPr>
          <t xml:space="preserve">
SQ conversion.</t>
        </r>
      </text>
    </comment>
    <comment ref="D290" authorId="1" shapeId="0" xr:uid="{9C7D7ABB-BCB8-4B6B-BFED-8D405A8E9FF4}">
      <text>
        <r>
          <rPr>
            <b/>
            <sz val="9"/>
            <color indexed="81"/>
            <rFont val="Tahoma"/>
            <family val="2"/>
          </rPr>
          <t>Dwight:</t>
        </r>
        <r>
          <rPr>
            <sz val="9"/>
            <color indexed="81"/>
            <rFont val="Tahoma"/>
            <family val="2"/>
          </rPr>
          <t xml:space="preserve">
Insert the result of =S58.</t>
        </r>
      </text>
    </comment>
    <comment ref="E290" authorId="1" shapeId="0" xr:uid="{233EBEE6-36B0-4872-BCF0-A1131A246B4E}">
      <text>
        <r>
          <rPr>
            <b/>
            <sz val="9"/>
            <color indexed="81"/>
            <rFont val="Tahoma"/>
            <family val="2"/>
          </rPr>
          <t>Dwight:</t>
        </r>
        <r>
          <rPr>
            <sz val="9"/>
            <color indexed="81"/>
            <rFont val="Tahoma"/>
            <family val="2"/>
          </rPr>
          <t xml:space="preserve">
Travel time.</t>
        </r>
      </text>
    </comment>
    <comment ref="D291" authorId="1" shapeId="0" xr:uid="{05FB8572-AB91-40F5-992F-7C43A1A89B45}">
      <text>
        <r>
          <rPr>
            <b/>
            <sz val="9"/>
            <color indexed="81"/>
            <rFont val="Tahoma"/>
            <family val="2"/>
          </rPr>
          <t>Dwight:</t>
        </r>
        <r>
          <rPr>
            <sz val="9"/>
            <color indexed="81"/>
            <rFont val="Tahoma"/>
            <family val="2"/>
          </rPr>
          <t xml:space="preserve">
Insert the result of =S58 for jobs in National Parks.</t>
        </r>
      </text>
    </comment>
    <comment ref="E291" authorId="1" shapeId="0" xr:uid="{60D3BE42-A7A9-4D90-A237-18E69FA2A578}">
      <text>
        <r>
          <rPr>
            <b/>
            <sz val="9"/>
            <color indexed="81"/>
            <rFont val="Tahoma"/>
            <family val="2"/>
          </rPr>
          <t>Dwight:</t>
        </r>
        <r>
          <rPr>
            <sz val="9"/>
            <color indexed="81"/>
            <rFont val="Tahoma"/>
            <family val="2"/>
          </rPr>
          <t xml:space="preserve">
Trucks.
</t>
        </r>
      </text>
    </comment>
    <comment ref="R291" authorId="1" shapeId="0" xr:uid="{2F483837-F42B-4593-80F8-8A3D2B94802C}">
      <text>
        <r>
          <rPr>
            <b/>
            <sz val="9"/>
            <color indexed="81"/>
            <rFont val="Tahoma"/>
            <family val="2"/>
          </rPr>
          <t>Dwight:</t>
        </r>
        <r>
          <rPr>
            <sz val="9"/>
            <color indexed="81"/>
            <rFont val="Tahoma"/>
            <family val="2"/>
          </rPr>
          <t xml:space="preserve">
Park pass per day.</t>
        </r>
      </text>
    </comment>
    <comment ref="E292" authorId="1" shapeId="0" xr:uid="{A60194D6-BF30-465D-9886-BF481C2F1168}">
      <text>
        <r>
          <rPr>
            <b/>
            <sz val="9"/>
            <color indexed="81"/>
            <rFont val="Tahoma"/>
            <family val="2"/>
          </rPr>
          <t>Dwight:</t>
        </r>
        <r>
          <rPr>
            <sz val="9"/>
            <color indexed="81"/>
            <rFont val="Tahoma"/>
            <family val="2"/>
          </rPr>
          <t xml:space="preserve">
Trucks.
</t>
        </r>
      </text>
    </comment>
    <comment ref="E293" authorId="1" shapeId="0" xr:uid="{8D8C5E5D-B926-4605-8345-FCED9B89925D}">
      <text>
        <r>
          <rPr>
            <b/>
            <sz val="9"/>
            <color indexed="81"/>
            <rFont val="Tahoma"/>
            <family val="2"/>
          </rPr>
          <t>Dwight:</t>
        </r>
        <r>
          <rPr>
            <sz val="9"/>
            <color indexed="81"/>
            <rFont val="Tahoma"/>
            <family val="2"/>
          </rPr>
          <t xml:space="preserve">
Trucks.
</t>
        </r>
      </text>
    </comment>
    <comment ref="F294" authorId="1" shapeId="0" xr:uid="{4007B19D-8897-40C4-AC86-697987567719}">
      <text>
        <r>
          <rPr>
            <b/>
            <sz val="9"/>
            <color indexed="81"/>
            <rFont val="Tahoma"/>
            <family val="2"/>
          </rPr>
          <t>Dwight:</t>
        </r>
        <r>
          <rPr>
            <sz val="9"/>
            <color indexed="81"/>
            <rFont val="Tahoma"/>
            <family val="2"/>
          </rPr>
          <t xml:space="preserve">
Crew number.</t>
        </r>
      </text>
    </comment>
    <comment ref="K294" authorId="1" shapeId="0" xr:uid="{75CAF046-9369-47FC-9051-92F337842C20}">
      <text>
        <r>
          <rPr>
            <b/>
            <sz val="9"/>
            <color indexed="81"/>
            <rFont val="Tahoma"/>
            <family val="2"/>
          </rPr>
          <t>Dwight:</t>
        </r>
        <r>
          <rPr>
            <sz val="9"/>
            <color indexed="81"/>
            <rFont val="Tahoma"/>
            <family val="2"/>
          </rPr>
          <t xml:space="preserve">
Click to lookup travel time.</t>
        </r>
      </text>
    </comment>
    <comment ref="K295" authorId="1" shapeId="0" xr:uid="{6D3E7DC2-FDAD-4E00-9775-65ACAB175827}">
      <text>
        <r>
          <rPr>
            <b/>
            <sz val="9"/>
            <color indexed="81"/>
            <rFont val="Tahoma"/>
            <family val="2"/>
          </rPr>
          <t>Dwight:</t>
        </r>
        <r>
          <rPr>
            <sz val="9"/>
            <color indexed="81"/>
            <rFont val="Tahoma"/>
            <family val="2"/>
          </rPr>
          <t xml:space="preserve">
Click to check local rates.</t>
        </r>
      </text>
    </comment>
    <comment ref="K296" authorId="1" shapeId="0" xr:uid="{EE5B1BE0-40A9-4315-9A23-E8460859B82C}">
      <text>
        <r>
          <rPr>
            <b/>
            <sz val="9"/>
            <color indexed="81"/>
            <rFont val="Tahoma"/>
            <family val="2"/>
          </rPr>
          <t>Dwight:</t>
        </r>
        <r>
          <rPr>
            <sz val="9"/>
            <color indexed="81"/>
            <rFont val="Tahoma"/>
            <family val="2"/>
          </rPr>
          <t xml:space="preserve">
Click to check local rates.</t>
        </r>
      </text>
    </comment>
    <comment ref="E355" authorId="1" shapeId="0" xr:uid="{E7E7F982-EB0F-4AC4-AE40-0AAB7CF3F16A}">
      <text>
        <r>
          <rPr>
            <b/>
            <sz val="9"/>
            <color indexed="81"/>
            <rFont val="Tahoma"/>
            <family val="2"/>
          </rPr>
          <t>Dwight:</t>
        </r>
        <r>
          <rPr>
            <sz val="9"/>
            <color indexed="81"/>
            <rFont val="Tahoma"/>
            <family val="2"/>
          </rPr>
          <t xml:space="preserve">
Travel time.</t>
        </r>
      </text>
    </comment>
    <comment ref="E357" authorId="1" shapeId="0" xr:uid="{1D1E639C-C93F-481C-A734-D8B267F3050F}">
      <text>
        <r>
          <rPr>
            <b/>
            <sz val="9"/>
            <color indexed="81"/>
            <rFont val="Tahoma"/>
            <family val="2"/>
          </rPr>
          <t>Dwight:</t>
        </r>
        <r>
          <rPr>
            <sz val="9"/>
            <color indexed="81"/>
            <rFont val="Tahoma"/>
            <family val="2"/>
          </rPr>
          <t xml:space="preserve">
Overhead protection. Units.</t>
        </r>
      </text>
    </comment>
    <comment ref="E358" authorId="1" shapeId="0" xr:uid="{5A81E45E-6931-4E2F-9826-D37555D01B57}">
      <text>
        <r>
          <rPr>
            <b/>
            <sz val="9"/>
            <color indexed="81"/>
            <rFont val="Tahoma"/>
            <family val="2"/>
          </rPr>
          <t>Dwight:</t>
        </r>
        <r>
          <rPr>
            <sz val="9"/>
            <color indexed="81"/>
            <rFont val="Tahoma"/>
            <family val="2"/>
          </rPr>
          <t xml:space="preserve">
Overhead protection. Units.</t>
        </r>
      </text>
    </comment>
    <comment ref="D359" authorId="1" shapeId="0" xr:uid="{BD31C5AB-AF68-4754-B035-A7C59770DC27}">
      <text>
        <r>
          <rPr>
            <b/>
            <sz val="9"/>
            <color indexed="81"/>
            <rFont val="Tahoma"/>
            <family val="2"/>
          </rPr>
          <t>Dwight:</t>
        </r>
        <r>
          <rPr>
            <sz val="9"/>
            <color indexed="81"/>
            <rFont val="Tahoma"/>
            <family val="2"/>
          </rPr>
          <t xml:space="preserve">
0 For New-Con.</t>
        </r>
      </text>
    </comment>
    <comment ref="E359" authorId="1" shapeId="0" xr:uid="{A865B964-7C1C-4002-99DE-003DD847C8BB}">
      <text>
        <r>
          <rPr>
            <b/>
            <sz val="9"/>
            <color indexed="81"/>
            <rFont val="Tahoma"/>
            <family val="2"/>
          </rPr>
          <t>Dwight:</t>
        </r>
        <r>
          <rPr>
            <sz val="9"/>
            <color indexed="81"/>
            <rFont val="Tahoma"/>
            <family val="2"/>
          </rPr>
          <t xml:space="preserve">
Travel time.</t>
        </r>
      </text>
    </comment>
    <comment ref="D360" authorId="1" shapeId="0" xr:uid="{567EE343-9152-4F92-BDC6-06249931A666}">
      <text>
        <r>
          <rPr>
            <b/>
            <sz val="9"/>
            <color indexed="81"/>
            <rFont val="Tahoma"/>
            <family val="2"/>
          </rPr>
          <t>Dwight:</t>
        </r>
        <r>
          <rPr>
            <sz val="9"/>
            <color indexed="81"/>
            <rFont val="Tahoma"/>
            <family val="2"/>
          </rPr>
          <t xml:space="preserve">
0 For New-Con.</t>
        </r>
      </text>
    </comment>
    <comment ref="E360" authorId="1" shapeId="0" xr:uid="{0120A3E8-DB43-4735-8CB3-CB5B66FBB100}">
      <text>
        <r>
          <rPr>
            <b/>
            <sz val="9"/>
            <color indexed="81"/>
            <rFont val="Tahoma"/>
            <family val="2"/>
          </rPr>
          <t>Dwight:</t>
        </r>
        <r>
          <rPr>
            <sz val="9"/>
            <color indexed="81"/>
            <rFont val="Tahoma"/>
            <family val="2"/>
          </rPr>
          <t xml:space="preserve">
Travel time.</t>
        </r>
      </text>
    </comment>
    <comment ref="E361" authorId="1" shapeId="0" xr:uid="{3349D037-284E-4886-BA69-620EC001E3A5}">
      <text>
        <r>
          <rPr>
            <b/>
            <sz val="9"/>
            <color indexed="81"/>
            <rFont val="Tahoma"/>
            <family val="2"/>
          </rPr>
          <t>Dwight:</t>
        </r>
        <r>
          <rPr>
            <sz val="9"/>
            <color indexed="81"/>
            <rFont val="Tahoma"/>
            <family val="2"/>
          </rPr>
          <t xml:space="preserve">
Travel time.</t>
        </r>
      </text>
    </comment>
    <comment ref="D362" authorId="1" shapeId="0" xr:uid="{0C9971F7-00B4-461C-9798-5B7A5B7B6852}">
      <text>
        <r>
          <rPr>
            <b/>
            <sz val="9"/>
            <color indexed="81"/>
            <rFont val="Tahoma"/>
            <family val="2"/>
          </rPr>
          <t>Dwight:</t>
        </r>
        <r>
          <rPr>
            <sz val="9"/>
            <color indexed="81"/>
            <rFont val="Tahoma"/>
            <family val="2"/>
          </rPr>
          <t xml:space="preserve">
0 For New-Con.</t>
        </r>
      </text>
    </comment>
    <comment ref="E362" authorId="1" shapeId="0" xr:uid="{1BB4110F-72C9-4E7D-B615-BF7E62C52E76}">
      <text>
        <r>
          <rPr>
            <b/>
            <sz val="9"/>
            <color indexed="81"/>
            <rFont val="Tahoma"/>
            <family val="2"/>
          </rPr>
          <t>Dwight:</t>
        </r>
        <r>
          <rPr>
            <sz val="9"/>
            <color indexed="81"/>
            <rFont val="Tahoma"/>
            <family val="2"/>
          </rPr>
          <t xml:space="preserve">
Shake disposal.</t>
        </r>
      </text>
    </comment>
    <comment ref="I362" authorId="1" shapeId="0" xr:uid="{7A68A231-63FE-4B12-9DCB-69A7D511CC73}">
      <text>
        <r>
          <rPr>
            <b/>
            <sz val="9"/>
            <color indexed="81"/>
            <rFont val="Tahoma"/>
            <family val="2"/>
          </rPr>
          <t>Dwight:</t>
        </r>
        <r>
          <rPr>
            <sz val="9"/>
            <color indexed="81"/>
            <rFont val="Tahoma"/>
            <family val="2"/>
          </rPr>
          <t xml:space="preserve">
SQ conversion.</t>
        </r>
      </text>
    </comment>
    <comment ref="D364" authorId="1" shapeId="0" xr:uid="{E47D315D-C870-4CC0-9399-86B0B54BFA7E}">
      <text>
        <r>
          <rPr>
            <b/>
            <sz val="9"/>
            <color indexed="81"/>
            <rFont val="Tahoma"/>
            <family val="2"/>
          </rPr>
          <t>Dwight:</t>
        </r>
        <r>
          <rPr>
            <sz val="9"/>
            <color indexed="81"/>
            <rFont val="Tahoma"/>
            <family val="2"/>
          </rPr>
          <t xml:space="preserve">
Insert the result of =S58.</t>
        </r>
      </text>
    </comment>
    <comment ref="E364" authorId="1" shapeId="0" xr:uid="{6CBE1397-7388-4DEF-8633-3390E8B44098}">
      <text>
        <r>
          <rPr>
            <b/>
            <sz val="9"/>
            <color indexed="81"/>
            <rFont val="Tahoma"/>
            <family val="2"/>
          </rPr>
          <t>Dwight:</t>
        </r>
        <r>
          <rPr>
            <sz val="9"/>
            <color indexed="81"/>
            <rFont val="Tahoma"/>
            <family val="2"/>
          </rPr>
          <t xml:space="preserve">
Travel time.</t>
        </r>
      </text>
    </comment>
    <comment ref="D365" authorId="1" shapeId="0" xr:uid="{B357438A-B96B-4266-A372-13F678BF492E}">
      <text>
        <r>
          <rPr>
            <b/>
            <sz val="9"/>
            <color indexed="81"/>
            <rFont val="Tahoma"/>
            <family val="2"/>
          </rPr>
          <t>Dwight:</t>
        </r>
        <r>
          <rPr>
            <sz val="9"/>
            <color indexed="81"/>
            <rFont val="Tahoma"/>
            <family val="2"/>
          </rPr>
          <t xml:space="preserve">
Insert the result of =S58 for jobs in National Parks.</t>
        </r>
      </text>
    </comment>
    <comment ref="E365" authorId="1" shapeId="0" xr:uid="{E823B125-8D8F-4AD0-AF9E-82A9DC2D5C6C}">
      <text>
        <r>
          <rPr>
            <b/>
            <sz val="9"/>
            <color indexed="81"/>
            <rFont val="Tahoma"/>
            <family val="2"/>
          </rPr>
          <t>Dwight:</t>
        </r>
        <r>
          <rPr>
            <sz val="9"/>
            <color indexed="81"/>
            <rFont val="Tahoma"/>
            <family val="2"/>
          </rPr>
          <t xml:space="preserve">
Trucks.
</t>
        </r>
      </text>
    </comment>
    <comment ref="R365" authorId="1" shapeId="0" xr:uid="{B5CC382B-92AB-4FF1-827A-E26A1CA66E6E}">
      <text>
        <r>
          <rPr>
            <b/>
            <sz val="9"/>
            <color indexed="81"/>
            <rFont val="Tahoma"/>
            <family val="2"/>
          </rPr>
          <t>Dwight:</t>
        </r>
        <r>
          <rPr>
            <sz val="9"/>
            <color indexed="81"/>
            <rFont val="Tahoma"/>
            <family val="2"/>
          </rPr>
          <t xml:space="preserve">
Park pass per day.</t>
        </r>
      </text>
    </comment>
    <comment ref="E366" authorId="1" shapeId="0" xr:uid="{BEF8FFCD-10EE-4D4A-9754-352C377B4E24}">
      <text>
        <r>
          <rPr>
            <b/>
            <sz val="9"/>
            <color indexed="81"/>
            <rFont val="Tahoma"/>
            <family val="2"/>
          </rPr>
          <t>Dwight:</t>
        </r>
        <r>
          <rPr>
            <sz val="9"/>
            <color indexed="81"/>
            <rFont val="Tahoma"/>
            <family val="2"/>
          </rPr>
          <t xml:space="preserve">
Trucks.
</t>
        </r>
      </text>
    </comment>
    <comment ref="E367" authorId="1" shapeId="0" xr:uid="{8896657F-454B-46B5-B0ED-ABB4130AE61C}">
      <text>
        <r>
          <rPr>
            <b/>
            <sz val="9"/>
            <color indexed="81"/>
            <rFont val="Tahoma"/>
            <family val="2"/>
          </rPr>
          <t>Dwight:</t>
        </r>
        <r>
          <rPr>
            <sz val="9"/>
            <color indexed="81"/>
            <rFont val="Tahoma"/>
            <family val="2"/>
          </rPr>
          <t xml:space="preserve">
Trucks.
</t>
        </r>
      </text>
    </comment>
    <comment ref="F368" authorId="1" shapeId="0" xr:uid="{C377374B-69D8-455A-B69E-EE9A2FA2F3CB}">
      <text>
        <r>
          <rPr>
            <b/>
            <sz val="9"/>
            <color indexed="81"/>
            <rFont val="Tahoma"/>
            <family val="2"/>
          </rPr>
          <t>Dwight:</t>
        </r>
        <r>
          <rPr>
            <sz val="9"/>
            <color indexed="81"/>
            <rFont val="Tahoma"/>
            <family val="2"/>
          </rPr>
          <t xml:space="preserve">
Crew number.</t>
        </r>
      </text>
    </comment>
    <comment ref="K368" authorId="1" shapeId="0" xr:uid="{72AF5BFC-1B3A-42FD-B49E-402E62B1B0CA}">
      <text>
        <r>
          <rPr>
            <b/>
            <sz val="9"/>
            <color indexed="81"/>
            <rFont val="Tahoma"/>
            <family val="2"/>
          </rPr>
          <t>Dwight:</t>
        </r>
        <r>
          <rPr>
            <sz val="9"/>
            <color indexed="81"/>
            <rFont val="Tahoma"/>
            <family val="2"/>
          </rPr>
          <t xml:space="preserve">
Click to lookup travel time.</t>
        </r>
      </text>
    </comment>
    <comment ref="K369" authorId="1" shapeId="0" xr:uid="{0742D3E5-7998-4B42-A050-034E886C8C15}">
      <text>
        <r>
          <rPr>
            <b/>
            <sz val="9"/>
            <color indexed="81"/>
            <rFont val="Tahoma"/>
            <family val="2"/>
          </rPr>
          <t>Dwight:</t>
        </r>
        <r>
          <rPr>
            <sz val="9"/>
            <color indexed="81"/>
            <rFont val="Tahoma"/>
            <family val="2"/>
          </rPr>
          <t xml:space="preserve">
Click to check local rates.</t>
        </r>
      </text>
    </comment>
    <comment ref="K370" authorId="1" shapeId="0" xr:uid="{911E76FA-3D98-42D0-B9E8-09F02FFF7D4A}">
      <text>
        <r>
          <rPr>
            <b/>
            <sz val="9"/>
            <color indexed="81"/>
            <rFont val="Tahoma"/>
            <family val="2"/>
          </rPr>
          <t>Dwight:</t>
        </r>
        <r>
          <rPr>
            <sz val="9"/>
            <color indexed="81"/>
            <rFont val="Tahoma"/>
            <family val="2"/>
          </rPr>
          <t xml:space="preserve">
Click to check local rates.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Dwight</author>
  </authors>
  <commentList>
    <comment ref="F12" authorId="0" shapeId="0" xr:uid="{5656CAC8-E0FA-4B18-B5B6-E20B1944B59C}">
      <text>
        <r>
          <rPr>
            <b/>
            <sz val="9"/>
            <color indexed="81"/>
            <rFont val="Tahoma"/>
            <family val="2"/>
          </rPr>
          <t>Dwight:</t>
        </r>
        <r>
          <rPr>
            <sz val="9"/>
            <color indexed="81"/>
            <rFont val="Tahoma"/>
            <family val="2"/>
          </rPr>
          <t xml:space="preserve">
Add hyperlink to the web.
Copy past link.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Dwight</author>
  </authors>
  <commentList>
    <comment ref="F12" authorId="0" shapeId="0" xr:uid="{902BE75C-6EE4-40B6-8203-84DEE3BEBBBA}">
      <text>
        <r>
          <rPr>
            <b/>
            <sz val="9"/>
            <color indexed="81"/>
            <rFont val="Tahoma"/>
            <family val="2"/>
          </rPr>
          <t>Dwight:</t>
        </r>
        <r>
          <rPr>
            <sz val="9"/>
            <color indexed="81"/>
            <rFont val="Tahoma"/>
            <family val="2"/>
          </rPr>
          <t xml:space="preserve">
Add hyperlink to the web.
Copy past link.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Dwight</author>
  </authors>
  <commentList>
    <comment ref="F12" authorId="0" shapeId="0" xr:uid="{932365A6-5E73-4467-809D-DBE4D61E34D4}">
      <text>
        <r>
          <rPr>
            <b/>
            <sz val="9"/>
            <color indexed="81"/>
            <rFont val="Tahoma"/>
            <family val="2"/>
          </rPr>
          <t>Dwight:</t>
        </r>
        <r>
          <rPr>
            <sz val="9"/>
            <color indexed="81"/>
            <rFont val="Tahoma"/>
            <family val="2"/>
          </rPr>
          <t xml:space="preserve">
Add hyperlink to the web.
Copy past link.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Dwight</author>
  </authors>
  <commentList>
    <comment ref="F12" authorId="0" shapeId="0" xr:uid="{BEE08452-4080-4994-A1C3-37D3726F7B88}">
      <text>
        <r>
          <rPr>
            <b/>
            <sz val="9"/>
            <color indexed="81"/>
            <rFont val="Tahoma"/>
            <family val="2"/>
          </rPr>
          <t>Dwight:</t>
        </r>
        <r>
          <rPr>
            <sz val="9"/>
            <color indexed="81"/>
            <rFont val="Tahoma"/>
            <family val="2"/>
          </rPr>
          <t xml:space="preserve">
Add hyperlink to the web.
Copy past link.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Dwight</author>
  </authors>
  <commentList>
    <comment ref="F12" authorId="0" shapeId="0" xr:uid="{84184F8E-CA48-4670-818C-E5CAE6F8BE44}">
      <text>
        <r>
          <rPr>
            <b/>
            <sz val="9"/>
            <color indexed="81"/>
            <rFont val="Tahoma"/>
            <family val="2"/>
          </rPr>
          <t>Dwight:</t>
        </r>
        <r>
          <rPr>
            <sz val="9"/>
            <color indexed="81"/>
            <rFont val="Tahoma"/>
            <family val="2"/>
          </rPr>
          <t xml:space="preserve">
Add hyperlink to the web.
Copy past link.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Dwight</author>
  </authors>
  <commentList>
    <comment ref="F12" authorId="0" shapeId="0" xr:uid="{021C2F65-30AA-4149-94DF-DC2BCA0C47D7}">
      <text>
        <r>
          <rPr>
            <b/>
            <sz val="9"/>
            <color indexed="81"/>
            <rFont val="Tahoma"/>
            <family val="2"/>
          </rPr>
          <t>Dwight:</t>
        </r>
        <r>
          <rPr>
            <sz val="9"/>
            <color indexed="81"/>
            <rFont val="Tahoma"/>
            <family val="2"/>
          </rPr>
          <t xml:space="preserve">
Add hyperlink to the web.
Copy past link.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Dwight</author>
  </authors>
  <commentList>
    <comment ref="F12" authorId="0" shapeId="0" xr:uid="{0686B13D-3039-45A7-BFD0-A95A78C94073}">
      <text>
        <r>
          <rPr>
            <b/>
            <sz val="9"/>
            <color indexed="81"/>
            <rFont val="Tahoma"/>
            <family val="2"/>
          </rPr>
          <t>Dwight:</t>
        </r>
        <r>
          <rPr>
            <sz val="9"/>
            <color indexed="81"/>
            <rFont val="Tahoma"/>
            <family val="2"/>
          </rPr>
          <t xml:space="preserve">
Add hyperlink to the web.
Copy past link.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<sst xmlns="http://schemas.openxmlformats.org/spreadsheetml/2006/main" count="33789" uniqueCount="10375">
  <si>
    <t>CLIENT:</t>
  </si>
  <si>
    <t xml:space="preserve">SQUARE: </t>
  </si>
  <si>
    <t xml:space="preserve">PROJECT: </t>
  </si>
  <si>
    <t xml:space="preserve">LOCATION: </t>
  </si>
  <si>
    <t>DESCRIPTION</t>
  </si>
  <si>
    <t>QTY</t>
  </si>
  <si>
    <t>UNIT</t>
  </si>
  <si>
    <t>LABOUR</t>
  </si>
  <si>
    <t>MATERIAL</t>
  </si>
  <si>
    <t>EQUIPMENT</t>
  </si>
  <si>
    <t>OTHER</t>
  </si>
  <si>
    <t>TOTAL</t>
  </si>
  <si>
    <t>LNGTH</t>
  </si>
  <si>
    <t>WIDTH</t>
  </si>
  <si>
    <t>HEIGHT</t>
  </si>
  <si>
    <t>×</t>
  </si>
  <si>
    <t>÷</t>
  </si>
  <si>
    <t>UNIT $</t>
  </si>
  <si>
    <t>ASPHALT SHINGLES SCOPE</t>
  </si>
  <si>
    <t xml:space="preserve">T O T A L S </t>
  </si>
  <si>
    <t>CONSULTANT:</t>
  </si>
  <si>
    <t>Materials</t>
  </si>
  <si>
    <t>pcs</t>
  </si>
  <si>
    <t>roll</t>
  </si>
  <si>
    <t>bdl</t>
  </si>
  <si>
    <t>Installation</t>
  </si>
  <si>
    <t>General Requirements</t>
  </si>
  <si>
    <t>Mobilization/Demobilization</t>
  </si>
  <si>
    <t>Disposal (Fee, Labour, Fuel)</t>
  </si>
  <si>
    <t>Project Manager</t>
  </si>
  <si>
    <t>Sub-Total:</t>
  </si>
  <si>
    <t>Project Total:</t>
  </si>
  <si>
    <t>Cost Sumary:</t>
  </si>
  <si>
    <t>Sub Totals</t>
  </si>
  <si>
    <t>Caulking</t>
  </si>
  <si>
    <t>Screws</t>
  </si>
  <si>
    <t>bag</t>
  </si>
  <si>
    <t>no.</t>
  </si>
  <si>
    <t>Delivery - Surcharge</t>
  </si>
  <si>
    <t>Delivery - Hoisting</t>
  </si>
  <si>
    <t>Unit</t>
  </si>
  <si>
    <t>Step Flashing</t>
  </si>
  <si>
    <t>Safety - Scaffolding</t>
  </si>
  <si>
    <t>Chimney Backpan</t>
  </si>
  <si>
    <t>"B" Vent - Flange</t>
  </si>
  <si>
    <t>"B" Vent - Chimney Rain Caps &amp; S/C</t>
  </si>
  <si>
    <t>Rolls</t>
  </si>
  <si>
    <t>Wall Flashing</t>
  </si>
  <si>
    <t>Ice &amp; Water</t>
  </si>
  <si>
    <t>COSTS</t>
  </si>
  <si>
    <t>Date</t>
  </si>
  <si>
    <t>Total Invoice</t>
  </si>
  <si>
    <t>Jay's Invoice</t>
  </si>
  <si>
    <t>TOTAL PROJECT COSTS:</t>
  </si>
  <si>
    <t>TOTAL ROOF CONTRACT VALUE:</t>
  </si>
  <si>
    <t>Ground Drop</t>
  </si>
  <si>
    <t>Total Material Cost:</t>
  </si>
  <si>
    <t>Total Labour &amp; G.R. Cost:</t>
  </si>
  <si>
    <t>/SQ</t>
  </si>
  <si>
    <t>Dumping Costs</t>
  </si>
  <si>
    <t>Chimney Work</t>
  </si>
  <si>
    <t>Hrs</t>
  </si>
  <si>
    <t>Total Roof Area</t>
  </si>
  <si>
    <t>Number of Stories</t>
  </si>
  <si>
    <t>Total Ridges/Hips</t>
  </si>
  <si>
    <t>Total Valleys</t>
  </si>
  <si>
    <t>Total Rakes</t>
  </si>
  <si>
    <t>Total Eaves</t>
  </si>
  <si>
    <t>6 12</t>
  </si>
  <si>
    <t>Pitch 1</t>
  </si>
  <si>
    <t>Pitch 2</t>
  </si>
  <si>
    <t>Pitch 3</t>
  </si>
  <si>
    <t>10 12</t>
  </si>
  <si>
    <t>Number of units</t>
  </si>
  <si>
    <t>Pitch 4</t>
  </si>
  <si>
    <t>3 12</t>
  </si>
  <si>
    <t>7 12</t>
  </si>
  <si>
    <t>8 12</t>
  </si>
  <si>
    <t>9 12</t>
  </si>
  <si>
    <t>Pitch 5</t>
  </si>
  <si>
    <t>Project Contingency</t>
  </si>
  <si>
    <t>Profit:</t>
  </si>
  <si>
    <t>1 12</t>
  </si>
  <si>
    <t>Pitch 6</t>
  </si>
  <si>
    <t>Pitch 7</t>
  </si>
  <si>
    <t>Pitch 8</t>
  </si>
  <si>
    <t>Pitch 9</t>
  </si>
  <si>
    <t>Pitch 10</t>
  </si>
  <si>
    <t>2 12</t>
  </si>
  <si>
    <t>4 12</t>
  </si>
  <si>
    <t>5 12</t>
  </si>
  <si>
    <t>Pitch 11</t>
  </si>
  <si>
    <t>Pitch 12</t>
  </si>
  <si>
    <t>Pitch 14</t>
  </si>
  <si>
    <t>Pitch 15</t>
  </si>
  <si>
    <t>Pitch 13</t>
  </si>
  <si>
    <t>Pitch 16</t>
  </si>
  <si>
    <t>Vent  Penetrations</t>
  </si>
  <si>
    <t>Gooseneck  Penetrations</t>
  </si>
  <si>
    <t>"B" vent Penetrations</t>
  </si>
  <si>
    <t>11 12</t>
  </si>
  <si>
    <t>12 12</t>
  </si>
  <si>
    <t>13 12</t>
  </si>
  <si>
    <t>14 12</t>
  </si>
  <si>
    <t>15 12</t>
  </si>
  <si>
    <t>16 12</t>
  </si>
  <si>
    <t>CLOSING DATE:</t>
  </si>
  <si>
    <t>ESTIMATOR:</t>
  </si>
  <si>
    <t>ARCH. REF. #:</t>
  </si>
  <si>
    <t>Blown in Insulation R40</t>
  </si>
  <si>
    <t>From metal</t>
  </si>
  <si>
    <t>Per R10</t>
  </si>
  <si>
    <t>LF</t>
  </si>
  <si>
    <t>High Def Cap</t>
  </si>
  <si>
    <t>EA</t>
  </si>
  <si>
    <t>Area</t>
  </si>
  <si>
    <t>XX 12</t>
  </si>
  <si>
    <t>Pitch</t>
  </si>
  <si>
    <t>Square Feet</t>
  </si>
  <si>
    <t>Oatey Penetrations</t>
  </si>
  <si>
    <t xml:space="preserve">Building # </t>
  </si>
  <si>
    <t>Pitch XX (Custom)</t>
  </si>
  <si>
    <t>SF</t>
  </si>
  <si>
    <t>EST. #:</t>
  </si>
  <si>
    <t>LS</t>
  </si>
  <si>
    <t>Site Control (Fence et al)</t>
  </si>
  <si>
    <t>Site Control (Booms)</t>
  </si>
  <si>
    <t>Travel time (Crew)</t>
  </si>
  <si>
    <t>Hotel</t>
  </si>
  <si>
    <t>Stories</t>
  </si>
  <si>
    <t xml:space="preserve">Estimator </t>
  </si>
  <si>
    <t>Wolf White</t>
  </si>
  <si>
    <t>White SG</t>
  </si>
  <si>
    <t>Linen</t>
  </si>
  <si>
    <t>Ivory</t>
  </si>
  <si>
    <t>MatchSandelwood</t>
  </si>
  <si>
    <t>Mocha</t>
  </si>
  <si>
    <t>Wicker</t>
  </si>
  <si>
    <t>Match Beige</t>
  </si>
  <si>
    <t>Kaki</t>
  </si>
  <si>
    <t>Sandalwood</t>
  </si>
  <si>
    <t>Chocolate</t>
  </si>
  <si>
    <t>Pearl Grey</t>
  </si>
  <si>
    <t>Charcoal</t>
  </si>
  <si>
    <t>Cactus</t>
  </si>
  <si>
    <t>Com. Brown</t>
  </si>
  <si>
    <t>Forest Green</t>
  </si>
  <si>
    <t>Rustic Granite</t>
  </si>
  <si>
    <t>Black</t>
  </si>
  <si>
    <t>Fascia 6" (10' long)</t>
  </si>
  <si>
    <t>Gabel Trim (10' long)</t>
  </si>
  <si>
    <t>Eaves trough 5"</t>
  </si>
  <si>
    <t>Hanger</t>
  </si>
  <si>
    <t>End caps</t>
  </si>
  <si>
    <t>Miters</t>
  </si>
  <si>
    <t>Caulking M1 Sealant</t>
  </si>
  <si>
    <t>Paint</t>
  </si>
  <si>
    <t>Outlets</t>
  </si>
  <si>
    <t>Downspouts (1 Story)</t>
  </si>
  <si>
    <t>Downspouts (2 Story)</t>
  </si>
  <si>
    <t>Downspouts (3 Story)</t>
  </si>
  <si>
    <t>Downspouts (4 Story)</t>
  </si>
  <si>
    <t>Downspouts (5 Story)</t>
  </si>
  <si>
    <t>Downspouts (6 Story)</t>
  </si>
  <si>
    <t>Soffit Balcony</t>
  </si>
  <si>
    <t>Soft Metals</t>
  </si>
  <si>
    <t>Elbows</t>
  </si>
  <si>
    <t>Soffit</t>
  </si>
  <si>
    <t>=</t>
  </si>
  <si>
    <t>Soffit width in inches</t>
  </si>
  <si>
    <t>Additional Areas</t>
  </si>
  <si>
    <t>SOFT METALS SCOPE</t>
  </si>
  <si>
    <t>Number of stories</t>
  </si>
  <si>
    <t>Pcs</t>
  </si>
  <si>
    <t>/Ft</t>
  </si>
  <si>
    <t>Soffits Panels (12' long x 16")</t>
  </si>
  <si>
    <t>J trim (12' long)</t>
  </si>
  <si>
    <t>Bags</t>
  </si>
  <si>
    <t>End Caps / Miters / Elbows</t>
  </si>
  <si>
    <t>Total billable footage</t>
  </si>
  <si>
    <t>SQ</t>
  </si>
  <si>
    <t>IKO Cambridge</t>
  </si>
  <si>
    <t>IKO Nordic</t>
  </si>
  <si>
    <t>IKO Dynasty</t>
  </si>
  <si>
    <t>IKO Marathon</t>
  </si>
  <si>
    <t>IKO Armorshake</t>
  </si>
  <si>
    <t>IKO Crown Slate</t>
  </si>
  <si>
    <t>Malarkey Highlander</t>
  </si>
  <si>
    <t>Malarkey Vista</t>
  </si>
  <si>
    <t>Malarkey Legacy</t>
  </si>
  <si>
    <t>Malarkey Windsor</t>
  </si>
  <si>
    <t>Standing Metal Seam</t>
  </si>
  <si>
    <t>SQ/Bun</t>
  </si>
  <si>
    <t>Select Material (Roofing)</t>
  </si>
  <si>
    <t>Site Control (Man on the ground)</t>
  </si>
  <si>
    <t>Rate</t>
  </si>
  <si>
    <t>Units</t>
  </si>
  <si>
    <t>Fence delivery / panel</t>
  </si>
  <si>
    <t>Totals</t>
  </si>
  <si>
    <t>Total</t>
  </si>
  <si>
    <t>45' Art w/ jib</t>
  </si>
  <si>
    <t>60' Art w/ jib</t>
  </si>
  <si>
    <t>Trips</t>
  </si>
  <si>
    <t>Mo</t>
  </si>
  <si>
    <t>Day</t>
  </si>
  <si>
    <t>Pre-Coloured Transition Flashing</t>
  </si>
  <si>
    <t>Euroshield Ranchlands</t>
  </si>
  <si>
    <t>Euroshield Rundle</t>
  </si>
  <si>
    <t>Euroshield Beaumont</t>
  </si>
  <si>
    <t>Euroshield Vermont</t>
  </si>
  <si>
    <t>Euroshield Vermont HP</t>
  </si>
  <si>
    <t>Project Duration:</t>
  </si>
  <si>
    <t>Days</t>
  </si>
  <si>
    <t>SQ / day</t>
  </si>
  <si>
    <t>Company Name</t>
  </si>
  <si>
    <t>Complex Roof System</t>
  </si>
  <si>
    <t>Rates are populated based on the adjustments to the table to the left.</t>
  </si>
  <si>
    <t>36"</t>
  </si>
  <si>
    <t>72"</t>
  </si>
  <si>
    <t>Scissor w/o.r. 35'</t>
  </si>
  <si>
    <t>Scissor w/o.r. 40'</t>
  </si>
  <si>
    <t>120' Art w/ jib</t>
  </si>
  <si>
    <t>80' Art w/ jib</t>
  </si>
  <si>
    <t>Do not fill in this column the data is loaded from Input Page</t>
  </si>
  <si>
    <t>Consultant NAME</t>
  </si>
  <si>
    <t>Select Colour</t>
  </si>
  <si>
    <t>Select Gauge</t>
  </si>
  <si>
    <t>Select</t>
  </si>
  <si>
    <t>403-826-9646</t>
  </si>
  <si>
    <t>EAVESTROUGH WORK ORDER</t>
  </si>
  <si>
    <t>DATE:</t>
  </si>
  <si>
    <t>Dustin Strangward</t>
  </si>
  <si>
    <t>DESCRIPTION OF WORK</t>
  </si>
  <si>
    <t>INSTALL</t>
  </si>
  <si>
    <t>Colour</t>
  </si>
  <si>
    <t>MAINTAIN SAFETY FENCE LINE / WORK SAFE ZONE</t>
  </si>
  <si>
    <t>Product - Size</t>
  </si>
  <si>
    <t>SUPPLY</t>
  </si>
  <si>
    <t>X</t>
  </si>
  <si>
    <t>ALUMINUM FASCIA</t>
  </si>
  <si>
    <t>ALUMINUM GABLE TRIM</t>
  </si>
  <si>
    <t>ALUMINUM EAVESTROUGH</t>
  </si>
  <si>
    <t>STEEL HANGERS FOR THE EAVESTROUGH</t>
  </si>
  <si>
    <t>ALUMINUM MITERS FOR THE EAVESTROUGH</t>
  </si>
  <si>
    <t>PAINT ALL SCUFF MARKS ON THE INSTALLED PRODUCTS</t>
  </si>
  <si>
    <t>ALUMINUM END CAPS FOR THE EAVESTROUGH</t>
  </si>
  <si>
    <t>ALUMINUM DOWNSPOUTS</t>
  </si>
  <si>
    <t>ALUMINUM SOFFIT PANNELS</t>
  </si>
  <si>
    <t>ALUMINUM 'J' TRIM FOR THE SOFFIT PANNELS</t>
  </si>
  <si>
    <t>JOB SITE WILL BE KEPT CLEAN WITHIN REASON DURING WORKING HRS, AND THOROUGHLY CLEANED AT END OF THE DAY and AFTER COMPLETION OF THE PROJECT.</t>
  </si>
  <si>
    <t xml:space="preserve">INSTALL PRODUCTS AS PER EXISTING CONDITIONS ON THE BUILDING </t>
  </si>
  <si>
    <t>SEAL ALL JOINTS IN THE WORK</t>
  </si>
  <si>
    <t xml:space="preserve"> START DATE:</t>
  </si>
  <si>
    <t>Vinyl Siding</t>
  </si>
  <si>
    <t>Royal Vinyl Matte Finish Trim</t>
  </si>
  <si>
    <t>Royal Vinyl Starter Strip</t>
  </si>
  <si>
    <t>Royal Vinyl J-Channel</t>
  </si>
  <si>
    <t>Royal Residential Universal Corner Post</t>
  </si>
  <si>
    <t>LP 540 Smart Trim 6" - 16 LF/PC</t>
  </si>
  <si>
    <t>LP 540 Smart Trim - Out Corner - 6" - 16 LF/PC</t>
  </si>
  <si>
    <t>Miscellaneous Flashings</t>
  </si>
  <si>
    <t>Z Window Trim Flashing - 10 LF/PC</t>
  </si>
  <si>
    <t>Starter Base Flashing - 10 LF/PC</t>
  </si>
  <si>
    <t>Nova Flash/Blueskin Peel &amp; Stick - 6"x75LF</t>
  </si>
  <si>
    <t>Tyvek Building Paper - 9LF x 100 LF - 900 SF/Roll</t>
  </si>
  <si>
    <t>Tuck Tape</t>
  </si>
  <si>
    <t>Plug Mount</t>
  </si>
  <si>
    <t>Hose Bib Mount</t>
  </si>
  <si>
    <t>Light Mount</t>
  </si>
  <si>
    <t>Fasteners - 2 1/4" Coil Nails - 4.5M/Box</t>
  </si>
  <si>
    <t>Caulking - Quad Max (Coloured)</t>
  </si>
  <si>
    <t>Vinyl Trim</t>
  </si>
  <si>
    <t>Vinyl Starter Strip</t>
  </si>
  <si>
    <t>Vinyl J-Channel</t>
  </si>
  <si>
    <t>Residential Universal Corner Post</t>
  </si>
  <si>
    <t>LP 540 Smart Trim 6"</t>
  </si>
  <si>
    <t>LP 540 Smart Trim - Out Corner</t>
  </si>
  <si>
    <t>Starter Base Flashing</t>
  </si>
  <si>
    <t>Window Sill Trim Flashing</t>
  </si>
  <si>
    <t>GR</t>
  </si>
  <si>
    <t>WORK ORDER No.:</t>
  </si>
  <si>
    <t>General Requierments should be minimum 25% for comercial or multi family projects and 10% for single family homes.</t>
  </si>
  <si>
    <t>Alu-Rex M-5200</t>
  </si>
  <si>
    <t>Rake</t>
  </si>
  <si>
    <t>Eave</t>
  </si>
  <si>
    <t>Contractor</t>
  </si>
  <si>
    <t xml:space="preserve">Zervo Construction </t>
  </si>
  <si>
    <t>NGO Home Renovation</t>
  </si>
  <si>
    <t>VA</t>
  </si>
  <si>
    <t>Kings</t>
  </si>
  <si>
    <t>VINYL SIDING SCOPE</t>
  </si>
  <si>
    <t>Box</t>
  </si>
  <si>
    <t>4L Colour Match Paint</t>
  </si>
  <si>
    <t>Vinyl Siding Installation</t>
  </si>
  <si>
    <t>Additional Wood Furring Install</t>
  </si>
  <si>
    <t>Trims - Corners, Windows &amp; Doors</t>
  </si>
  <si>
    <t>SF / day</t>
  </si>
  <si>
    <t>HARDIE SIDING SCOPE</t>
  </si>
  <si>
    <t>Starter Strip</t>
  </si>
  <si>
    <t>Hardie Sturdi - Plug Mount</t>
  </si>
  <si>
    <t>Hardie Sturdi - Light Mount</t>
  </si>
  <si>
    <t>Hardie Lap Siding</t>
  </si>
  <si>
    <t>Shakes Install</t>
  </si>
  <si>
    <t>Demolition</t>
  </si>
  <si>
    <t>Window Head Flashing</t>
  </si>
  <si>
    <t>PROJECT MANAGER:</t>
  </si>
  <si>
    <t>Calgary, Alberta</t>
  </si>
  <si>
    <t>MATERIALS REQUIRED</t>
  </si>
  <si>
    <t>• TARP GROUND AND REMOVE BREAKABLE ITEMS AROUND THE BUILDING.</t>
  </si>
  <si>
    <t>ROOFING</t>
  </si>
  <si>
    <t>Midnight Black</t>
  </si>
  <si>
    <r>
      <t>• INSTALL PROVIDED UNDERLAYMENT ON</t>
    </r>
    <r>
      <rPr>
        <b/>
        <sz val="9"/>
        <color theme="1"/>
        <rFont val="Calibri"/>
        <family val="2"/>
        <scheme val="minor"/>
      </rPr>
      <t xml:space="preserve"> ENTIRE </t>
    </r>
    <r>
      <rPr>
        <sz val="9"/>
        <color theme="1"/>
        <rFont val="Calibri"/>
        <family val="2"/>
        <scheme val="minor"/>
      </rPr>
      <t>ROOF SURFACE.</t>
    </r>
  </si>
  <si>
    <t>Primex Gooseneck</t>
  </si>
  <si>
    <t>• INSTALL VALLEY, DRIP AND RAKE METAL, APPLYING ROOFING CEMENT UP EACH SIDE OF VALLEY</t>
  </si>
  <si>
    <t>• INSTALL HIGH PROFILE CAPPING WITH 4 NAILS (2 PER SIDE)</t>
  </si>
  <si>
    <t>• INSTALL 8" ICE AND WATER AND ROOFING CEMENT AROUND ALL PROTRUSIONS.</t>
  </si>
  <si>
    <t xml:space="preserve">FLASHINGS </t>
  </si>
  <si>
    <t xml:space="preserve">Drip Edge -30ga - 1.5" </t>
  </si>
  <si>
    <t>• CLEAN ROOF, EAVES, GROUND/MAGNET AND TARP BIN AT EACH DAYS END.  ALL TOOLS, LADDERS OR MATERIALS BEING LEFT OVERNIGHT ARE TO BE EXTREMELY NEAT AND OFF TO THE SIDE.</t>
  </si>
  <si>
    <t>Drip Rake -30ga - 1"</t>
  </si>
  <si>
    <t xml:space="preserve">W Valley Flashing 26ga </t>
  </si>
  <si>
    <t>• COUNT MATERIALS UPON ARRIVAL AND NOTIFY THE OFFICE IF ANY DISCREPANCIES, NOTIFY OF ANY SHORT MATERIALS AHEAD OF TIME.</t>
  </si>
  <si>
    <t>PROJECT SPECIFIC NOTES:</t>
  </si>
  <si>
    <t>• TAKE EXTRA PRECAUTION WITH GARDENS/FLOWERS AROUND THE BUILDING.</t>
  </si>
  <si>
    <t>**Bill for:</t>
  </si>
  <si>
    <t>Square</t>
  </si>
  <si>
    <t>WeatherPRO50</t>
  </si>
  <si>
    <t>WeatherPRO75</t>
  </si>
  <si>
    <t>Transition Flashing</t>
  </si>
  <si>
    <t>Valley Flashing</t>
  </si>
  <si>
    <t>LF / day</t>
  </si>
  <si>
    <t>3716 64 Ave SE</t>
  </si>
  <si>
    <t>calgary@convoy-supply.com</t>
  </si>
  <si>
    <t xml:space="preserve">Beacon / Enercon </t>
  </si>
  <si>
    <t>403-263-0608</t>
  </si>
  <si>
    <t>403-444-3000</t>
  </si>
  <si>
    <t xml:space="preserve">10340-50 St. SE </t>
  </si>
  <si>
    <t>T2C 2B4</t>
  </si>
  <si>
    <t>T2C-3E4</t>
  </si>
  <si>
    <t>ROOFMART (South)</t>
  </si>
  <si>
    <t>orders.calgarynorth@roofmart.ca</t>
  </si>
  <si>
    <t>7127 Fairmount Drive SE</t>
  </si>
  <si>
    <t>403-253-7553</t>
  </si>
  <si>
    <t>T2H 0X6</t>
  </si>
  <si>
    <t>NOTES:</t>
  </si>
  <si>
    <t xml:space="preserve">Convoy Building Supply </t>
  </si>
  <si>
    <t>orders.calgarysouth@roofmart.ca</t>
  </si>
  <si>
    <t>ROOFMART (North)</t>
  </si>
  <si>
    <t>4080 6a St NE</t>
  </si>
  <si>
    <t>T2E 4B1</t>
  </si>
  <si>
    <t>403-277-9641</t>
  </si>
  <si>
    <t>Jay's Metal Products Ltd.</t>
  </si>
  <si>
    <t>Unit 160 - 1324 36 Ave NE</t>
  </si>
  <si>
    <t>T2E 8S1</t>
  </si>
  <si>
    <t>403-276-6062</t>
  </si>
  <si>
    <t>GEM Inc (Euroshield Roofing)</t>
  </si>
  <si>
    <t>info@euroshieldroofing.com</t>
  </si>
  <si>
    <t xml:space="preserve"> 9330 48 St SE</t>
  </si>
  <si>
    <t>403-215-3333</t>
  </si>
  <si>
    <t>T2C 2R2</t>
  </si>
  <si>
    <t>403-207-3400</t>
  </si>
  <si>
    <t>Brown</t>
  </si>
  <si>
    <t>Weatherwood</t>
  </si>
  <si>
    <t>Grey</t>
  </si>
  <si>
    <t>Vent Colours</t>
  </si>
  <si>
    <t>Supplier Data</t>
  </si>
  <si>
    <t>IKO Royal Estate</t>
  </si>
  <si>
    <t>BP Manoir</t>
  </si>
  <si>
    <t>BP Vanguard</t>
  </si>
  <si>
    <t>BP Mystique</t>
  </si>
  <si>
    <t>BP Yukon</t>
  </si>
  <si>
    <t>Select Material (Starter)</t>
  </si>
  <si>
    <t>Price</t>
  </si>
  <si>
    <t>BP Starter Strip</t>
  </si>
  <si>
    <t>OC Oakridge AR</t>
  </si>
  <si>
    <t>OC True Definition</t>
  </si>
  <si>
    <t>Euroshield Starter</t>
  </si>
  <si>
    <t>Malarkey Smart Start</t>
  </si>
  <si>
    <t>OC Starter Strip</t>
  </si>
  <si>
    <t>Specialty Starter Eave</t>
  </si>
  <si>
    <t>Specialty Starter Rake</t>
  </si>
  <si>
    <t>Specialty Starter Valley</t>
  </si>
  <si>
    <t>Select Material (Hip and Ridge)</t>
  </si>
  <si>
    <t>BP White Cap</t>
  </si>
  <si>
    <t>OC Deco-Ridge 10"</t>
  </si>
  <si>
    <t>IKO Hip and Ridge Plus</t>
  </si>
  <si>
    <t>Malarkey EZ Ridge XT 10"</t>
  </si>
  <si>
    <t>Malarkey RidgeFlex H&amp;R 12"</t>
  </si>
  <si>
    <t>Select Material (Drip Edge)</t>
  </si>
  <si>
    <t>Select Material (Valley)</t>
  </si>
  <si>
    <t>New Construction - Roof Installation</t>
  </si>
  <si>
    <t>Re - Roof Installation</t>
  </si>
  <si>
    <t>Prestige Beige</t>
  </si>
  <si>
    <t>Select Material (Ice &amp; Water)</t>
  </si>
  <si>
    <t>BP Weathertex 36"</t>
  </si>
  <si>
    <t>Roll</t>
  </si>
  <si>
    <t>IKO Stormsheild 36"</t>
  </si>
  <si>
    <t>IKO Armourgard 36"</t>
  </si>
  <si>
    <t>IKO Stormsheild 44"</t>
  </si>
  <si>
    <t>Malarkey 401 Arctic Seal 36"</t>
  </si>
  <si>
    <t xml:space="preserve">Resisto LB1236 36" </t>
  </si>
  <si>
    <t>TriBuilt I &amp; W 36"</t>
  </si>
  <si>
    <t>TriBuilt I &amp; W 44"</t>
  </si>
  <si>
    <t>Titanium PSU 30 36"</t>
  </si>
  <si>
    <t xml:space="preserve">Resisto LB1244 44" </t>
  </si>
  <si>
    <t>CERTAINTEED Roof Runner</t>
  </si>
  <si>
    <t>TriBuilt Synthetic</t>
  </si>
  <si>
    <t>Select Material (Underlayment)</t>
  </si>
  <si>
    <t>Titanium UDL 25</t>
  </si>
  <si>
    <t>Titanium UDL 30</t>
  </si>
  <si>
    <t>Titanium UDL 50</t>
  </si>
  <si>
    <t>Malarkey 1035 SecureStart</t>
  </si>
  <si>
    <t>Anchordeck Synthetic</t>
  </si>
  <si>
    <t>Select Material (Venting)</t>
  </si>
  <si>
    <t>Sentry D4.5DL  - Standard</t>
  </si>
  <si>
    <t>Sentry D4.5DL  - Premium</t>
  </si>
  <si>
    <t>Sentry D4H  - Standard</t>
  </si>
  <si>
    <t>Sentry D4H  - Premium</t>
  </si>
  <si>
    <t>Sentry Board and Batten  - Standard</t>
  </si>
  <si>
    <t>Sentry Board and Batten - Premium</t>
  </si>
  <si>
    <t>Sentry Variegated D4.5DL  - Rustic</t>
  </si>
  <si>
    <t>Sentry Variegated D4H  - Rustic</t>
  </si>
  <si>
    <t>Select Material (Siding)</t>
  </si>
  <si>
    <t>Highland D4.5DL - Standard</t>
  </si>
  <si>
    <t>Highland D4.5DL - Premium</t>
  </si>
  <si>
    <t>Highland D4.5H - Standard</t>
  </si>
  <si>
    <t>Highland D4H - Standard</t>
  </si>
  <si>
    <t>Highland D4H - Premium</t>
  </si>
  <si>
    <t>Highland D5DL - Standard</t>
  </si>
  <si>
    <t>Highland D5DL - Premium</t>
  </si>
  <si>
    <t>Highland D5H - Standard</t>
  </si>
  <si>
    <t>Highland T3H - Premium</t>
  </si>
  <si>
    <t>Highland T3H - Standard</t>
  </si>
  <si>
    <t>Oregon Pride D4.5DL - Standard</t>
  </si>
  <si>
    <t>Oregon Pride D4H - Standard</t>
  </si>
  <si>
    <t>Oregon Pride D4DL - Standard</t>
  </si>
  <si>
    <t>Sentry (MITTEN)</t>
  </si>
  <si>
    <t>Sentry Variegated (MITTEN)</t>
  </si>
  <si>
    <t>Highland (MITTEN)</t>
  </si>
  <si>
    <t>Oregon Pride (MITTEN)</t>
  </si>
  <si>
    <t>RESIDENTIAL SIDING (Monarch)</t>
  </si>
  <si>
    <t>ROYAL WOODLAND SIDING (Monarch)</t>
  </si>
  <si>
    <t>ROYAL ESTATE SIDING (Monarch)</t>
  </si>
  <si>
    <t>Sentry Variegated Board &amp; Batten  - Rustic</t>
  </si>
  <si>
    <t>Residential D4.5 Designer - Standard</t>
  </si>
  <si>
    <t>Residential D4.5 Traditional - Standard</t>
  </si>
  <si>
    <t>Residential T3 Traditional - Standard</t>
  </si>
  <si>
    <t>Royal Woodland D4.5 Traditional - Standard</t>
  </si>
  <si>
    <t>Royal Woodlands Board &amp; Batte - Standard</t>
  </si>
  <si>
    <t>Royal Estate D4.5 Designer - Standard</t>
  </si>
  <si>
    <t>Royal Estate D4 Traditional - Standard</t>
  </si>
  <si>
    <t>Royal Vertical D5 Solid - Standard</t>
  </si>
  <si>
    <t>Royal Woodland D4.5 Designer - Premium</t>
  </si>
  <si>
    <t>Royal Woodland D4.5 Designer - Standard</t>
  </si>
  <si>
    <t>Royal Woodland D4.5 Traditional - Premium</t>
  </si>
  <si>
    <t>Royal Woodlands Board &amp; Batte - Premium</t>
  </si>
  <si>
    <t>Royal Estate D4.5 Designer - Premium</t>
  </si>
  <si>
    <t>Royal Estate D4 Traditional - Premium</t>
  </si>
  <si>
    <t>Royal Vertical D5 Solid - Premium</t>
  </si>
  <si>
    <t>Royal Woodland D4.5 Designer - Dark</t>
  </si>
  <si>
    <t>Royal Woodland D4.5 Traditional - Dark</t>
  </si>
  <si>
    <t>Royal Woodlands Board &amp; Batte - Dark</t>
  </si>
  <si>
    <t>Royal Estate D4.5 Designer - Dark</t>
  </si>
  <si>
    <t>Royal Estate D4 Traditional - Dark</t>
  </si>
  <si>
    <t>Royal Vertical D5 Solid - Dark</t>
  </si>
  <si>
    <t>Residential D4.5 Designer - Premium</t>
  </si>
  <si>
    <t>Residential D4.5 Traditional - Premium</t>
  </si>
  <si>
    <t>Residential T3 Traditional - Premium</t>
  </si>
  <si>
    <t>Estate Premium Colors:</t>
  </si>
  <si>
    <t>Estate Dark Colors:</t>
  </si>
  <si>
    <t>Frost</t>
  </si>
  <si>
    <t>Bone</t>
  </si>
  <si>
    <t>Cypress</t>
  </si>
  <si>
    <t>Stratus</t>
  </si>
  <si>
    <t>Flagstone</t>
  </si>
  <si>
    <t>Brownstone</t>
  </si>
  <si>
    <t>Stain Grey</t>
  </si>
  <si>
    <t>Clay</t>
  </si>
  <si>
    <t>Hearthstone</t>
  </si>
  <si>
    <t>Sandelwood</t>
  </si>
  <si>
    <t>Ash</t>
  </si>
  <si>
    <t>Sandcastle</t>
  </si>
  <si>
    <t>Lite Maple</t>
  </si>
  <si>
    <t>Saffron</t>
  </si>
  <si>
    <t>Sage</t>
  </si>
  <si>
    <t>Nickel</t>
  </si>
  <si>
    <t>Indigo</t>
  </si>
  <si>
    <t>Bold Premium Colours:</t>
  </si>
  <si>
    <t>Yukon Grey</t>
  </si>
  <si>
    <t>Huron Blue</t>
  </si>
  <si>
    <t>Lighthouse Red</t>
  </si>
  <si>
    <t>Saphire Blue</t>
  </si>
  <si>
    <t>Gunmetal Grey</t>
  </si>
  <si>
    <t>Regatta Blue</t>
  </si>
  <si>
    <t>Burnt Orange</t>
  </si>
  <si>
    <t>Eggplant</t>
  </si>
  <si>
    <t>Annapolis Blue</t>
  </si>
  <si>
    <t>Aviator Green</t>
  </si>
  <si>
    <t>Richmond Red</t>
  </si>
  <si>
    <t>Coffee Bean</t>
  </si>
  <si>
    <t>Kaki Brown</t>
  </si>
  <si>
    <t>Grenadier Green</t>
  </si>
  <si>
    <t>Muskola Green</t>
  </si>
  <si>
    <t>Timber Bark</t>
  </si>
  <si>
    <t>Caribou Brown</t>
  </si>
  <si>
    <t>Chestnut Brown</t>
  </si>
  <si>
    <t>Rockaway Grey</t>
  </si>
  <si>
    <t>Natural Standard Colours:</t>
  </si>
  <si>
    <t>Residential Standard Colours:</t>
  </si>
  <si>
    <t>Vintage Cream</t>
  </si>
  <si>
    <t>Sand</t>
  </si>
  <si>
    <t>White</t>
  </si>
  <si>
    <t>Estate Grey</t>
  </si>
  <si>
    <t>Blue Grey</t>
  </si>
  <si>
    <t>Heather</t>
  </si>
  <si>
    <t>Harvard Slate</t>
  </si>
  <si>
    <t>Residential Premium Colours:</t>
  </si>
  <si>
    <t>Pebble Clay</t>
  </si>
  <si>
    <t>Tree Moss</t>
  </si>
  <si>
    <t>Storm</t>
  </si>
  <si>
    <t>Rockslide</t>
  </si>
  <si>
    <t>Toasted Almond</t>
  </si>
  <si>
    <t>Walnut</t>
  </si>
  <si>
    <t>Cocoa</t>
  </si>
  <si>
    <t>Granite</t>
  </si>
  <si>
    <t>Heritage Blue</t>
  </si>
  <si>
    <t>Ironstone</t>
  </si>
  <si>
    <t>Marine Blue</t>
  </si>
  <si>
    <t>Midnight Surf</t>
  </si>
  <si>
    <t>Natural Cedar</t>
  </si>
  <si>
    <t>Redwood</t>
  </si>
  <si>
    <t>Shamrock</t>
  </si>
  <si>
    <t>Urban Bronze</t>
  </si>
  <si>
    <t>Weathered Gray</t>
  </si>
  <si>
    <t>Wedgewood</t>
  </si>
  <si>
    <t>GENTECK</t>
  </si>
  <si>
    <t>Snow White</t>
  </si>
  <si>
    <t xml:space="preserve">Rockwell Blue </t>
  </si>
  <si>
    <t xml:space="preserve">Dover Gray </t>
  </si>
  <si>
    <t>Almond</t>
  </si>
  <si>
    <t xml:space="preserve">Midnight Surf </t>
  </si>
  <si>
    <t>Chesapeake Gray</t>
  </si>
  <si>
    <t xml:space="preserve">Marine Dusk </t>
  </si>
  <si>
    <t>Pebble</t>
  </si>
  <si>
    <t xml:space="preserve">Hudson Slate </t>
  </si>
  <si>
    <t>Monterey Sand</t>
  </si>
  <si>
    <t>Meadow Fern</t>
  </si>
  <si>
    <t>Dark Drift</t>
  </si>
  <si>
    <t>Windswept Smoke</t>
  </si>
  <si>
    <t xml:space="preserve">Moonlit Moss </t>
  </si>
  <si>
    <t>Rockport Brown</t>
  </si>
  <si>
    <t>Majestic Brick</t>
  </si>
  <si>
    <t>Iron Ore</t>
  </si>
  <si>
    <t>Smoked Timber</t>
  </si>
  <si>
    <t>Coastal Blue</t>
  </si>
  <si>
    <t>Classic Colours</t>
  </si>
  <si>
    <t>Sandstone</t>
  </si>
  <si>
    <t>Maize</t>
  </si>
  <si>
    <t>Canyon Clay</t>
  </si>
  <si>
    <t>Amber</t>
  </si>
  <si>
    <t>Pearl</t>
  </si>
  <si>
    <t>Juniper Grove</t>
  </si>
  <si>
    <t>Designer Colours</t>
  </si>
  <si>
    <t>Espresso</t>
  </si>
  <si>
    <t>QTY W/
waste</t>
  </si>
  <si>
    <t>Vents Install (Cut in Vent)</t>
  </si>
  <si>
    <t>Ridge Vent (Cut in Vent /LF)</t>
  </si>
  <si>
    <t>Bun</t>
  </si>
  <si>
    <t>GAF Timberline HD</t>
  </si>
  <si>
    <t>GAF Timberline Ultra HD</t>
  </si>
  <si>
    <t>Barkwood</t>
  </si>
  <si>
    <t>Birchwood</t>
  </si>
  <si>
    <t>Canadian Driftwood</t>
  </si>
  <si>
    <t>Hickory</t>
  </si>
  <si>
    <t>Hunter Green</t>
  </si>
  <si>
    <t>Mission Brown</t>
  </si>
  <si>
    <t>Pewter Grey</t>
  </si>
  <si>
    <t>Shakewood</t>
  </si>
  <si>
    <t>Slate</t>
  </si>
  <si>
    <t>Weather Wood</t>
  </si>
  <si>
    <t>Biscayne Blue</t>
  </si>
  <si>
    <t>Copper Canyon</t>
  </si>
  <si>
    <t>Driftwood</t>
  </si>
  <si>
    <t>Golden Amber</t>
  </si>
  <si>
    <t>Fox Hollow Grey</t>
  </si>
  <si>
    <t>Oyster Grey</t>
  </si>
  <si>
    <t>Patriot Red</t>
  </si>
  <si>
    <t>Sunset Brick</t>
  </si>
  <si>
    <t>Williamsburg Slate</t>
  </si>
  <si>
    <t>GAF Armorsheild II</t>
  </si>
  <si>
    <t>Brownwood</t>
  </si>
  <si>
    <t>Desert Tan</t>
  </si>
  <si>
    <t>Sierra Grey</t>
  </si>
  <si>
    <t>Teak</t>
  </si>
  <si>
    <t>Onyx Black</t>
  </si>
  <si>
    <t>Mat.</t>
  </si>
  <si>
    <t>Option B</t>
  </si>
  <si>
    <t>Option C</t>
  </si>
  <si>
    <t>Select Material (Rake Edge)</t>
  </si>
  <si>
    <t>Set-up</t>
  </si>
  <si>
    <t>Rental</t>
  </si>
  <si>
    <t>Freight</t>
  </si>
  <si>
    <t>Relocation</t>
  </si>
  <si>
    <t>SCAFOLDING COMPARISON</t>
  </si>
  <si>
    <t>Safety - Traffic control</t>
  </si>
  <si>
    <t>Dismantle</t>
  </si>
  <si>
    <t>Misc. (Park Access)</t>
  </si>
  <si>
    <t>Misc. (Permits)</t>
  </si>
  <si>
    <t>Misc. Tools &amp; Equipment (XXX)</t>
  </si>
  <si>
    <t>Equipment</t>
  </si>
  <si>
    <t>4 Wks.</t>
  </si>
  <si>
    <t>Baffles</t>
  </si>
  <si>
    <t>ea.</t>
  </si>
  <si>
    <t>4" Oatley</t>
  </si>
  <si>
    <t>Base installation rate</t>
  </si>
  <si>
    <t>Ea.</t>
  </si>
  <si>
    <t>Oatley Reno (Remove lead pipe cover &amp; iron pipe/ install PVC)</t>
  </si>
  <si>
    <t>Weathered Rock</t>
  </si>
  <si>
    <t>Twilight Grey</t>
  </si>
  <si>
    <t>Sunset Cedar</t>
  </si>
  <si>
    <t>Stone Wood</t>
  </si>
  <si>
    <t>Slate Black</t>
  </si>
  <si>
    <t>Silver Grey</t>
  </si>
  <si>
    <t>Shadow Black</t>
  </si>
  <si>
    <t>Seychelles Blue</t>
  </si>
  <si>
    <t>Magenta Red</t>
  </si>
  <si>
    <t>Brown Stone</t>
  </si>
  <si>
    <t>Boreal Green</t>
  </si>
  <si>
    <t>Beachwood</t>
  </si>
  <si>
    <t>Autumn Brown</t>
  </si>
  <si>
    <t>Antique Wood</t>
  </si>
  <si>
    <t>Versailles</t>
  </si>
  <si>
    <t>Balmoral</t>
  </si>
  <si>
    <t>Vienna</t>
  </si>
  <si>
    <t>Bavaria</t>
  </si>
  <si>
    <t>Carcassonne</t>
  </si>
  <si>
    <t>CertainTeed Landmark AR</t>
  </si>
  <si>
    <t>CertainTeed Swiftstarter</t>
  </si>
  <si>
    <t>CertainTeed Northgate AR</t>
  </si>
  <si>
    <t>CertainTeed Shadow Ridge AR</t>
  </si>
  <si>
    <t>CertainTeed Shadow Ridge Climaflex AR</t>
  </si>
  <si>
    <t>CertainTeed WinterGuard 36"</t>
  </si>
  <si>
    <t>CertainTeed Belmont</t>
  </si>
  <si>
    <t>CertainTeed Carriage House</t>
  </si>
  <si>
    <t>CertainTeed Grand Manor</t>
  </si>
  <si>
    <t>CertainTeed Highland Slate</t>
  </si>
  <si>
    <t>CertainTeed Landmark</t>
  </si>
  <si>
    <t>CertainTeed Landmark Pro</t>
  </si>
  <si>
    <t>CertainTeed Landmark Premium</t>
  </si>
  <si>
    <t>CertainTeed Northgate Climateflex</t>
  </si>
  <si>
    <t>CertainTeed Presedential Shake</t>
  </si>
  <si>
    <t>CertainTeed Presedential Shake TL</t>
  </si>
  <si>
    <t>CertainTeed Mountain Ridge</t>
  </si>
  <si>
    <t>CertainTeed Cedarcrest</t>
  </si>
  <si>
    <t>CertainTeed Hight-Performance Starter</t>
  </si>
  <si>
    <t>CertainTeed Presidential Starter</t>
  </si>
  <si>
    <t>Black Granite</t>
  </si>
  <si>
    <t>Colonial Slate</t>
  </si>
  <si>
    <t>Gatehouse Slate</t>
  </si>
  <si>
    <t>Shenandoah</t>
  </si>
  <si>
    <t>Stonegate Grey</t>
  </si>
  <si>
    <t>Weathered Wood</t>
  </si>
  <si>
    <t>Black Perl</t>
  </si>
  <si>
    <t>Georgian Brick</t>
  </si>
  <si>
    <t>Sherwood Forest</t>
  </si>
  <si>
    <t>Victorian Blue</t>
  </si>
  <si>
    <t>Fieldstone</t>
  </si>
  <si>
    <t>Max Def Weathered Wood</t>
  </si>
  <si>
    <t>New England Slate</t>
  </si>
  <si>
    <t>Smoky Quartz</t>
  </si>
  <si>
    <t>Burnt Sienna</t>
  </si>
  <si>
    <t>Cobblestone Grey</t>
  </si>
  <si>
    <t>Georgetown Grey</t>
  </si>
  <si>
    <t>Heather Blend</t>
  </si>
  <si>
    <t>Moire Black</t>
  </si>
  <si>
    <t>Pewter</t>
  </si>
  <si>
    <t>Resawn Shake</t>
  </si>
  <si>
    <t>Silver Birch</t>
  </si>
  <si>
    <t>Max Def Burnt Sienna</t>
  </si>
  <si>
    <t>Max Def Cobblestone Grey</t>
  </si>
  <si>
    <t>Max Def Colonial Slate</t>
  </si>
  <si>
    <t>Max Def Driftwood</t>
  </si>
  <si>
    <t>Max Def Georgetown Grey</t>
  </si>
  <si>
    <t>Max Def Heather Blend</t>
  </si>
  <si>
    <t>Max Def Moire Black</t>
  </si>
  <si>
    <t>Max Def Pewter</t>
  </si>
  <si>
    <t>Max Def Prarie Wood</t>
  </si>
  <si>
    <t>Max Def Red Oak</t>
  </si>
  <si>
    <t>Max Def Resawn Shake</t>
  </si>
  <si>
    <t>Max Def Shenandoah</t>
  </si>
  <si>
    <t>Max Def Granite Grey</t>
  </si>
  <si>
    <t>Max Def Hunter Green</t>
  </si>
  <si>
    <t>Aged Bark</t>
  </si>
  <si>
    <t>Autumn Blend</t>
  </si>
  <si>
    <t>Charcoal Black</t>
  </si>
  <si>
    <t>Classic Weathered Wood</t>
  </si>
  <si>
    <t>Shadow Grey</t>
  </si>
  <si>
    <t>Roofing Products</t>
  </si>
  <si>
    <t>Driftshake</t>
  </si>
  <si>
    <t>Dual Brown</t>
  </si>
  <si>
    <t>Earthtone Cedar</t>
  </si>
  <si>
    <t>Harvest Slate</t>
  </si>
  <si>
    <t>Sedona</t>
  </si>
  <si>
    <t>Shadow Brown</t>
  </si>
  <si>
    <t>Taupe Slate</t>
  </si>
  <si>
    <t>Weathered Stone</t>
  </si>
  <si>
    <t>Castle Grey</t>
  </si>
  <si>
    <t>Charcoal Grey</t>
  </si>
  <si>
    <t>Duel Grey</t>
  </si>
  <si>
    <t>Frostone Grey</t>
  </si>
  <si>
    <t>Greystone</t>
  </si>
  <si>
    <t>Mountain Slate</t>
  </si>
  <si>
    <t>Regal Stone</t>
  </si>
  <si>
    <t>Monaco Red</t>
  </si>
  <si>
    <t>Dual Black</t>
  </si>
  <si>
    <t>Glacier</t>
  </si>
  <si>
    <t>Granite Black</t>
  </si>
  <si>
    <t>Shadow Slate</t>
  </si>
  <si>
    <t>Atlantic Blue</t>
  </si>
  <si>
    <t>Emerald Green</t>
  </si>
  <si>
    <t>Dove White</t>
  </si>
  <si>
    <t>Appalachian</t>
  </si>
  <si>
    <t>Biscayne</t>
  </si>
  <si>
    <t>Chalet Wood</t>
  </si>
  <si>
    <t>Cornerstone WWD</t>
  </si>
  <si>
    <t>Royal Granite</t>
  </si>
  <si>
    <t>Antique Brown</t>
  </si>
  <si>
    <t>Natural Wood</t>
  </si>
  <si>
    <t>Sienna Blend</t>
  </si>
  <si>
    <t>Silverwood</t>
  </si>
  <si>
    <t>Storm Grey</t>
  </si>
  <si>
    <t>Black Oak</t>
  </si>
  <si>
    <t>Chateau Green</t>
  </si>
  <si>
    <t>Harbour Blue</t>
  </si>
  <si>
    <t>Quarry Grey</t>
  </si>
  <si>
    <t>Colour Data</t>
  </si>
  <si>
    <t>Siding Products</t>
  </si>
  <si>
    <t>Soft Metal Products</t>
  </si>
  <si>
    <t>Pulldown menu data
DO NOT TOUCH</t>
  </si>
  <si>
    <t>ASPHALT SHINGLES SCOPE         (Option A)</t>
  </si>
  <si>
    <t>ROOF</t>
  </si>
  <si>
    <t>Hardie Siding</t>
  </si>
  <si>
    <t>Eavestrough 5"</t>
  </si>
  <si>
    <t>Eavestrough 6"</t>
  </si>
  <si>
    <t>Area calculator</t>
  </si>
  <si>
    <t>Soffit Porch</t>
  </si>
  <si>
    <t>Quote Referance Number:</t>
  </si>
  <si>
    <t>Malarkey Windsor Starter Eave</t>
  </si>
  <si>
    <t>Malarkey Windsor Starter Rake</t>
  </si>
  <si>
    <t>Malarkey Windsor Starter Valley</t>
  </si>
  <si>
    <t>Total With Bonding</t>
  </si>
  <si>
    <t>info@e-quipsolutions.ca</t>
  </si>
  <si>
    <t>T2E 6S4</t>
  </si>
  <si>
    <t xml:space="preserve">403-383-4433 </t>
  </si>
  <si>
    <t>C.W. Insulation Inc.</t>
  </si>
  <si>
    <t>Cedar Shake Eave</t>
  </si>
  <si>
    <t>Cedar Shingle Eave</t>
  </si>
  <si>
    <t>Cedar Shake Hip and Ridge</t>
  </si>
  <si>
    <t>Cedar Shingle Hip and Ridge</t>
  </si>
  <si>
    <t>Cedar Shake Field</t>
  </si>
  <si>
    <t>Cedar Shingle Field</t>
  </si>
  <si>
    <t>PAINTING WORK ORDER</t>
  </si>
  <si>
    <t>Ace Painting Calgary Inc.</t>
  </si>
  <si>
    <t>WORK REQUIRED</t>
  </si>
  <si>
    <t>PAINTING</t>
  </si>
  <si>
    <t>Quote Reference Number:</t>
  </si>
  <si>
    <t>sam@acepaintingcalgary.com</t>
  </si>
  <si>
    <t>10512 Waneta Cr SE,</t>
  </si>
  <si>
    <t>T2J 1J6</t>
  </si>
  <si>
    <t>403-992-2237</t>
  </si>
  <si>
    <t>Square Foot</t>
  </si>
  <si>
    <t>Linial Feet</t>
  </si>
  <si>
    <t>Each</t>
  </si>
  <si>
    <t>Accessories: Length / Count</t>
  </si>
  <si>
    <t>Roofing</t>
  </si>
  <si>
    <t>TBD</t>
  </si>
  <si>
    <t>143 Huggard Road SW</t>
  </si>
  <si>
    <t>Calgary, Alberta T3Z 2C2</t>
  </si>
  <si>
    <t>ROOFING PRODUCTS</t>
  </si>
  <si>
    <t>FLASHINGS PRODUCTS</t>
  </si>
  <si>
    <t>Page 1 of 1</t>
  </si>
  <si>
    <t>ROOFING PURCHASE ORDER</t>
  </si>
  <si>
    <t>ROOFING WORK ORDER</t>
  </si>
  <si>
    <t>MATERIALS INSTALATION REQUIRED</t>
  </si>
  <si>
    <t>CONTRACTOR:</t>
  </si>
  <si>
    <t>CLADDING PURCHASE ORDER</t>
  </si>
  <si>
    <t>PICK-UP FOR ALL PRODUCTS</t>
  </si>
  <si>
    <t>CLADDING PRODUCTS</t>
  </si>
  <si>
    <t>Insulation</t>
  </si>
  <si>
    <t>Painting</t>
  </si>
  <si>
    <t>ALUMINUM ELBOWS</t>
  </si>
  <si>
    <t>ALUMINUM STRAPS</t>
  </si>
  <si>
    <t>N/A</t>
  </si>
  <si>
    <t>EAVESTROUGH PURCHASE ORDER</t>
  </si>
  <si>
    <t>PURCHASE ORDER No.:</t>
  </si>
  <si>
    <t>Scafolding</t>
  </si>
  <si>
    <t>Vertical Access Scaffold Ltd.</t>
  </si>
  <si>
    <t>Kings Scafolding Inc.</t>
  </si>
  <si>
    <t>kyle@kingscaffolding.ca</t>
  </si>
  <si>
    <t>403-785-6038</t>
  </si>
  <si>
    <t>3349 Cutler Crescent SW, Edmonton, AB</t>
  </si>
  <si>
    <t>T6W 2N4</t>
  </si>
  <si>
    <t>T2E 6R5</t>
  </si>
  <si>
    <t>Peak Scaffold Ltd.</t>
  </si>
  <si>
    <t>adamm@verticalaccess.ca</t>
  </si>
  <si>
    <t>T3Z 3L8</t>
  </si>
  <si>
    <t>403-242-6776</t>
  </si>
  <si>
    <t>403-203-3422</t>
  </si>
  <si>
    <t>Unique Scaffold Inc.</t>
  </si>
  <si>
    <t>hello@uniquescaffold.com</t>
  </si>
  <si>
    <t>T2C 2H3</t>
  </si>
  <si>
    <t>T2H 1K5</t>
  </si>
  <si>
    <t>403-252-6067</t>
  </si>
  <si>
    <t>Armour Equipment</t>
  </si>
  <si>
    <t>brandonj@armourscaffold.ca</t>
  </si>
  <si>
    <t>5316 4 St SE.,</t>
  </si>
  <si>
    <t>743 41 Ave NE.,</t>
  </si>
  <si>
    <t>4750 104 Ave SE.,</t>
  </si>
  <si>
    <t>244033 Range Road 31</t>
  </si>
  <si>
    <t>INSULATION WORK ORDER</t>
  </si>
  <si>
    <t>Lift</t>
  </si>
  <si>
    <t>Ideal Insulation (1979) ltd.</t>
  </si>
  <si>
    <t>Bay 9, 9151 44th Street SE.</t>
  </si>
  <si>
    <t>T2C 2P7</t>
  </si>
  <si>
    <t>403-236-8080</t>
  </si>
  <si>
    <t>D.T.Q. Construction Ltd</t>
  </si>
  <si>
    <t>235 Silvercreek Way NW.</t>
  </si>
  <si>
    <t>T3B 4H4</t>
  </si>
  <si>
    <t>403-369-1583</t>
  </si>
  <si>
    <t>donquiring@gmail.com</t>
  </si>
  <si>
    <t>Eagles Eye Renovations &amp; Maintenance Services</t>
  </si>
  <si>
    <t>13528 Deer Run Bv. NW.</t>
  </si>
  <si>
    <t>T2J 6S4</t>
  </si>
  <si>
    <t>403-970-1023</t>
  </si>
  <si>
    <t>eagleseyerenovations@gmail.com</t>
  </si>
  <si>
    <t>Gus Painting</t>
  </si>
  <si>
    <t>403-809-2794</t>
  </si>
  <si>
    <t>cbistihas@hotmail.com</t>
  </si>
  <si>
    <t>3328 43 St SW.,</t>
  </si>
  <si>
    <t>T3E 3P2</t>
  </si>
  <si>
    <t>Affordable Home Insulators</t>
  </si>
  <si>
    <t>4320 75 Ave SE.,</t>
  </si>
  <si>
    <t>9-4709 14 Street NE.,</t>
  </si>
  <si>
    <t xml:space="preserve">T2C 2H8 </t>
  </si>
  <si>
    <t>403-668-7159</t>
  </si>
  <si>
    <t>info@homeinsulators.com</t>
  </si>
  <si>
    <t>7003 30 Street SE.,</t>
  </si>
  <si>
    <t>T2C 1N6</t>
  </si>
  <si>
    <t>403-720-8124</t>
  </si>
  <si>
    <t>Team Insulations Inc.</t>
  </si>
  <si>
    <t>postmaster@teaminsulation.com</t>
  </si>
  <si>
    <t>EQUIPTMENT REQUIRED</t>
  </si>
  <si>
    <t>ARIEL EQUIPTMENT PURCHASE ORDER</t>
  </si>
  <si>
    <t>DELIVERY FOR ALL EQUIPTMENT</t>
  </si>
  <si>
    <t>CLADDING WORK ORDER</t>
  </si>
  <si>
    <t>• REMOVE EXISTING SIDING TO WOOD SHEATHING, TAKE PICS OF ROTTEN WOOD IF NECESSARY.</t>
  </si>
  <si>
    <t>• INSTALL BUILDING PAPER AS PER MANUFACTURERS SPEC.</t>
  </si>
  <si>
    <t>• INSTALL FLASHINGS AS REQUIRED.</t>
  </si>
  <si>
    <t>• INSTALL STARTER STRIPS</t>
  </si>
  <si>
    <t>• INSTALL SIDING ACCESSORIES AS REQUIRED</t>
  </si>
  <si>
    <t>Summary sheet</t>
  </si>
  <si>
    <t>Fix B 1 Hardie portion</t>
  </si>
  <si>
    <t>No Rake</t>
  </si>
  <si>
    <t>Entire roof</t>
  </si>
  <si>
    <t>Top Only</t>
  </si>
  <si>
    <t>SQ rider</t>
  </si>
  <si>
    <t>Euroshield Starter (Driftwood)</t>
  </si>
  <si>
    <t>Euroshield Beaumont (Driftwood)</t>
  </si>
  <si>
    <t>Euroshield Ranchlands (Driftwood)</t>
  </si>
  <si>
    <t>Euroshield Vermont (Driftwood)</t>
  </si>
  <si>
    <t>Euroshield Vermont HP (Driftwood)</t>
  </si>
  <si>
    <t>Material Instal Rider</t>
  </si>
  <si>
    <t>Total Square (SF &amp; Cap) - 2:12</t>
  </si>
  <si>
    <t>Total Square (SF &amp; Cap) - 3:12</t>
  </si>
  <si>
    <t>Total Square (SF &amp; Cap) - 4:12</t>
  </si>
  <si>
    <t>Total Square (SF &amp; Cap) - 5:12</t>
  </si>
  <si>
    <t>Total Square (SF &amp; Cap) - 6:12</t>
  </si>
  <si>
    <t>Total Square (SF &amp; Cap) - 7:12</t>
  </si>
  <si>
    <t>Total Square (SF &amp; Cap) - 8:12</t>
  </si>
  <si>
    <t>Total Square (SF &amp; Cap) - 9:12</t>
  </si>
  <si>
    <t>Total Square (SF &amp; Cap) - 10:12</t>
  </si>
  <si>
    <t>Total Square (SF &amp; Cap) - 11:12</t>
  </si>
  <si>
    <t>Total Square (SF &amp; Cap) - 12:12</t>
  </si>
  <si>
    <t>Total Square (SF &amp; Cap) - 13:12</t>
  </si>
  <si>
    <t>Total Square (SF &amp; Cap) - 14:12</t>
  </si>
  <si>
    <t>Total Square (SF &amp; Cap) - 15:12</t>
  </si>
  <si>
    <t>Total Square (SF &amp; Cap) - 16:12</t>
  </si>
  <si>
    <t>Total Square (SF &amp; Cap) - xx:12</t>
  </si>
  <si>
    <t>a</t>
  </si>
  <si>
    <t>S&amp;M Exteriors</t>
  </si>
  <si>
    <t>403-808-2662</t>
  </si>
  <si>
    <t>homerunext@gmail.com</t>
  </si>
  <si>
    <t>stevepasila@gmail.com</t>
  </si>
  <si>
    <t>nikozervo@yahoo.com</t>
  </si>
  <si>
    <t>Dustin_MacPherson@hotmail.com</t>
  </si>
  <si>
    <t>403-481-4998</t>
  </si>
  <si>
    <t>403-919-7217</t>
  </si>
  <si>
    <t>587-889-7051</t>
  </si>
  <si>
    <t>KAYCAN </t>
  </si>
  <si>
    <t>5020 56TH AVENUE S.E.</t>
  </si>
  <si>
    <t>T2C 3S3</t>
  </si>
  <si>
    <t>403-253-5911</t>
  </si>
  <si>
    <t>Waynes Building Products</t>
  </si>
  <si>
    <t>2323 22 Street NE</t>
  </si>
  <si>
    <t>T2E 8K8</t>
  </si>
  <si>
    <t>403-250-5844</t>
  </si>
  <si>
    <t>Call</t>
  </si>
  <si>
    <t>GAF Seal-A-Ridge</t>
  </si>
  <si>
    <t>GAF Timbertex</t>
  </si>
  <si>
    <t>RoofR</t>
  </si>
  <si>
    <t>Change the value to the right from 0 to 1 to add line item work to the project.</t>
  </si>
  <si>
    <t>Spec</t>
  </si>
  <si>
    <t>Demo</t>
  </si>
  <si>
    <t>High</t>
  </si>
  <si>
    <t>GAF Timberline HDZ</t>
  </si>
  <si>
    <t>GAF Weatherblocker Starter Strip</t>
  </si>
  <si>
    <t>Simplex FT Silver</t>
  </si>
  <si>
    <t>BP Weathertex</t>
  </si>
  <si>
    <t>GAF Deck-Armor</t>
  </si>
  <si>
    <t>GAF Tiger Paw RFG</t>
  </si>
  <si>
    <t>GAF Leak Protector 36"</t>
  </si>
  <si>
    <t>GAF Leak Protector 44"</t>
  </si>
  <si>
    <t>Lng</t>
  </si>
  <si>
    <t>IKO Leading Edge Plus</t>
  </si>
  <si>
    <t>Duraflo 6050T</t>
  </si>
  <si>
    <t>Duraflo Weatherpro Slant Back</t>
  </si>
  <si>
    <t>Ecco Monster Vent 144"</t>
  </si>
  <si>
    <t>Duraflo Flex</t>
  </si>
  <si>
    <t>Duraflo "Thermo" Oatey</t>
  </si>
  <si>
    <t>Gooseneck - Primex (Plastic)</t>
  </si>
  <si>
    <t>4"-6" Adapter Primex (Plastic)</t>
  </si>
  <si>
    <t>Gooseneck 6" Damper (Metal)</t>
  </si>
  <si>
    <t>Gooseneck 6" Screen (Metal)</t>
  </si>
  <si>
    <t>Weatherpro ProTurbo 117</t>
  </si>
  <si>
    <t>Turbine - Lomanco BIB 12"</t>
  </si>
  <si>
    <t>Weatherpro Proventilator 150</t>
  </si>
  <si>
    <t>5" B-VENT</t>
  </si>
  <si>
    <t>Gal</t>
  </si>
  <si>
    <t>5" STORM</t>
  </si>
  <si>
    <t>5" RAIN CAP</t>
  </si>
  <si>
    <t>6" B-VENT</t>
  </si>
  <si>
    <t>6" STORM</t>
  </si>
  <si>
    <t>6" RAIN CAP</t>
  </si>
  <si>
    <t>Marathon Starter</t>
  </si>
  <si>
    <t>BP #15 Plain Felt 36"</t>
  </si>
  <si>
    <t>BP #30 Plain Felt 36"</t>
  </si>
  <si>
    <t>Select Material (Attic Venting)</t>
  </si>
  <si>
    <t>VMAX 301 Vent 1200sqft</t>
  </si>
  <si>
    <t>VMAX 303 Vent 800 sqft</t>
  </si>
  <si>
    <t>Select Material (B-Vent)</t>
  </si>
  <si>
    <t>AR 15 Roofing</t>
  </si>
  <si>
    <t>587-228-9660</t>
  </si>
  <si>
    <t>Malarkey-UDL Right Start</t>
  </si>
  <si>
    <t>Omniseal 410 Base (Mechanical)</t>
  </si>
  <si>
    <t>Omniseal 420 Base (Self-adhered)</t>
  </si>
  <si>
    <t>Omniseal 430 Cap Sheet</t>
  </si>
  <si>
    <t>Select Material (Flat Roofing)</t>
  </si>
  <si>
    <t>Spell number</t>
  </si>
  <si>
    <t>Option D</t>
  </si>
  <si>
    <t>Lifts</t>
  </si>
  <si>
    <t>135' Art w/ jib</t>
  </si>
  <si>
    <t>35' Art w/ jib</t>
  </si>
  <si>
    <t>Scissor w/o.r. 50'</t>
  </si>
  <si>
    <t>Scissor w/o.r. 25'</t>
  </si>
  <si>
    <t>40' Straight</t>
  </si>
  <si>
    <t>60' Straight</t>
  </si>
  <si>
    <t>80' Straight</t>
  </si>
  <si>
    <t>120' Straight</t>
  </si>
  <si>
    <t>135' Straight</t>
  </si>
  <si>
    <t>150' Straight</t>
  </si>
  <si>
    <t>Delivery/Pickup</t>
  </si>
  <si>
    <t>Consumables</t>
  </si>
  <si>
    <t>Provider</t>
  </si>
  <si>
    <t>Liftex</t>
  </si>
  <si>
    <t>Cooper</t>
  </si>
  <si>
    <t>Sunbelt</t>
  </si>
  <si>
    <t>Toilet delivery / pickup</t>
  </si>
  <si>
    <t>Toilet</t>
  </si>
  <si>
    <t>Fence</t>
  </si>
  <si>
    <t>Unique</t>
  </si>
  <si>
    <t>Peak</t>
  </si>
  <si>
    <t>Chutes</t>
  </si>
  <si>
    <t>S1</t>
  </si>
  <si>
    <t>S2</t>
  </si>
  <si>
    <t>Both</t>
  </si>
  <si>
    <t>Engineering</t>
  </si>
  <si>
    <t>Mitten Building Products</t>
  </si>
  <si>
    <t>403-477-7936</t>
  </si>
  <si>
    <t>T2B 2E5</t>
  </si>
  <si>
    <t>2008 - 48 Street SE</t>
  </si>
  <si>
    <t>MIT - Calgary &lt;calgary@mittenbp.com&gt;</t>
  </si>
  <si>
    <t>SITE ADDRESS:</t>
  </si>
  <si>
    <t>INSULATION:</t>
  </si>
  <si>
    <t>Calgary, Alberta.</t>
  </si>
  <si>
    <t xml:space="preserve">HOMEOWNER / SITE: </t>
  </si>
  <si>
    <t>• INSTALL STARTER SHINGLES ALONG ALL EAVES, RAKES AND FIELD SHINGLES AS PER MANUFACTURERS SPEC. (Valleys not required.)</t>
  </si>
  <si>
    <t>Do not remove any more material than can be replaced, complete with shingles, the same day to affect a waterproof system at the days’ end.</t>
  </si>
  <si>
    <t>• PAINT ALL FLASHINGS PRIOR TO SHINGLE INSTALATION.</t>
  </si>
  <si>
    <t>07 71 23</t>
  </si>
  <si>
    <t>06 82 00</t>
  </si>
  <si>
    <t>07 01 30</t>
  </si>
  <si>
    <t>Soprema Leak Protector</t>
  </si>
  <si>
    <t>Soprema Leak Protector 44"</t>
  </si>
  <si>
    <t>Joshua Boland</t>
  </si>
  <si>
    <t>joshuadboland@gmail.com</t>
  </si>
  <si>
    <t>647-746-6986</t>
  </si>
  <si>
    <t>Ryandeyle@yahoo.com</t>
  </si>
  <si>
    <t>Trevor Weber 403-829-9646 trevor@megaroofing.ca</t>
  </si>
  <si>
    <t>Dwight Cameron 403-492-9351 dwight@megaroofing.ca</t>
  </si>
  <si>
    <t>Arlie Cunningham 403-816-6365 Arlie@megaroofing.ca</t>
  </si>
  <si>
    <t>Brandon Wilson 403-988-2148 Brandon@megaroofing.ca</t>
  </si>
  <si>
    <t>PM:</t>
  </si>
  <si>
    <t>Al</t>
  </si>
  <si>
    <t>Allen@megaroofing.ca</t>
  </si>
  <si>
    <t>403-463-5949</t>
  </si>
  <si>
    <t>Select Material (Plumbing Vent)</t>
  </si>
  <si>
    <t xml:space="preserve">Liftex Equipment </t>
  </si>
  <si>
    <t>adams@liftex.ca</t>
  </si>
  <si>
    <t>Sunbelt Rentals</t>
  </si>
  <si>
    <t>T1X 0W1</t>
  </si>
  <si>
    <t>Cooper Equipment Rentals Limited</t>
  </si>
  <si>
    <t> 403-333-7033</t>
  </si>
  <si>
    <t>T2C 5S8</t>
  </si>
  <si>
    <t>Simon.Gibson@sunbeltrentals.com</t>
  </si>
  <si>
    <t xml:space="preserve">T2G 4C2  </t>
  </si>
  <si>
    <t xml:space="preserve">403-669-7300 </t>
  </si>
  <si>
    <t>403 252 7538</t>
  </si>
  <si>
    <t>klanglois@cooperequipment.ca</t>
  </si>
  <si>
    <t>301 Manitou Road SE.</t>
  </si>
  <si>
    <t>6321 44 Street SE.</t>
  </si>
  <si>
    <t>285113 Frontier Road SE.</t>
  </si>
  <si>
    <t>ROOFING - Material &amp; Delivery Costs</t>
  </si>
  <si>
    <t>INVOICE Description</t>
  </si>
  <si>
    <t>Misc (Screws/Backpans etc.)</t>
  </si>
  <si>
    <t>• INSTALL</t>
  </si>
  <si>
    <t xml:space="preserve">ROW(S) OF ICE AND WATER ALONG ALL EAVES AND </t>
  </si>
  <si>
    <t>CENTERED UP VALLEY'S AS PER MANUFACTURERS SPEC.</t>
  </si>
  <si>
    <t>• REMOVE EXISTING SHINGLES TO WOOD DECK, TAKE PICS OF ROTTEN WOOD IF NECESSARY AND SWEEP ROOF OF ALL DEBRIS.</t>
  </si>
  <si>
    <t>• ALL PROTRUSIONS AND EXPOSED FLASHINGS TO BE SCREWED DOWN WITH NEOPRENE SCREWS.</t>
  </si>
  <si>
    <t>• INSTALL PROVIDED ROOF VENTS.</t>
  </si>
  <si>
    <r>
      <t xml:space="preserve">ROOF TOP DELIVERY FOR </t>
    </r>
    <r>
      <rPr>
        <b/>
        <u/>
        <sz val="14"/>
        <color rgb="FFFF0000"/>
        <rFont val="Calibri"/>
        <family val="2"/>
        <scheme val="minor"/>
      </rPr>
      <t>ALL</t>
    </r>
    <r>
      <rPr>
        <b/>
        <sz val="14"/>
        <color rgb="FFFF0000"/>
        <rFont val="Calibri"/>
        <family val="2"/>
        <scheme val="minor"/>
      </rPr>
      <t xml:space="preserve"> PRODUCTS</t>
    </r>
  </si>
  <si>
    <t>DRIP</t>
  </si>
  <si>
    <t>VENTS</t>
  </si>
  <si>
    <t>&amp;    RAKE</t>
  </si>
  <si>
    <t>EXCLUDING:</t>
  </si>
  <si>
    <t>Fence rental / Month</t>
  </si>
  <si>
    <t>Fuel Surcharge / Month</t>
  </si>
  <si>
    <t>Toilet enviro fee / Month</t>
  </si>
  <si>
    <t>Select Shakes ColorPlus</t>
  </si>
  <si>
    <t>LIFT</t>
  </si>
  <si>
    <t>NT3 Smooth 2.5" X 4/4" X 12'</t>
  </si>
  <si>
    <t>NT3 Smooth 3.5" X 5/4" X 12'</t>
  </si>
  <si>
    <t>NT3 Smooth 5.5" X 5/4" X 12'</t>
  </si>
  <si>
    <t>NT3 Smooth 7.5" X 5/4" X 12'</t>
  </si>
  <si>
    <t>NT3 Smooth 11.5" X 5/4" X 12'</t>
  </si>
  <si>
    <t>Roughsawn - 5/4" X 3.5" X 12'</t>
  </si>
  <si>
    <t>Roughsawn - 5/4" X 5.5" X 12'</t>
  </si>
  <si>
    <t>Roughsawn - 5/4" X 7.25" X 12'</t>
  </si>
  <si>
    <t>Roughsawn - 5/4" X 9.25" X 12'</t>
  </si>
  <si>
    <t>Roughsawn - 5/4" X 11.25" X 12'</t>
  </si>
  <si>
    <t xml:space="preserve">Hardi Strips - 6" X 10" </t>
  </si>
  <si>
    <t>Hardie Trim Flat Tabs - 3"</t>
  </si>
  <si>
    <t>Hardie Trim Corner Tabs - 5"</t>
  </si>
  <si>
    <t>Select Corner Tabs</t>
  </si>
  <si>
    <t>Hardie Trim Corner Tabs - 8"</t>
  </si>
  <si>
    <t xml:space="preserve">Select Out - Corner Trim </t>
  </si>
  <si>
    <t>IKO EnerAir 3" Insulation X2 Layers</t>
  </si>
  <si>
    <t>Vapor Barrier Polly 10'x100=1000SF</t>
  </si>
  <si>
    <t>PlyWood 1/2"</t>
  </si>
  <si>
    <t>Skylights</t>
  </si>
  <si>
    <t>Acoustic Seal Caulking</t>
  </si>
  <si>
    <t>Gable Fill Calc.</t>
  </si>
  <si>
    <t>L</t>
  </si>
  <si>
    <t>H</t>
  </si>
  <si>
    <t>Elbow count per run</t>
  </si>
  <si>
    <t>James Hardie Product</t>
  </si>
  <si>
    <t>James Hardie Siding</t>
  </si>
  <si>
    <t>&lt;---Use this line for the Belly Band</t>
  </si>
  <si>
    <t>orderdeskcalgary@kaycan.com</t>
  </si>
  <si>
    <t>Additional Elbows</t>
  </si>
  <si>
    <t>S</t>
  </si>
  <si>
    <t>I</t>
  </si>
  <si>
    <t>Safety - Scaffolding OHP</t>
  </si>
  <si>
    <t>Vinyl Siding Product</t>
  </si>
  <si>
    <t>Select Envelope Wrap</t>
  </si>
  <si>
    <t>Typar - 9ft X 100ft</t>
  </si>
  <si>
    <t>Nova Wrap Aspire Housewrap - 9ft X 100ft</t>
  </si>
  <si>
    <t>HomeGuard House Wrap 9ft X 100ft</t>
  </si>
  <si>
    <t>Nova Flash 4" X 75ft Roll</t>
  </si>
  <si>
    <t>Nova Flash 6" X 75ft Roll</t>
  </si>
  <si>
    <t>Nova Flash 9" X 75ft Roll</t>
  </si>
  <si>
    <t>3M 3015 4" X 75ft Vapor Barrier</t>
  </si>
  <si>
    <t>3M 3015 6" X 75ft Vapor Barrier</t>
  </si>
  <si>
    <t>3M 3015 9" X 75ft Vapor Barrier</t>
  </si>
  <si>
    <t>3M 3015 36" X 75ft Vapor Barrier</t>
  </si>
  <si>
    <t>Wood Furring</t>
  </si>
  <si>
    <t>Bonding</t>
  </si>
  <si>
    <t>Panels Install</t>
  </si>
  <si>
    <t>Vent</t>
  </si>
  <si>
    <t>Bonding Totals</t>
  </si>
  <si>
    <t>Windows and Doors</t>
  </si>
  <si>
    <t>Window 1</t>
  </si>
  <si>
    <t>Window 2</t>
  </si>
  <si>
    <t>Window 3</t>
  </si>
  <si>
    <t>Window 4</t>
  </si>
  <si>
    <t>Window 5</t>
  </si>
  <si>
    <t>Window 6</t>
  </si>
  <si>
    <t>Window 7</t>
  </si>
  <si>
    <t>Window 8</t>
  </si>
  <si>
    <t>Window 9</t>
  </si>
  <si>
    <t>Window 10</t>
  </si>
  <si>
    <t>Window 11</t>
  </si>
  <si>
    <t>Window 12</t>
  </si>
  <si>
    <t>Door 1</t>
  </si>
  <si>
    <t>Door 2</t>
  </si>
  <si>
    <t>Door 3</t>
  </si>
  <si>
    <t>Door 4</t>
  </si>
  <si>
    <t>Door 5</t>
  </si>
  <si>
    <t>Door 6</t>
  </si>
  <si>
    <t>Door 7</t>
  </si>
  <si>
    <t>Overhead Door 8</t>
  </si>
  <si>
    <t>Building</t>
  </si>
  <si>
    <t>Windows</t>
  </si>
  <si>
    <t>Doors</t>
  </si>
  <si>
    <t>Total
Perimiter</t>
  </si>
  <si>
    <t>Product Count</t>
  </si>
  <si>
    <t>Prominent Pitch</t>
  </si>
  <si>
    <t>Select Fascia</t>
  </si>
  <si>
    <t>Soft Metal Product</t>
  </si>
  <si>
    <t>Mitten</t>
  </si>
  <si>
    <t>Select Eavestrough</t>
  </si>
  <si>
    <t>12" Standard Fascia</t>
  </si>
  <si>
    <t>Eavestrough CUSTOM</t>
  </si>
  <si>
    <t>Select Downspout</t>
  </si>
  <si>
    <t>PM number</t>
  </si>
  <si>
    <t>"B" Vent - Coller Flange</t>
  </si>
  <si>
    <t>Supplier</t>
  </si>
  <si>
    <t>2-5/8" x 2-5/8" Downpipe</t>
  </si>
  <si>
    <t>2-5/8" Elbow</t>
  </si>
  <si>
    <t>End Cap</t>
  </si>
  <si>
    <t>5" End Cap</t>
  </si>
  <si>
    <t>5" Hanger</t>
  </si>
  <si>
    <t xml:space="preserve">Outlet </t>
  </si>
  <si>
    <t>Aul-Rex</t>
  </si>
  <si>
    <t>Waynes</t>
  </si>
  <si>
    <t>6" End Cap</t>
  </si>
  <si>
    <t>6" Hanger</t>
  </si>
  <si>
    <t>3" Elbow</t>
  </si>
  <si>
    <t>3" x 3" Downpipe</t>
  </si>
  <si>
    <t>3" x 4" Downpipe</t>
  </si>
  <si>
    <t>3x4 Elbow</t>
  </si>
  <si>
    <t>Downpipe CUSTOM</t>
  </si>
  <si>
    <t>Elbow</t>
  </si>
  <si>
    <t xml:space="preserve">3" x 4" Downpipe (Custom Colour) </t>
  </si>
  <si>
    <t>Escon</t>
  </si>
  <si>
    <t>ft</t>
  </si>
  <si>
    <t>4" x 4" Downpipe</t>
  </si>
  <si>
    <t>4x4 Elbow</t>
  </si>
  <si>
    <t>Elbow CUSTOM</t>
  </si>
  <si>
    <t>Pipe Strap CUSTOM</t>
  </si>
  <si>
    <t>Outlet CUSTOM</t>
  </si>
  <si>
    <t xml:space="preserve">Pipe Strap </t>
  </si>
  <si>
    <t>End Cap CUSTOM</t>
  </si>
  <si>
    <t>Hanger CUSTOM</t>
  </si>
  <si>
    <t>Aul-Rex M5200</t>
  </si>
  <si>
    <t>Aul-Rex M6200</t>
  </si>
  <si>
    <t>Eaves trough / Downspout</t>
  </si>
  <si>
    <t>Outlet 2-5/8</t>
  </si>
  <si>
    <t>Outlet 3"x3"</t>
  </si>
  <si>
    <t>Outlet 3"x4"</t>
  </si>
  <si>
    <t>Outlet 4"x4"</t>
  </si>
  <si>
    <t>Pipe Strap 4"x4"</t>
  </si>
  <si>
    <t>Pipe Strap 3"x3"</t>
  </si>
  <si>
    <t>Pipe Strap 3"x4"</t>
  </si>
  <si>
    <t>Pipe Strap 2-5/8"</t>
  </si>
  <si>
    <t>WINDOW and DOOR SCOPE R &amp; R ### WINDOWS</t>
  </si>
  <si>
    <t>WINDOWS and DOORS SCOPE</t>
  </si>
  <si>
    <t>Windows
&amp; Doors</t>
  </si>
  <si>
    <t>RL</t>
  </si>
  <si>
    <t>Units / day</t>
  </si>
  <si>
    <t>Total billable Units</t>
  </si>
  <si>
    <t>45' Art Manlift W/ Jib</t>
  </si>
  <si>
    <t>Per Diem</t>
  </si>
  <si>
    <t>ADDRESS</t>
  </si>
  <si>
    <t>Sheathing / Hot Roof / Skylights</t>
  </si>
  <si>
    <t>SHEATHING / HOT ROOF / SKYLIGHTS MODULE</t>
  </si>
  <si>
    <t>Furring</t>
  </si>
  <si>
    <t>Furring 2"x4"x8'</t>
  </si>
  <si>
    <t>Furring 2"x6"x8'</t>
  </si>
  <si>
    <t>Furring 2"x8"x8'</t>
  </si>
  <si>
    <t>Furring 2"x10"x8'</t>
  </si>
  <si>
    <t>Furring 1"x4"x8'</t>
  </si>
  <si>
    <t>Furring 2"x12"x8'</t>
  </si>
  <si>
    <t>Fascia</t>
  </si>
  <si>
    <t>Fascia 2"x6"x8'</t>
  </si>
  <si>
    <t>Fascia 2"x8"x8'</t>
  </si>
  <si>
    <t>Fascia 2"x10"x8'</t>
  </si>
  <si>
    <t>Fascia 2"x12"x8'</t>
  </si>
  <si>
    <t>Skylight Framing</t>
  </si>
  <si>
    <t>2"x4"x8'</t>
  </si>
  <si>
    <t>2"x6"x8'</t>
  </si>
  <si>
    <t>2"x8"x8'</t>
  </si>
  <si>
    <t>2"x10"x8'</t>
  </si>
  <si>
    <t>2"x12"x8'</t>
  </si>
  <si>
    <t>CT</t>
  </si>
  <si>
    <t>BX</t>
  </si>
  <si>
    <t>BD</t>
  </si>
  <si>
    <t>Use for projects that are out of town</t>
  </si>
  <si>
    <t>Estimate</t>
  </si>
  <si>
    <t>Line Item</t>
  </si>
  <si>
    <t>Quantity</t>
  </si>
  <si>
    <t>Unit Price</t>
  </si>
  <si>
    <t>Inspection</t>
  </si>
  <si>
    <t>Inspection completed on</t>
  </si>
  <si>
    <t>Remediation Work</t>
  </si>
  <si>
    <t>G.S.T.</t>
  </si>
  <si>
    <t>SUBTOTAL</t>
  </si>
  <si>
    <t>test</t>
  </si>
  <si>
    <t>Omniroll "Gunnable" 30lf</t>
  </si>
  <si>
    <t>IKO SBS Base Sheet</t>
  </si>
  <si>
    <t>Check for colour coading here.</t>
  </si>
  <si>
    <t>Window Head Batten</t>
  </si>
  <si>
    <t>Door Head Batten</t>
  </si>
  <si>
    <t>Window Sill Trim Batten</t>
  </si>
  <si>
    <t>OC Durations</t>
  </si>
  <si>
    <t>Ranch Euroshield Starter</t>
  </si>
  <si>
    <t>Ranch Euroshield Starter (Driftwood)</t>
  </si>
  <si>
    <t>Rundle Euroshield Starter</t>
  </si>
  <si>
    <t>Resisto LB1236 36" (Euroshield)</t>
  </si>
  <si>
    <t>FT Synthetics Platinum (Euroshield)</t>
  </si>
  <si>
    <t>Rolled Ridge Vent (Quarrix - Euroshield)</t>
  </si>
  <si>
    <t>Shinglevent II</t>
  </si>
  <si>
    <t>Option E</t>
  </si>
  <si>
    <t>PC</t>
  </si>
  <si>
    <t>P</t>
  </si>
  <si>
    <t>TOT</t>
  </si>
  <si>
    <t>ROOFING REQUEST FOR PRICING</t>
  </si>
  <si>
    <t>Total
Area</t>
  </si>
  <si>
    <t>Window Areas</t>
  </si>
  <si>
    <t>Door Areas</t>
  </si>
  <si>
    <t xml:space="preserve"> 0 or 1:12</t>
  </si>
  <si>
    <t>XX:12</t>
  </si>
  <si>
    <t>mike@peakscaffold.com</t>
  </si>
  <si>
    <t>403-540-1666</t>
  </si>
  <si>
    <t>GST</t>
  </si>
  <si>
    <t xml:space="preserve">Total  </t>
  </si>
  <si>
    <t>With Bonding</t>
  </si>
  <si>
    <t>SQ per ROOF PITCHS:</t>
  </si>
  <si>
    <r>
      <rPr>
        <b/>
        <sz val="11"/>
        <color rgb="FFFF0000"/>
        <rFont val="Handel Gothic"/>
      </rPr>
      <t>MEGA</t>
    </r>
    <r>
      <rPr>
        <b/>
        <sz val="11"/>
        <color rgb="FFFF0000"/>
        <rFont val="Calibri"/>
        <family val="2"/>
        <scheme val="minor"/>
      </rPr>
      <t xml:space="preserve"> </t>
    </r>
    <r>
      <rPr>
        <b/>
        <sz val="12.5"/>
        <color rgb="FFFF0000"/>
        <rFont val="Calibri"/>
        <family val="2"/>
        <scheme val="minor"/>
      </rPr>
      <t>ROOFING &amp; EXTERIORS</t>
    </r>
  </si>
  <si>
    <t>INVOICING:</t>
  </si>
  <si>
    <t>info@megaroofing.ca</t>
  </si>
  <si>
    <t>DELIVERY DATE:</t>
  </si>
  <si>
    <t>INSTALATION DATE:</t>
  </si>
  <si>
    <t>OFFICE: 403-826-9646</t>
  </si>
  <si>
    <t>2750 CENTRE AVE NE</t>
  </si>
  <si>
    <t>T2A 2L3</t>
  </si>
  <si>
    <t>My new email - Darin.Koch@saint-gobain.com</t>
  </si>
  <si>
    <t>Shelby Ensign CSTL - Shelby.Ensign@saint-gobain.com</t>
  </si>
  <si>
    <t>Maria Creencia CSC - Maria.Creencia@saint-gobain.com</t>
  </si>
  <si>
    <t>Tom DePauw BOM/ROM - Thomas.DePauw@saint-gobain.com</t>
  </si>
  <si>
    <t>Calgary Order Desk - orderdeskcalgary@saint-gobain.com</t>
  </si>
  <si>
    <t>marina@waynebp.com</t>
  </si>
  <si>
    <t>desk1@jaysmetal.com</t>
  </si>
  <si>
    <t>Mega Roofing - Live Pricing Effective January 1st 2024</t>
  </si>
  <si>
    <t>Item</t>
  </si>
  <si>
    <t>Description</t>
  </si>
  <si>
    <t>Stocking UOM</t>
  </si>
  <si>
    <t>Price UOM</t>
  </si>
  <si>
    <t>02GASTZ3HI</t>
  </si>
  <si>
    <t>GAF SG TIMB HDZ HICKORY         3/S</t>
  </si>
  <si>
    <t>02GATZ3BI</t>
  </si>
  <si>
    <t>GAF Timb HDZ Birchwood 3/S</t>
  </si>
  <si>
    <t>02GATZ3BW</t>
  </si>
  <si>
    <t>GAF Timb HDZ Barkwood 3/S</t>
  </si>
  <si>
    <t>02GATZ3CD</t>
  </si>
  <si>
    <t>GAF Timb HDZ Canadian Driftwood 3/S</t>
  </si>
  <si>
    <t>02GATZ3CH</t>
  </si>
  <si>
    <t>GAF Timb HDZ Charcoal 3/S</t>
  </si>
  <si>
    <t>02GATZ3MB</t>
  </si>
  <si>
    <t>GAF Timb HDZ Mission Brown 3/S</t>
  </si>
  <si>
    <t>02GATZ3PG</t>
  </si>
  <si>
    <t>GAF Timb HDZ Pewter Gray 3/S</t>
  </si>
  <si>
    <t>02GATZ3SH</t>
  </si>
  <si>
    <t>GAF Timb HDZ Shakewood 3/S</t>
  </si>
  <si>
    <t>02GATZ3WW</t>
  </si>
  <si>
    <t>GAF Timb HDZ Weathered Wood 3/S</t>
  </si>
  <si>
    <t>02IKCA3ACG</t>
  </si>
  <si>
    <t>IKO CAMBRIDGE AR CHARCOAL GREY 3/SQ</t>
  </si>
  <si>
    <t>02IKCA3ADB</t>
  </si>
  <si>
    <t>IKO CAMBRIDGE AR DUAL BROWN    3/SQ</t>
  </si>
  <si>
    <t>02IKCA3ADG</t>
  </si>
  <si>
    <t>IKO CAMBRIDGE AR DUAL GREY     3/SQ</t>
  </si>
  <si>
    <t>02IKCA3ADK</t>
  </si>
  <si>
    <t>IKO CAMBRIDGE AR DUAL BLACK    3/SQ</t>
  </si>
  <si>
    <t>02IKCA3ADW</t>
  </si>
  <si>
    <t>IKO CAMBRIDGE AR DRIFTWOOD     3/SQ</t>
  </si>
  <si>
    <t>02IKCA3AEC</t>
  </si>
  <si>
    <t>IKO CAMBRIDGE AR EARTHTONE     3/SQ</t>
  </si>
  <si>
    <t>02IKCA3AHS</t>
  </si>
  <si>
    <t>IKO CAMBRIDGE AR HARVARD SLATE 3/SQ</t>
  </si>
  <si>
    <t>02IKCA3AWW</t>
  </si>
  <si>
    <t>IKO CAMBRIDGE AR WEATHERWOOD   3/SQ</t>
  </si>
  <si>
    <t>02IKDYARAB</t>
  </si>
  <si>
    <t>IKO DYNASTY AR ATLANTIC BLUE   3/SQ</t>
  </si>
  <si>
    <t>02IKDYARBI</t>
  </si>
  <si>
    <t>IKO DYNASTY AR BISCAYNE        3/SQ</t>
  </si>
  <si>
    <t>02IKDYARBS</t>
  </si>
  <si>
    <t>IKO DYNASTY AR BROWNSTONE      3/SQ</t>
  </si>
  <si>
    <t>02IKDYARCA</t>
  </si>
  <si>
    <t>IKO DYNASTY AR CASTLE GREY     3/SQ</t>
  </si>
  <si>
    <t>02IKDYARCS</t>
  </si>
  <si>
    <t>IKO DYNASTY AR CORNERSTONE     3/SQ</t>
  </si>
  <si>
    <t>02IKDYARDS</t>
  </si>
  <si>
    <t>IKO DYNASTY AR DRIFTSHAKE      3/SQ</t>
  </si>
  <si>
    <t>02IKDYAREG</t>
  </si>
  <si>
    <t>IKO DYNASTY AR EMERALD GREEN   3/SQ</t>
  </si>
  <si>
    <t>02IKDYARFG</t>
  </si>
  <si>
    <t>IKO DYNASTY AR FROSTONE GREY   3/SQ</t>
  </si>
  <si>
    <t>02IKDYARGB</t>
  </si>
  <si>
    <t>IKO DYNASTY AR GRANITE BLACK   3/SQ</t>
  </si>
  <si>
    <t>02IKDYARGL</t>
  </si>
  <si>
    <t>IKO DYNASTY AR GLACIER         3/SQ</t>
  </si>
  <si>
    <t>02IKDYARMR</t>
  </si>
  <si>
    <t>IKO DYNASTY AR MONACO RED      3/SQ</t>
  </si>
  <si>
    <t>02IKDYARPR</t>
  </si>
  <si>
    <t>IKO DYNASTY AR PACIFIC RIM     3/SQ</t>
  </si>
  <si>
    <t>02IKDYARSB</t>
  </si>
  <si>
    <t>IKO DYNASTY AR SHADOW BROWN    3/SQ</t>
  </si>
  <si>
    <t>02IKDYARSE</t>
  </si>
  <si>
    <t>IKO DYNASTY AR SEDONA          3/SQ</t>
  </si>
  <si>
    <t>02IKDYARSG</t>
  </si>
  <si>
    <t>IKO Dynasty AR Summit Grey 3/SQ</t>
  </si>
  <si>
    <t>02IKNDCBS</t>
  </si>
  <si>
    <t>IKO NORDIC BROWNSTONE          3/SQ</t>
  </si>
  <si>
    <t>02IKNDCCA</t>
  </si>
  <si>
    <t>IKO NORDIC CASTLE GREY         3/SQ</t>
  </si>
  <si>
    <t>02IKNDCCS</t>
  </si>
  <si>
    <t>IKO NORDIC CORNERSTONE         3/SQ</t>
  </si>
  <si>
    <t>02IKNDCDS</t>
  </si>
  <si>
    <t>IKO NORDIC DRIFTSHAKE          3/SQ</t>
  </si>
  <si>
    <t>02IKNDCFG</t>
  </si>
  <si>
    <t>IKO NORDIC FROSTONE GREY       3/SQ</t>
  </si>
  <si>
    <t>02IKNDCGB</t>
  </si>
  <si>
    <t>IKO NORDIC GRANITE BLACK       3/SQ</t>
  </si>
  <si>
    <t>02IKNDCGL</t>
  </si>
  <si>
    <t>IKO NORDIC GLACIER             3/SQ</t>
  </si>
  <si>
    <t>02IKNDCSB</t>
  </si>
  <si>
    <t>IKO NORDIC SHADOW BROWN        3/SQ</t>
  </si>
  <si>
    <t>02IKNDCSG</t>
  </si>
  <si>
    <t>IKO Nordic Summit Grey 3/Sq</t>
  </si>
  <si>
    <t>02MLVIA3AB</t>
  </si>
  <si>
    <t>Mal Vista AR 252 Antq Brown 3BDL/SQ</t>
  </si>
  <si>
    <t>02MLVIA3BO</t>
  </si>
  <si>
    <t>Mal Vista AR 252 Black Oak 3BDL/SQ</t>
  </si>
  <si>
    <t>02MLVIA3HE</t>
  </si>
  <si>
    <t>Mal Vista AR 252 Heather 3BDL/SQ</t>
  </si>
  <si>
    <t>02MLVIA3MB</t>
  </si>
  <si>
    <t>Mal Vista AR 252 Midnt Blck 3BDL/SQ</t>
  </si>
  <si>
    <t>02MLVIA3NW</t>
  </si>
  <si>
    <t>Mal Vista AR 252 Natrl Wood 3BDL/SQ</t>
  </si>
  <si>
    <t>02MLVIA3SB</t>
  </si>
  <si>
    <t>Mal Vista AR 252 Sienna Bld 3BDL/SQ</t>
  </si>
  <si>
    <t>02MLVIA3SG</t>
  </si>
  <si>
    <t>Mal Vista AR 252 Storm Grey 3BDL/SQ</t>
  </si>
  <si>
    <t>02MLVIA3SW</t>
  </si>
  <si>
    <t>Mal Vista AR 252 Silverwood 3BDL/SQ</t>
  </si>
  <si>
    <t>02MLVIA3WW</t>
  </si>
  <si>
    <t>Mal Vista AR 252 Wthrd Wood 3BDL/SQ</t>
  </si>
  <si>
    <t>02OCTDDBS</t>
  </si>
  <si>
    <t>OC Trudef Duration DC Black Sbl 3/S</t>
  </si>
  <si>
    <t>02OCTDFABW</t>
  </si>
  <si>
    <t>OC TRUDEF DURA FLEX AR BROWNWD  3/S</t>
  </si>
  <si>
    <t>02OCTDFADW</t>
  </si>
  <si>
    <t>OC TRUDEF DURA FLEX AR DRIFTWD  3/S</t>
  </si>
  <si>
    <t>02OCTDFAEG</t>
  </si>
  <si>
    <t>OC TRUDEF DURA FLEX AR EST GRAY 3/S</t>
  </si>
  <si>
    <t>02OCTDFAON</t>
  </si>
  <si>
    <t>OC TRUDEF DURA FLEX AR ONYX BLK 3/S</t>
  </si>
  <si>
    <t>02OCTDUBW</t>
  </si>
  <si>
    <t>OC Trudef Duration Brownwood    3/S</t>
  </si>
  <si>
    <t>02OCTDUDE</t>
  </si>
  <si>
    <t>OC Trudef Duration Desert Tan   3/S</t>
  </si>
  <si>
    <t>02OCTDUDR</t>
  </si>
  <si>
    <t>OC TruDef Duration Desert Rose  3/S</t>
  </si>
  <si>
    <t>02OCTDUDW</t>
  </si>
  <si>
    <t>OC Trudef Duration Driftwood    3/S</t>
  </si>
  <si>
    <t>02OCTDUEG</t>
  </si>
  <si>
    <t>OC Trudef Duration Estate Gray  3/S</t>
  </si>
  <si>
    <t>02OCTDUON</t>
  </si>
  <si>
    <t>OC Trudef Duration Onyx Black   3/S</t>
  </si>
  <si>
    <t>02OCTDUQG</t>
  </si>
  <si>
    <t>OC Trudef Duration Quarry Gray  3/S</t>
  </si>
  <si>
    <t>02OCTDUSG</t>
  </si>
  <si>
    <t>OC Trudef Duration Sierra Gray  3/S</t>
  </si>
  <si>
    <t>02OCTDUSL</t>
  </si>
  <si>
    <t>OC Trudef Duration Slatestone 3/S</t>
  </si>
  <si>
    <t>02OCTDUTE</t>
  </si>
  <si>
    <t>OC Trudef Duration Teak         3/S</t>
  </si>
  <si>
    <t>02OCTDUWG</t>
  </si>
  <si>
    <t>OC TruDef Duration Williamsburg 3/S</t>
  </si>
  <si>
    <t>0397110351</t>
  </si>
  <si>
    <t>Lifting Handle Kit           #10351</t>
  </si>
  <si>
    <t>0397110776</t>
  </si>
  <si>
    <t>Coil Holder Sidewinder       #10776</t>
  </si>
  <si>
    <t>0397111676</t>
  </si>
  <si>
    <t>Brake Buddy W/Case           #11676</t>
  </si>
  <si>
    <t>0397111720</t>
  </si>
  <si>
    <t>Pro Snap Stand               #11720</t>
  </si>
  <si>
    <t>0397114547</t>
  </si>
  <si>
    <t>V-Groove Roller Kit Complete #14547</t>
  </si>
  <si>
    <t>03GAAS2BW</t>
  </si>
  <si>
    <t>GAF Armorshield II Barkwood     3/S</t>
  </si>
  <si>
    <t>03GAAS2CH</t>
  </si>
  <si>
    <t>GAF Armorshield II Charcoal     3/S</t>
  </si>
  <si>
    <t>03GAAS2PG</t>
  </si>
  <si>
    <t>GAF ARMORSHIELD II PEWTER GRAY  3/S</t>
  </si>
  <si>
    <t>03IKASASK</t>
  </si>
  <si>
    <t>IKO AR ARMOURSHAKE SHADOW BLACK 5/S</t>
  </si>
  <si>
    <t>03MLLAAB</t>
  </si>
  <si>
    <t>Mal Legacy 273 SG Antique Brown 4B</t>
  </si>
  <si>
    <t>03MLLAMB</t>
  </si>
  <si>
    <t>Mal Legacy 273 SG Midnight Black 4B</t>
  </si>
  <si>
    <t>03MLLASG</t>
  </si>
  <si>
    <t>Mal Legacy 273 SG Storm Gray     4B</t>
  </si>
  <si>
    <t>03MLLAWW</t>
  </si>
  <si>
    <t>Mal Legacy 273 SG Weathered Wood 4B</t>
  </si>
  <si>
    <t>04GAPST</t>
  </si>
  <si>
    <t>GAF Pro-Start Starter 120.33LF</t>
  </si>
  <si>
    <t>04GASR2BI</t>
  </si>
  <si>
    <t>GAF SG S-A-R Birchwood 25LF</t>
  </si>
  <si>
    <t>04GASR2BW</t>
  </si>
  <si>
    <t>GAF SG S-A-R Barkwood 25LF</t>
  </si>
  <si>
    <t>04GASR2CD</t>
  </si>
  <si>
    <t>GAF SG S-A-R Canadian Driftwd 25LF</t>
  </si>
  <si>
    <t>04GASR2CH</t>
  </si>
  <si>
    <t>GAF SG S-A-R Charcoal 25LF</t>
  </si>
  <si>
    <t>04GASR2HI</t>
  </si>
  <si>
    <t>GAF SG S-A-R Hickory 25LF</t>
  </si>
  <si>
    <t>04GASR2PG</t>
  </si>
  <si>
    <t>GAF SG S-A-R Pewter Gray 25LF</t>
  </si>
  <si>
    <t>04GASR2SH</t>
  </si>
  <si>
    <t>GAF SG S-A-R Shakewood 25LF</t>
  </si>
  <si>
    <t>04GASR2WW</t>
  </si>
  <si>
    <t>GAF SG S-A-R Weatheredwood 25LF</t>
  </si>
  <si>
    <t>04GASRSICH</t>
  </si>
  <si>
    <t>GAF SG S-A-R IR Charcoal       25LF</t>
  </si>
  <si>
    <t>04GASRSIPG</t>
  </si>
  <si>
    <t>GAF SG S-A-R IR Pewter Gray 25LF</t>
  </si>
  <si>
    <t>04GATTCH</t>
  </si>
  <si>
    <t>GAF Timtex H&amp;R Charcoal 20LF</t>
  </si>
  <si>
    <t>04GAWBL100</t>
  </si>
  <si>
    <t>GAF Weatherblocker Starter    100LF</t>
  </si>
  <si>
    <t>04IKASSK</t>
  </si>
  <si>
    <t>IKO ARMOUR START SHADOW BLK  68.9LF</t>
  </si>
  <si>
    <t>04IKHA26AB</t>
  </si>
  <si>
    <t>IKO AR H&amp;R 12 ATLANTIC BLUE    36LF</t>
  </si>
  <si>
    <t>04IKHA26BI</t>
  </si>
  <si>
    <t>IKO AR H&amp;R 12 BISCAYNE         36LF</t>
  </si>
  <si>
    <t>04IKHA26BS</t>
  </si>
  <si>
    <t>IKO AR H&amp;R 12 BROWNSTONE       36LF</t>
  </si>
  <si>
    <t>04IKHA26CA</t>
  </si>
  <si>
    <t>IKO AR H&amp;R 12 CASTLE GRY       36LF</t>
  </si>
  <si>
    <t>04IKHA26CG</t>
  </si>
  <si>
    <t>IKO AR H&amp;R 12 CharcGry/SumGry 36LF</t>
  </si>
  <si>
    <t>04IKHA26CO</t>
  </si>
  <si>
    <t>IKO AR H&amp;R 12 CORNERSTONE      36LF</t>
  </si>
  <si>
    <t>04IKHA26DB</t>
  </si>
  <si>
    <t>IKO AR H&amp;R 12 DUAL BROWN       36LF</t>
  </si>
  <si>
    <t>04IKHA26DG</t>
  </si>
  <si>
    <t>IKO AR H&amp;R 12 Dual Gry/Frostne 36LF</t>
  </si>
  <si>
    <t>04IKHA26DK</t>
  </si>
  <si>
    <t>IKO AR H&amp;R 12 Dual Blk/Granite 36LF</t>
  </si>
  <si>
    <t>04IKHA26DS</t>
  </si>
  <si>
    <t>IKO AR H&amp;R 12 DRIFTSHAKE       36LF</t>
  </si>
  <si>
    <t>04IKHA26DW</t>
  </si>
  <si>
    <t>IKO AR H&amp;R 12 DRIFTWOOD        36LF</t>
  </si>
  <si>
    <t>04IKHA26EC</t>
  </si>
  <si>
    <t>IKO AR H&amp;R 12 EARTHTONE CEDAR  36LF</t>
  </si>
  <si>
    <t>04IKHA26EG</t>
  </si>
  <si>
    <t>IKO AR H&amp;R 12 EMERALD GREEN    36LF</t>
  </si>
  <si>
    <t>04IKHA26FG</t>
  </si>
  <si>
    <t>IKO AR H&amp;R 12 FROSTONE GREY    36LF</t>
  </si>
  <si>
    <t>04IKHA26GB</t>
  </si>
  <si>
    <t>IKO AR H&amp;R 12 GRANITE BLACK    36LF</t>
  </si>
  <si>
    <t>04IKHA26GL</t>
  </si>
  <si>
    <t>IKO AR H&amp;R 12 GLACIER          36LF</t>
  </si>
  <si>
    <t>04IKHA26HS</t>
  </si>
  <si>
    <t>IKO AR H&amp;R 12 HARVARD SLATE    36LF</t>
  </si>
  <si>
    <t>04IKHA26MR</t>
  </si>
  <si>
    <t>IKO AR H&amp;R 12 MONACO RED       36LF</t>
  </si>
  <si>
    <t>04IKHA26SB</t>
  </si>
  <si>
    <t>IKO AR H&amp;R 12 SHADOW BROWN     36LF</t>
  </si>
  <si>
    <t>04IKHA26WW</t>
  </si>
  <si>
    <t>IKO AR H&amp;R 12 WEATHERWOOD      36LF</t>
  </si>
  <si>
    <t>04IKHP29AB</t>
  </si>
  <si>
    <t>IKO H&amp;R Plus Atlantic Blue 29.5LF</t>
  </si>
  <si>
    <t>04IKHP29AP</t>
  </si>
  <si>
    <t>IKO H&amp;R PLUS APPALCHIAN 29.5LF</t>
  </si>
  <si>
    <t>04IKHP29MR</t>
  </si>
  <si>
    <t>IKO H&amp;R PLUS MONACO RED 29.5LF</t>
  </si>
  <si>
    <t>04IKHP29PR</t>
  </si>
  <si>
    <t>IKO H&amp;R PLUS PACIFIC RIM 29.5LF</t>
  </si>
  <si>
    <t>04IKHP29RE</t>
  </si>
  <si>
    <t>IKO H&amp;R PLUS RED 29.5LF</t>
  </si>
  <si>
    <t>04IKLEP123</t>
  </si>
  <si>
    <t>IKO LEADING EDGE PLUS STARTER 123LF</t>
  </si>
  <si>
    <t>04IKUHPAR</t>
  </si>
  <si>
    <t>IKO ULTRA HP AGED REDWOOD      20LF</t>
  </si>
  <si>
    <t>04IKUHPCA</t>
  </si>
  <si>
    <t>IKO ULTRA HP CASTLE GREY       20LF</t>
  </si>
  <si>
    <t>04IKUHPCS</t>
  </si>
  <si>
    <t>IKO ULTRA HP CORNERSTONE       20LF</t>
  </si>
  <si>
    <t>04IKUHPDK</t>
  </si>
  <si>
    <t>IKO ULTRA HP DUAL BLACK        20LF</t>
  </si>
  <si>
    <t>04IKUHPDS</t>
  </si>
  <si>
    <t>IKO ULTRA HP DRIFTSHAKE        20LF</t>
  </si>
  <si>
    <t>04IKUHPDW</t>
  </si>
  <si>
    <t>IKO ULTRA HP DRIFTWOOD         20LF</t>
  </si>
  <si>
    <t>04IKUHPFY</t>
  </si>
  <si>
    <t>IKO ULTRA HP FROSTONE GREY     20LF</t>
  </si>
  <si>
    <t>04IKUHPGB</t>
  </si>
  <si>
    <t>IKO ULTRA HP GRANITE BLACK     20LF</t>
  </si>
  <si>
    <t>04IKUHPIBS</t>
  </si>
  <si>
    <t>IKO ULTRA HP IR BROWNSTONE     20LF</t>
  </si>
  <si>
    <t>04IKUHPICA</t>
  </si>
  <si>
    <t>IKO ULTRA HP IR CASTLE GREY    20LF</t>
  </si>
  <si>
    <t>04IKUHPICG</t>
  </si>
  <si>
    <t>IKO ULTRA HP IR CHARCOAL GREY  20LF</t>
  </si>
  <si>
    <t>04IKUHPIDK</t>
  </si>
  <si>
    <t>IKO ULTRA HP IR DUAL BLACK     20LF</t>
  </si>
  <si>
    <t>04IKUHPIDS</t>
  </si>
  <si>
    <t>IKO ULTRA HP IR DRIFTSHAKE     20LF</t>
  </si>
  <si>
    <t>04IKUHPIEC</t>
  </si>
  <si>
    <t>IKO ULTRA HP IR EARTHTONE/CEDR 20LF</t>
  </si>
  <si>
    <t>04IKUHPIGB</t>
  </si>
  <si>
    <t>IKO Ultra HP IR Granite Black 20LF</t>
  </si>
  <si>
    <t>04IKUHPIGL</t>
  </si>
  <si>
    <t>IKO Ultra HP IR Glacier        20LF</t>
  </si>
  <si>
    <t>04IKUHPIHS</t>
  </si>
  <si>
    <t>IKO Ultra HP IR Harvard Slate 20LF</t>
  </si>
  <si>
    <t>04IKUHPWW</t>
  </si>
  <si>
    <t>IKO ULTRA HP WEATHERWOOD       20LF</t>
  </si>
  <si>
    <t>04MLEZXTAB</t>
  </si>
  <si>
    <t>Mal EZ Ridge XT 224 Ant Brown  20LF</t>
  </si>
  <si>
    <t/>
  </si>
  <si>
    <t>04MLEZXTBO</t>
  </si>
  <si>
    <t>Mal EZ Ridge XT 224 Black Oak 20LF</t>
  </si>
  <si>
    <t>04MLEZXTHE</t>
  </si>
  <si>
    <t>Mal EZ Ridge XT 224 Heather    20LF</t>
  </si>
  <si>
    <t>04MLEZXTMB</t>
  </si>
  <si>
    <t>Mal EZ Ridge XT 224 Mid Black  20LF</t>
  </si>
  <si>
    <t>04MLEZXTNW</t>
  </si>
  <si>
    <t>Mal EZ Ridge XT 224 Nat Wood   20LF</t>
  </si>
  <si>
    <t>04MLEZXTSB</t>
  </si>
  <si>
    <t>Mal EZ Ridge XT 224 Sienna BL  20LF</t>
  </si>
  <si>
    <t>04MLEZXTSG</t>
  </si>
  <si>
    <t>Mal EZ Ridge XT 224 Storm Gray 20LF</t>
  </si>
  <si>
    <t>04MLEZXTSI</t>
  </si>
  <si>
    <t>Mal EZ Ridge XT 224 Silverwood 20LF</t>
  </si>
  <si>
    <t>04MLEZXTWW</t>
  </si>
  <si>
    <t>Mal EZ Ridge XT 224 Weather WD 20LF</t>
  </si>
  <si>
    <t>04MLHR12AB</t>
  </si>
  <si>
    <t>Mal 227 12" H&amp;R Ant Brown 31LF</t>
  </si>
  <si>
    <t>04MLHR12BO</t>
  </si>
  <si>
    <t>Mal 227 12" H&amp;R Black Oak 31LF</t>
  </si>
  <si>
    <t>04MLHR12HE</t>
  </si>
  <si>
    <t>Mal 227 12" H&amp;R Heather 31LF</t>
  </si>
  <si>
    <t>04MLHR12MB</t>
  </si>
  <si>
    <t>Mal 227 12" H&amp;R Midnight Black 31LF</t>
  </si>
  <si>
    <t>04MLHR12NW</t>
  </si>
  <si>
    <t>Mal 227 12" H&amp;R Natural Wood 31LF</t>
  </si>
  <si>
    <t>04MLHR12SB</t>
  </si>
  <si>
    <t>Mal 227 12" H&amp;R Sienna Blend 31LF</t>
  </si>
  <si>
    <t>04MLHR12SG</t>
  </si>
  <si>
    <t>Mal 227 12" H&amp;R Storm Gray 31LF</t>
  </si>
  <si>
    <t>04MLHR12SW</t>
  </si>
  <si>
    <t>Mal 227 12" H&amp;R Silverwood 31LF</t>
  </si>
  <si>
    <t>04MLHR12WW</t>
  </si>
  <si>
    <t>Mal 227 12" H&amp;R Weathered Wood 31LF</t>
  </si>
  <si>
    <t>04MLSS210</t>
  </si>
  <si>
    <t>Mal 210 Smart Start 114.9LF</t>
  </si>
  <si>
    <t>04OCAPEBL</t>
  </si>
  <si>
    <t>OC Proedge AR Black Sable 33LF</t>
  </si>
  <si>
    <t>04OCAPEBW</t>
  </si>
  <si>
    <t>OC PROEDGE AR BROWNWOOD        33LF</t>
  </si>
  <si>
    <t>04OCAPEDR</t>
  </si>
  <si>
    <t>OC ProEdge AR Desert Rose      33LF</t>
  </si>
  <si>
    <t>04OCAPEDT</t>
  </si>
  <si>
    <t>OC PROEDGE AR DESERT TAN       33LF</t>
  </si>
  <si>
    <t>04OCAPEDW</t>
  </si>
  <si>
    <t>OC PROEDGE AR DRIFTWOOD        33LF</t>
  </si>
  <si>
    <t>04OCAPEEG</t>
  </si>
  <si>
    <t>OC PROEDGE AR ESTATE GRAY      33LF</t>
  </si>
  <si>
    <t>04OCAPEON</t>
  </si>
  <si>
    <t>OC PROEDGE AR ONYX BLACK       33LF</t>
  </si>
  <si>
    <t>04OCAPEQG</t>
  </si>
  <si>
    <t>OC PROEDGE AR QUARRY GRAY      33LF</t>
  </si>
  <si>
    <t>04OCAPESG</t>
  </si>
  <si>
    <t>OC PROEDGE AR SIERRA GRAY      33LF</t>
  </si>
  <si>
    <t>04OCAPESL</t>
  </si>
  <si>
    <t>OC Proedge AR Slatestone Gray 33LF</t>
  </si>
  <si>
    <t>04OCAPETE</t>
  </si>
  <si>
    <t>OC PROEDGE AR TEAK             33LF</t>
  </si>
  <si>
    <t>04OCAPEWG</t>
  </si>
  <si>
    <t>OC ProEdge AR Williamsburg Gry 33LF</t>
  </si>
  <si>
    <t>04OCDR10BW</t>
  </si>
  <si>
    <t>OC Decoridge 10" Brownwd/Timbr 20LF</t>
  </si>
  <si>
    <t>04OCDR10SG</t>
  </si>
  <si>
    <t>OC DECORIDGE 10" SIERRA GRAY   20LF</t>
  </si>
  <si>
    <t>04OCIRARBW</t>
  </si>
  <si>
    <t>OC IMPACTRIDGE AR BROWNWOOD    33LF</t>
  </si>
  <si>
    <t>04OCIRARDW</t>
  </si>
  <si>
    <t>OC IMPACTRIDGE AR DRIFTWOOD    33LF</t>
  </si>
  <si>
    <t>04OCIRAREG</t>
  </si>
  <si>
    <t>OC IMPACTRIDGE AR ESTATE GRAY  33LF</t>
  </si>
  <si>
    <t>04OCIRAROB</t>
  </si>
  <si>
    <t>OC IMPACTRIDGE AR ONYX BLACK   33LF</t>
  </si>
  <si>
    <t>04OCSSPL</t>
  </si>
  <si>
    <t>OC STARTER STRIP PLUS         105LF</t>
  </si>
  <si>
    <t>05GADA54</t>
  </si>
  <si>
    <t>GAF Deck-Armor 54"X222'     10SQ/R</t>
  </si>
  <si>
    <t>05GAFBSR10</t>
  </si>
  <si>
    <t>GAF Feltbuster Syn Roof Felt 10SQ</t>
  </si>
  <si>
    <t>05MIFP15</t>
  </si>
  <si>
    <t>15# FELT PLAIN               4SQ/RL</t>
  </si>
  <si>
    <t>05MIHTBP20</t>
  </si>
  <si>
    <t>HALTEX BUILDING PAPER 20MIN 4SQ/RL</t>
  </si>
  <si>
    <t>05MIHTBP30</t>
  </si>
  <si>
    <t>HALTEX BUILDING PAPER 30MIN 4SQ/RL</t>
  </si>
  <si>
    <t>05MLSP1035</t>
  </si>
  <si>
    <t>Mal 1035 Secure Plus Permeable 5Sq</t>
  </si>
  <si>
    <t>05MLSYUN10</t>
  </si>
  <si>
    <t>Mal 1030 Secure Start Synth    10SQ</t>
  </si>
  <si>
    <t>05SERSAB10</t>
  </si>
  <si>
    <t>ROOFNADO SAHARA BREATH SYN 10SQ</t>
  </si>
  <si>
    <t>09IKSDB44</t>
  </si>
  <si>
    <t>IKO SBS DECKBASE 44</t>
  </si>
  <si>
    <t>09PGG5CG</t>
  </si>
  <si>
    <t>Polyglass Granules Charcoal Gy 5GAL</t>
  </si>
  <si>
    <t>PA</t>
  </si>
  <si>
    <t>113M3015</t>
  </si>
  <si>
    <t>3M AIR &amp; VAPOR BARRIER 36X75' #3015</t>
  </si>
  <si>
    <t>113M301547</t>
  </si>
  <si>
    <t>3M AIR &amp; VAPOR BARRIER 4X75' #3015</t>
  </si>
  <si>
    <t>113M301567</t>
  </si>
  <si>
    <t>3M Air &amp; Vapor Barrier 6X75' #3015</t>
  </si>
  <si>
    <t>113M301587</t>
  </si>
  <si>
    <t>3M Air &amp; Vapor Barrier 18X75' #3015</t>
  </si>
  <si>
    <t>113M301597</t>
  </si>
  <si>
    <t>3M Air &amp; Vapor Barrier 9X75' #3015</t>
  </si>
  <si>
    <t>11GAWW2</t>
  </si>
  <si>
    <t>GAF Weatherwatch 36"X66.7' 2SQ/RL</t>
  </si>
  <si>
    <t>11IK850055</t>
  </si>
  <si>
    <t>IKO AquaBarrier VP 3.75"X100'</t>
  </si>
  <si>
    <t>11IKAG2</t>
  </si>
  <si>
    <t>IKO Armourgard Ice&amp;Water Shield 2SQ</t>
  </si>
  <si>
    <t>11IKAS3675</t>
  </si>
  <si>
    <t>IKO ACRYLICSTICK SA VAP BAR 36"X75'</t>
  </si>
  <si>
    <t>11IKAS675</t>
  </si>
  <si>
    <t>IKO ACRYLICSTICK SA VAP BAR 6"X75'</t>
  </si>
  <si>
    <t>11IKSS2</t>
  </si>
  <si>
    <t>IKO StormShield Ice &amp; Water     2Sq</t>
  </si>
  <si>
    <t>11IKSS225</t>
  </si>
  <si>
    <t>IKO STORMSHIELD I&amp;W 44"X61' 2.25SQ</t>
  </si>
  <si>
    <t>11IKSTSUL1</t>
  </si>
  <si>
    <t>IKO STORMTITE SYN UNDERLAYMENT 10SQ</t>
  </si>
  <si>
    <t>11IWRRGU2</t>
  </si>
  <si>
    <t>Rhinoroof Gran Self Adhered 2SQ/RL</t>
  </si>
  <si>
    <t>11IWRRU20</t>
  </si>
  <si>
    <t>RHINOROOF U20 10SQ/RL</t>
  </si>
  <si>
    <t>11MIRLPHTN</t>
  </si>
  <si>
    <t>RESISTO LASTOBOND PRO HT-N 36"X65'</t>
  </si>
  <si>
    <t>11ML4012</t>
  </si>
  <si>
    <t>Mal Arctic Seal 401 Undrly 2SQ</t>
  </si>
  <si>
    <t>11RELB1236</t>
  </si>
  <si>
    <t>RESISTO LB1236 UNDERLAY 3'X65'</t>
  </si>
  <si>
    <t>11RELB1244</t>
  </si>
  <si>
    <t>RESISTO LB1244 UNDERLAY 44"X61'</t>
  </si>
  <si>
    <t>1460701036</t>
  </si>
  <si>
    <t>Sturdimount Oversize Primd #SMO815P</t>
  </si>
  <si>
    <t>14DF1244BL</t>
  </si>
  <si>
    <t>Duraflo Multiple 5-In-1 Size Flashing</t>
  </si>
  <si>
    <t>14MIBP23BK</t>
  </si>
  <si>
    <t>24" BACKPAN FLASHING GALV 3' BLACK</t>
  </si>
  <si>
    <t>14MIBP23BR</t>
  </si>
  <si>
    <t>24" BACKPAN FLASHING GALV 3' BROWN</t>
  </si>
  <si>
    <t>14MIBP23ML</t>
  </si>
  <si>
    <t>24" BACKPAN FLASHING GALV 3' MILL</t>
  </si>
  <si>
    <t>14MIBP25BK</t>
  </si>
  <si>
    <t>24" BACKPAN FLASHING GALV 5' BLACK</t>
  </si>
  <si>
    <t>14MIBP25BR</t>
  </si>
  <si>
    <t>24" BACKPAN FLASHING GALV 5' BROWN</t>
  </si>
  <si>
    <t>14MIBP25CH</t>
  </si>
  <si>
    <t>24" BACKPAN FLASHING GALV 5' CHARCL</t>
  </si>
  <si>
    <t>14MIBP25ML</t>
  </si>
  <si>
    <t>24" BACKPAN FLASHING GALV 5' MILL</t>
  </si>
  <si>
    <t>14MICL10BK</t>
  </si>
  <si>
    <t>CAULK LIP FLASH 1/2X10X1/2 10' BLACK</t>
  </si>
  <si>
    <t>14MICL10BR</t>
  </si>
  <si>
    <t>CAULK LIP FLASH 1/2X10X1/2 10' BROWN</t>
  </si>
  <si>
    <t>14MICL10CH</t>
  </si>
  <si>
    <t>CAULK LIP FLASH 1/2X10X1/2 10' CHARC</t>
  </si>
  <si>
    <t>14MICL10WH</t>
  </si>
  <si>
    <t>CAULK LIP FLASH 1/2X10X1/2 10' WHITE</t>
  </si>
  <si>
    <t>14MICL40BK</t>
  </si>
  <si>
    <t>CAULK LIP FLASH 1/2X4X1/2 10' BLACK</t>
  </si>
  <si>
    <t>14MICL40BR</t>
  </si>
  <si>
    <t>CAULK LIP FLASH 1/2X4X1/2 10' BROWN</t>
  </si>
  <si>
    <t>14MICL40CH</t>
  </si>
  <si>
    <t>CAULK LIP FLASH 1/2X4X1/2 10' CHARC</t>
  </si>
  <si>
    <t>14MICL40WH</t>
  </si>
  <si>
    <t>CAULK LIP FLASH 1/2X4X1/2 10' WHITE</t>
  </si>
  <si>
    <t>14MICV30BK</t>
  </si>
  <si>
    <t>24" COILED VALLEY 30GA 10' BLACK</t>
  </si>
  <si>
    <t>14MICV30BR</t>
  </si>
  <si>
    <t>24" COILED VALLEY 30GA 10' BROWN</t>
  </si>
  <si>
    <t>14MICV30CH</t>
  </si>
  <si>
    <t>24" COILED VALLEY 30GA 10' CHARCOAL</t>
  </si>
  <si>
    <t>14MICV30ML</t>
  </si>
  <si>
    <t>24" COILED VALLEY 30GA 10' MILL</t>
  </si>
  <si>
    <t>14MICV30SG</t>
  </si>
  <si>
    <t>24" COILED VALLEY 30GA 10' STONEGRY</t>
  </si>
  <si>
    <t>14MICV60BK</t>
  </si>
  <si>
    <t>24" COILED VALLEY 26GA 10' BLACK</t>
  </si>
  <si>
    <t>14MICV60BR</t>
  </si>
  <si>
    <t>24" Coiled Valley 26Ga 10' Brown</t>
  </si>
  <si>
    <t>14MICV60CH</t>
  </si>
  <si>
    <t>24" COILED VALLEY 26GA 10' CHARCOAL</t>
  </si>
  <si>
    <t>14MIDPF2BK</t>
  </si>
  <si>
    <t>DURAFLO PLASTIC BASE FLASH 2" BLACK</t>
  </si>
  <si>
    <t>14MIDPF3BK</t>
  </si>
  <si>
    <t>DURAFLO PLASTIC BASE FLASH 3" BLACK</t>
  </si>
  <si>
    <t>14MIDPF4BK</t>
  </si>
  <si>
    <t>DURAFLO PLASTIC BASE FLASH 4" BLACK</t>
  </si>
  <si>
    <t>14MIDSRF34</t>
  </si>
  <si>
    <t>Duraflo Steep Roof Flash 3"-4" Blk</t>
  </si>
  <si>
    <t>14MIEF30BK</t>
  </si>
  <si>
    <t>EAVE/DRIP FLASH 30GA 10' BLACK</t>
  </si>
  <si>
    <t>14MIEF30BR</t>
  </si>
  <si>
    <t>EAVE/DRIP FLASH 30GA 10' BROWN</t>
  </si>
  <si>
    <t>14MIEF30CH</t>
  </si>
  <si>
    <t>EAVE/DRIP FLASH 30GA 10' CHARCOAL</t>
  </si>
  <si>
    <t>14MIEF30WH</t>
  </si>
  <si>
    <t>EAVE/DRIP FLASH 30GA 10' WHITE</t>
  </si>
  <si>
    <t>14MIEF38BK</t>
  </si>
  <si>
    <t>EAVE/DRIP FLASH 30GA 8' BLACK</t>
  </si>
  <si>
    <t>14MIEF38CH</t>
  </si>
  <si>
    <t>EAVE/DRIP FLASH 30GA 8' CHARCOAL</t>
  </si>
  <si>
    <t>14MIEF38WH</t>
  </si>
  <si>
    <t>EAVE/DRIP FLASH 30GA 8' WHITE</t>
  </si>
  <si>
    <t>14MIGF33BK</t>
  </si>
  <si>
    <t>3" GABLE FLASH 30GA 10' BLACK</t>
  </si>
  <si>
    <t>14MIGF33BR</t>
  </si>
  <si>
    <t>3" GABLE FLASH 30GA 10' BROWN</t>
  </si>
  <si>
    <t>14MIGF33CH</t>
  </si>
  <si>
    <t>3" GABLE FLASH 30GA 10' CHARCOAL</t>
  </si>
  <si>
    <t>14MIGF33ML</t>
  </si>
  <si>
    <t>3" GABLE FLASH 30GA 10' MILL</t>
  </si>
  <si>
    <t>14MIRVW3BK</t>
  </si>
  <si>
    <t>Reverse Wall 3" Black</t>
  </si>
  <si>
    <t>14MIRVW4BK</t>
  </si>
  <si>
    <t>REVERSE WALL 4" BLACK</t>
  </si>
  <si>
    <t>14MIRVW4BR</t>
  </si>
  <si>
    <t>REVERSE WALL 4" BROWN</t>
  </si>
  <si>
    <t>14MIRVW4CC</t>
  </si>
  <si>
    <t>REVERSE WALL 4" CUSTOM COLOR</t>
  </si>
  <si>
    <t>14MISCF14B</t>
  </si>
  <si>
    <t>SKYLIGHT COUNTER FLASH 1X4X10 BROWN</t>
  </si>
  <si>
    <t>14MISCF14C</t>
  </si>
  <si>
    <t>SKYLIGHT COUNTER FLASH 1X4X10 CHARC</t>
  </si>
  <si>
    <t>14MISCF14K</t>
  </si>
  <si>
    <t>SKYLIGHT COUNTER FLASH 1X4X10 BLACK</t>
  </si>
  <si>
    <t>14MISF449B</t>
  </si>
  <si>
    <t>STEP FLASHING 4"X4"X9" BROWN</t>
  </si>
  <si>
    <t>14MISF449C</t>
  </si>
  <si>
    <t>STEP FLASHING 4"X4"X9" CHARCOAL</t>
  </si>
  <si>
    <t>14MISF449K</t>
  </si>
  <si>
    <t>STEP FLASHING 4"X4"X9" BLACK</t>
  </si>
  <si>
    <t>14MISWSS</t>
  </si>
  <si>
    <t>STEEL WIDE STARTER STRIP</t>
  </si>
  <si>
    <t>14MIVV38BK</t>
  </si>
  <si>
    <t>24" V-VALLEY 30GA FLASHING 8' BLACK</t>
  </si>
  <si>
    <t>14MIVV38BR</t>
  </si>
  <si>
    <t>24" V-VALLEY 30GA FLASHING 8' BROWN</t>
  </si>
  <si>
    <t>14MIVV38CH</t>
  </si>
  <si>
    <t>24" V-VALLEY 30GA FLASHING 8' CHARC</t>
  </si>
  <si>
    <t>14MIWF390B</t>
  </si>
  <si>
    <t>WALL FLASH 30GA GALV 9"X10' BROWN</t>
  </si>
  <si>
    <t>14MIWF390C</t>
  </si>
  <si>
    <t>WALL FLASH 30GA GALV 9"X10' CHAROCL</t>
  </si>
  <si>
    <t>14MIWF390K</t>
  </si>
  <si>
    <t>WALL FLASH 30GA GALV 9"X10' BLACK</t>
  </si>
  <si>
    <t>14MIWF390S</t>
  </si>
  <si>
    <t>WALL FLASH 30GA GALV 9"X10' STNGRY</t>
  </si>
  <si>
    <t>14MIWVFBK</t>
  </si>
  <si>
    <t>24" W-VALLEY GALV FLASHING BLACK</t>
  </si>
  <si>
    <t>14MIWVFBR</t>
  </si>
  <si>
    <t>24" W-VALLEY GALV FLASHING BROWN</t>
  </si>
  <si>
    <t>14MIWVFCH</t>
  </si>
  <si>
    <t>24" W-VALLEY GALV FLASHING CHARCOAL</t>
  </si>
  <si>
    <t>14MIWVFML</t>
  </si>
  <si>
    <t>24" W-VALLEY GALV FLASHING MILL</t>
  </si>
  <si>
    <t>14RGDE15AB</t>
  </si>
  <si>
    <t>RG Al Drip Edge 1.5" Ant Brn 1382-3</t>
  </si>
  <si>
    <t>14RGDE15BK</t>
  </si>
  <si>
    <t>RG Al Drip Edge 1.5" Black   1382-3</t>
  </si>
  <si>
    <t>14RGDE15BS</t>
  </si>
  <si>
    <t>RG Al Drip Edge 1.5" Brownst 1382-3</t>
  </si>
  <si>
    <t>14RGDE15CA</t>
  </si>
  <si>
    <t>RG Al Drip Edge 1.5" Cactus  1382-3</t>
  </si>
  <si>
    <t>14RGDE15CH</t>
  </si>
  <si>
    <t>RG Al Drip Edge 1.5" Charcol 1382-3</t>
  </si>
  <si>
    <t>14RGDE15CL</t>
  </si>
  <si>
    <t>RG Al Drip Edge 1.5" Clay 1382-3</t>
  </si>
  <si>
    <t>14RGDE15CM</t>
  </si>
  <si>
    <t>RG Al Drip Edge 1.5" Cashmer 1382-3</t>
  </si>
  <si>
    <t>14RGDE15CN</t>
  </si>
  <si>
    <t>RG Al Drip Edge 1.5" ComBrwn 1382-3</t>
  </si>
  <si>
    <t>14RGDE15CO</t>
  </si>
  <si>
    <t>RG Al Drip Edge 1.5" Chocolt 1382-3</t>
  </si>
  <si>
    <t>14RGDE15CS</t>
  </si>
  <si>
    <t>RG Al Drip Edge 1.5" Cobbles 1382-3</t>
  </si>
  <si>
    <t>14RGDE15GR</t>
  </si>
  <si>
    <t>RG Al Drip Edge 1.5" Granite 1382-3</t>
  </si>
  <si>
    <t>14RGDE15GY</t>
  </si>
  <si>
    <t>RG Al Drip Edge 1.5" Grey 1382-3</t>
  </si>
  <si>
    <t>14RGDE15HS</t>
  </si>
  <si>
    <t>RG Al Drip Edge 1.5" Har Slt 1382-3</t>
  </si>
  <si>
    <t>14RGDE15IS</t>
  </si>
  <si>
    <t>RG Al Drip Edge 1.5" Ironstn 1382-3</t>
  </si>
  <si>
    <t>14RGDE15LI</t>
  </si>
  <si>
    <t>RG Al Drip Edge 1.5" Linen 1382-3</t>
  </si>
  <si>
    <t>14RGDE15PC</t>
  </si>
  <si>
    <t>RG Al Drip Edge 1.5" Peb Cly 1382-3</t>
  </si>
  <si>
    <t>14RGDE15SD</t>
  </si>
  <si>
    <t>RG Al Drip Edge 1.5" Sand 1382-3</t>
  </si>
  <si>
    <t>14RGDE15UB</t>
  </si>
  <si>
    <t>RG Al Drip Edge 1.5" UniBrwn 1382-3</t>
  </si>
  <si>
    <t>14RGDE15WH</t>
  </si>
  <si>
    <t>RG Al Drip Edge 1.5" White   1382-3</t>
  </si>
  <si>
    <t>14RGDE15WI</t>
  </si>
  <si>
    <t>RG Al Drip Edge 1.5" Wicker 1382-3</t>
  </si>
  <si>
    <t>14RGGTAB</t>
  </si>
  <si>
    <t>Royal Gable Trim Ant Brwn 12' #1388</t>
  </si>
  <si>
    <t>14RGGTBK</t>
  </si>
  <si>
    <t>Royal Gable Trim Black 12' #1388</t>
  </si>
  <si>
    <t>14RGGTBS</t>
  </si>
  <si>
    <t>Royal Gable Trim Brownstn 12' #1388</t>
  </si>
  <si>
    <t>14RGGTCA</t>
  </si>
  <si>
    <t>Royal Gable Trim Cactus 12' #1388</t>
  </si>
  <si>
    <t>14RGGTCH</t>
  </si>
  <si>
    <t>Royal Gable Trim Charcoal 12' #1388</t>
  </si>
  <si>
    <t>14RGGTCL</t>
  </si>
  <si>
    <t>Royal Gable Trim Clay 12' #1388</t>
  </si>
  <si>
    <t>14RGGTCM</t>
  </si>
  <si>
    <t>Royal Gable Trim Cashmere 12' #1388</t>
  </si>
  <si>
    <t>14RGGTCN</t>
  </si>
  <si>
    <t>Royal Gable Trim Com Brwn 12' #1388</t>
  </si>
  <si>
    <t>14RGGTCO</t>
  </si>
  <si>
    <t>Royal Gable Trim Chocolat 12' #1388</t>
  </si>
  <si>
    <t>14RGGTCS</t>
  </si>
  <si>
    <t>Royal Gable Trim Cobblest 12' #1388</t>
  </si>
  <si>
    <t>14RGGTGR</t>
  </si>
  <si>
    <t>Royal Gable Trim Granite 12' #1388</t>
  </si>
  <si>
    <t>14RGGTGY</t>
  </si>
  <si>
    <t>Royal Gable Trim Grey 12' #1388</t>
  </si>
  <si>
    <t>14RGGTHS</t>
  </si>
  <si>
    <t>Royal Gable Trim Harv Slt 12' #1388</t>
  </si>
  <si>
    <t>14RGGTIS</t>
  </si>
  <si>
    <t>Royal Gable Trim Ironston 12' #1388</t>
  </si>
  <si>
    <t>14RGGTLI</t>
  </si>
  <si>
    <t>Royal Gable Trim Linen 12' #1388</t>
  </si>
  <si>
    <t>14RGGTPC</t>
  </si>
  <si>
    <t>Royal Gable Trim Peb Clay 12' #1388</t>
  </si>
  <si>
    <t>14RGGTSD</t>
  </si>
  <si>
    <t>Royal Gable Trim Sand 12' #1388</t>
  </si>
  <si>
    <t>14RGGTUB</t>
  </si>
  <si>
    <t>Royal Gable Trim Univ Brn 12' #1388</t>
  </si>
  <si>
    <t>14RGGTWH</t>
  </si>
  <si>
    <t>Royal Gable Trim White 12' #1388</t>
  </si>
  <si>
    <t>14RGGTWI</t>
  </si>
  <si>
    <t>Royal Gable Trim Wicker 12' #1388</t>
  </si>
  <si>
    <t>14RGLRE3GY</t>
  </si>
  <si>
    <t>RG AL DRIP EDGE 1.5" GREY1382-3</t>
  </si>
  <si>
    <t>14RGLRE3WH</t>
  </si>
  <si>
    <t>RG AL DRIP EDGE 1.5" WHITE   1382-3</t>
  </si>
  <si>
    <t>14WBGTAB</t>
  </si>
  <si>
    <t>WAYNE'S GABLE TRIM ANTIQUE BRWN 10'</t>
  </si>
  <si>
    <t>14WBGTBK</t>
  </si>
  <si>
    <t>WAYNE'S GABLE TRIM BLACK 10'</t>
  </si>
  <si>
    <t>14WBGTBR</t>
  </si>
  <si>
    <t>WAYNE'S GABLE TRIM BROWNSTONE 10'</t>
  </si>
  <si>
    <t>14WBGTCA</t>
  </si>
  <si>
    <t>WAYNE'S GABLE TRIM CACTUS 10'</t>
  </si>
  <si>
    <t>14WBGTHB</t>
  </si>
  <si>
    <t>WAYNE'S GABLE TRIM HERRINGBONE 10'</t>
  </si>
  <si>
    <t>14WBGTPO</t>
  </si>
  <si>
    <t>WAYNE'S GABLE TRIM POLAR 10'</t>
  </si>
  <si>
    <t>14WBGTSA</t>
  </si>
  <si>
    <t>WAYNE'S GABLE TRIM SAND 10'</t>
  </si>
  <si>
    <t>14WBGTWI</t>
  </si>
  <si>
    <t>WAYNE'S GABLE TRIM WICKER 10'</t>
  </si>
  <si>
    <t>14WFSB1CG</t>
  </si>
  <si>
    <t>Westform Starter Box Charcoal Gray</t>
  </si>
  <si>
    <t>15AFGRN17</t>
  </si>
  <si>
    <t>AIRFAST GALV STAPLES 1 1/2" 10M/BX</t>
  </si>
  <si>
    <t>15AFGS1615</t>
  </si>
  <si>
    <t>AIRFAST GS 16 STAPLE 1 1/2" 10M/BX</t>
  </si>
  <si>
    <t>15AFGS1620</t>
  </si>
  <si>
    <t>AIRFAST GS 16 STAPLE 2" 10M/BX</t>
  </si>
  <si>
    <t>15AFHR1914</t>
  </si>
  <si>
    <t>AIRFAST TACKER RAPID 19 1/4" STAPLE</t>
  </si>
  <si>
    <t>15AFHT14</t>
  </si>
  <si>
    <t>AIRFAST HAMMER TACK A11 1/4" STAPLE</t>
  </si>
  <si>
    <t>15AFHT38</t>
  </si>
  <si>
    <t>AIRFAST HAMMER TACK A11 3/8" STAPLE</t>
  </si>
  <si>
    <t>15AFSI181</t>
  </si>
  <si>
    <t>AirFast GSI 18 Staple 1" 5M/Bx</t>
  </si>
  <si>
    <t>15AFSI1812</t>
  </si>
  <si>
    <t>AIRFAST GSI 18 STAPLE 1 1/4" 5M/BX</t>
  </si>
  <si>
    <t>15AFSI1834</t>
  </si>
  <si>
    <t>AIRFAST GSI 18 STAPLE 3/4" 5M/BX</t>
  </si>
  <si>
    <t>15BSPSH2BK</t>
  </si>
  <si>
    <t>Boral Pnl Hwh 10X2 Blk 420218035094</t>
  </si>
  <si>
    <t>BG</t>
  </si>
  <si>
    <t>15DFC23371</t>
  </si>
  <si>
    <t>DECKFAST CAP-TOR XD 2-3/4" #37  100</t>
  </si>
  <si>
    <t>15DFC23531</t>
  </si>
  <si>
    <t>DECKFAST CAP-TOR XD 2-3/4" #53  100</t>
  </si>
  <si>
    <t>15DFE23375</t>
  </si>
  <si>
    <t>DECKFAST EPOXY COATED 10X2-3/4 375</t>
  </si>
  <si>
    <t>15DFF17834</t>
  </si>
  <si>
    <t>DECKFAST 1-7/8" FASCIA SCREW #34</t>
  </si>
  <si>
    <t>15DFF17837</t>
  </si>
  <si>
    <t>DECKFAST 1-7/8" FASCIA SCREW #37</t>
  </si>
  <si>
    <t>15DFF17854</t>
  </si>
  <si>
    <t>DECKFAST 1-7/8" FASCIA SCREW #54</t>
  </si>
  <si>
    <t>15DFF17855</t>
  </si>
  <si>
    <t>DECKFAST 1-7/8" FASCIA SCREW #55</t>
  </si>
  <si>
    <t>15DFF17863</t>
  </si>
  <si>
    <t>DECKFAST 1-7/8" FASCIA SCREW #63</t>
  </si>
  <si>
    <t>15DFF17873</t>
  </si>
  <si>
    <t>DECKFAST 1-7/8" FASCIA SCREW #73</t>
  </si>
  <si>
    <t>15MAC2CAC2</t>
  </si>
  <si>
    <t>Maibec Canexel 2" Nail Acadia 2#</t>
  </si>
  <si>
    <t>15MI08DS15</t>
  </si>
  <si>
    <t>#8 X 1-1/2" DECK SCREW 5000/BX</t>
  </si>
  <si>
    <t>15MI08DS17</t>
  </si>
  <si>
    <t>#8 X 1-3/4" DECK SCREW 5000/BX</t>
  </si>
  <si>
    <t>15MI08DS2</t>
  </si>
  <si>
    <t>#8X2" DECK SCREW 2800/PL</t>
  </si>
  <si>
    <t>15MI08TD15</t>
  </si>
  <si>
    <t>#8X1.5" DECK SCREW ACQ TREAT 1C/BX</t>
  </si>
  <si>
    <t>15MI08TD20</t>
  </si>
  <si>
    <t>#8X2" DECK SCREW ACQ TREAT 1C/BX</t>
  </si>
  <si>
    <t>15MI08TD25</t>
  </si>
  <si>
    <t>#8X2.5" DECK SCREW ACQ TREAT 1C/BX</t>
  </si>
  <si>
    <t>15MI08TD30</t>
  </si>
  <si>
    <t>#8X3" DECK SCREW ACQ TREAT 1C/BX</t>
  </si>
  <si>
    <t>15MI08ZD20</t>
  </si>
  <si>
    <t>#8X2" DECK SCREW YZ 1C/BX</t>
  </si>
  <si>
    <t>15MI08ZD25</t>
  </si>
  <si>
    <t>#8X2.5" DECK SCREW YZ 1C/BX</t>
  </si>
  <si>
    <t>15MI10TD35</t>
  </si>
  <si>
    <t>#10X3.5" DECK SCREW ACQ TREAT 1C/BX</t>
  </si>
  <si>
    <t>15MI6B2025</t>
  </si>
  <si>
    <t>BRAD 16GA 2.0" 2.5M</t>
  </si>
  <si>
    <t>15MI6B2525</t>
  </si>
  <si>
    <t>BRAD 16GA 2.5" 2.5M</t>
  </si>
  <si>
    <t>15MI8P156K</t>
  </si>
  <si>
    <t>SCREWS PH #8X1 1/2" 6.5M/BX</t>
  </si>
  <si>
    <t>15MI8P15AB</t>
  </si>
  <si>
    <t>SCREWS PH #8X1 1/2" ANT BROWN 1C/BX</t>
  </si>
  <si>
    <t>15MI8P15AW</t>
  </si>
  <si>
    <t>SCREWS PH #8X1 1/2" AMBERWOOD 1C/BX</t>
  </si>
  <si>
    <t>15MI8P15BE</t>
  </si>
  <si>
    <t>SCREWS PH #8X1 1/2" BEIGE 1C/BX</t>
  </si>
  <si>
    <t>15MI8P15BK</t>
  </si>
  <si>
    <t>SCREWS PH #8X1 1/2" BLACK 1C/BX</t>
  </si>
  <si>
    <t>15MI8P15BS</t>
  </si>
  <si>
    <t>SCREWS PH #8X1 1/2" BROWNSTON 1C/BX</t>
  </si>
  <si>
    <t>15MI8P15CA</t>
  </si>
  <si>
    <t>SCREWS PH #8X1 1/2" CACTUS 1C/BX</t>
  </si>
  <si>
    <t>15MI8P15CB</t>
  </si>
  <si>
    <t>SCREWS PH #8X1 1/2" CEDAR BRK 1C/BX</t>
  </si>
  <si>
    <t>15MI8P15CH</t>
  </si>
  <si>
    <t>SCREWS PH #8X1 1/2" CHARCOAL 1C/BX</t>
  </si>
  <si>
    <t>15MI8P15CL</t>
  </si>
  <si>
    <t>SCREWS PH #8X1 1/2" CLAY 1C/BX</t>
  </si>
  <si>
    <t>15MI8P15CM</t>
  </si>
  <si>
    <t>SCREWS PH #8X1 1/2" CASHMERE 1C/BX</t>
  </si>
  <si>
    <t>15MI8P15CN</t>
  </si>
  <si>
    <t>SCREWS PH #8X1 1/2" COM BROWN 1C/BX</t>
  </si>
  <si>
    <t>15MI8P15CO</t>
  </si>
  <si>
    <t>SCREWS PH #8X1 1/2" CHOCOLATE 1C/BX</t>
  </si>
  <si>
    <t>15MI8P15CS</t>
  </si>
  <si>
    <t>SCREWS PH #8X1 1/2" COBBLESTN 1C/BX</t>
  </si>
  <si>
    <t>15MI8P15GR</t>
  </si>
  <si>
    <t>SCREWS PH #8X1 1/2" GRANITE 1C/BX</t>
  </si>
  <si>
    <t>15MI8P15GY</t>
  </si>
  <si>
    <t>SCREWS PH #8X1 1/2" GREY 1C/BX</t>
  </si>
  <si>
    <t>15MI8P15HS</t>
  </si>
  <si>
    <t>SCREWS PH #8X1 1/2" HARVD SLT 1C/BX</t>
  </si>
  <si>
    <t>15MI8P15IS</t>
  </si>
  <si>
    <t>SCREWS PH #8X1 1/2" IRONSTONE 1C/BX</t>
  </si>
  <si>
    <t>15MI8P15LI</t>
  </si>
  <si>
    <t>SCREWS PH #8X1 1/2" LINEN 1C/BX</t>
  </si>
  <si>
    <t>15MI8P15PC</t>
  </si>
  <si>
    <t>SCREWS PH #8X1 1/2" PEB CLAY 1C/BX</t>
  </si>
  <si>
    <t>15MI8P15SA</t>
  </si>
  <si>
    <t>SCREWS PH #8X1 1/2" SAND 1C/BX</t>
  </si>
  <si>
    <t>15MI8P15SM</t>
  </si>
  <si>
    <t>SCREWS PH #8X1 1/2" SPAN MOSS 1C/BX</t>
  </si>
  <si>
    <t>15MI8P15UB</t>
  </si>
  <si>
    <t>SCREWS PH #8X1 1/2" UNIV BRWN 1C/BX</t>
  </si>
  <si>
    <t>15MI8P15W4</t>
  </si>
  <si>
    <t>SCREWS PH #8X1 1/2" WHITE 4C/BX</t>
  </si>
  <si>
    <t>15MI8P15WH</t>
  </si>
  <si>
    <t>SCREWS PH #8X1 1/2" WHITE 1C/BX</t>
  </si>
  <si>
    <t>15MI8P15WI</t>
  </si>
  <si>
    <t>SCREWS PH #8X1 1/2" WICKER 1C/BX</t>
  </si>
  <si>
    <t>15MI8P15ZI</t>
  </si>
  <si>
    <t>SCREWS PH #8X1 1/2" ZINC 1C/BX</t>
  </si>
  <si>
    <t>15MI8P9110</t>
  </si>
  <si>
    <t>Screws PH #8X9/16" 10M/Bx</t>
  </si>
  <si>
    <t>15MI916ABC</t>
  </si>
  <si>
    <t>SCREWS ZINC #8X9/16" ANT BRWN 1C/BX</t>
  </si>
  <si>
    <t>15MI916ABM</t>
  </si>
  <si>
    <t>SCREWS ZINC #8X9/16" ANT BRWN 1M/BX</t>
  </si>
  <si>
    <t>15MI916BEC</t>
  </si>
  <si>
    <t>SCREWS ZINC #8X9/16" BEIGE 1C/BX</t>
  </si>
  <si>
    <t>15MI916BEM</t>
  </si>
  <si>
    <t>SCREWS ZINC #8X9/16" BEIGE 1M/BX</t>
  </si>
  <si>
    <t>15MI916BKC</t>
  </si>
  <si>
    <t>SCREWS ZINC #8X9/16" BLACK 1C/BX</t>
  </si>
  <si>
    <t>15MI916BKM</t>
  </si>
  <si>
    <t>SCREWS ZINC #8X9/16" BLACK 1M/BX</t>
  </si>
  <si>
    <t>15MI916BKX</t>
  </si>
  <si>
    <t>SCREWS ZINC #8X9/16" BLACK 10M/BX</t>
  </si>
  <si>
    <t>15MI916BSC</t>
  </si>
  <si>
    <t>SCREWS ZINC #8X9/16" BROWNSTN 1C/BX</t>
  </si>
  <si>
    <t>15MI916BSM</t>
  </si>
  <si>
    <t>SCREWS ZINC #8X9/16" BROWNSTN 1M/BX</t>
  </si>
  <si>
    <t>15MI916CAC</t>
  </si>
  <si>
    <t>SCREWS ZINC #8X9/16" CACTUS 1C/BX</t>
  </si>
  <si>
    <t>15MI916CAM</t>
  </si>
  <si>
    <t>SCREWS ZINC #8X9/16" CACTUS 1M/BX</t>
  </si>
  <si>
    <t>15MI916CHC</t>
  </si>
  <si>
    <t>SCREWS ZINC #8X9/16" CHARCOAL 1C/BX</t>
  </si>
  <si>
    <t>15MI916CHM</t>
  </si>
  <si>
    <t>Screws Zinc #8x9/16" Charcoal 1M/Bx</t>
  </si>
  <si>
    <t>15MI916CLC</t>
  </si>
  <si>
    <t>SCREWS ZINC #8X9/16" CLAY 1C/BX</t>
  </si>
  <si>
    <t>15MI916CLM</t>
  </si>
  <si>
    <t>SCREWS ZINC #8X9/16" CLAY 1M/BX</t>
  </si>
  <si>
    <t>15MI916CMC</t>
  </si>
  <si>
    <t>SCREWS ZINC #8X9/16" CASHMERE 1C/BX</t>
  </si>
  <si>
    <t>15MI916CMM</t>
  </si>
  <si>
    <t>SCREWS ZINC #8X9/16" CASHMERE 1M/BX</t>
  </si>
  <si>
    <t>15MI916CNC</t>
  </si>
  <si>
    <t>SCREWS ZINC #8X9/16" COM BRWN 1C/BX</t>
  </si>
  <si>
    <t>15MI916CNM</t>
  </si>
  <si>
    <t>SCREWS ZINC #8X9/16" COM BRWN 1M/BX</t>
  </si>
  <si>
    <t>15MI916COC</t>
  </si>
  <si>
    <t>SCREWS ZINC #8X9/16" CHOCOLAT 1C/BX</t>
  </si>
  <si>
    <t>15MI916COM</t>
  </si>
  <si>
    <t>SCREWS ZINC #8X9/16" CHOCOLAT 1M/BX</t>
  </si>
  <si>
    <t>15MI916CSC</t>
  </si>
  <si>
    <t>SCREWS ZINC #8X9/16" COBBLEST 1C/BX</t>
  </si>
  <si>
    <t>15MI916CSM</t>
  </si>
  <si>
    <t>SCREWS ZINC #8X9/16" COBBLEST 1M/BX</t>
  </si>
  <si>
    <t>15MI916GRC</t>
  </si>
  <si>
    <t>SCREWS ZINC #8X9/16" GRANITE 1C/BX</t>
  </si>
  <si>
    <t>15MI916GRM</t>
  </si>
  <si>
    <t>SCREWS ZINC #8X9/16" GRANITE 1M/BX</t>
  </si>
  <si>
    <t>15MI916GYC</t>
  </si>
  <si>
    <t>SCREWS ZINC #8X9/16" GREY 1C/BX</t>
  </si>
  <si>
    <t>15MI916GYM</t>
  </si>
  <si>
    <t>SCREWS ZINC #8X9/16" GREY 1M/BX</t>
  </si>
  <si>
    <t>15MI916HSC</t>
  </si>
  <si>
    <t>SCREWS ZINC #8X9/16" HARV SLT 1C/BX</t>
  </si>
  <si>
    <t>15MI916HSM</t>
  </si>
  <si>
    <t>SCREWS ZINC #8X9/16" HARV SLT 1M/BX</t>
  </si>
  <si>
    <t>15MI916ISC</t>
  </si>
  <si>
    <t>SCREWS ZINC #8X9/16" IRONSTON 1C/BX</t>
  </si>
  <si>
    <t>15MI916ISM</t>
  </si>
  <si>
    <t>SCREWS ZINC #8X9/16" IRONSTON 1M/BX</t>
  </si>
  <si>
    <t>15MI916LIC</t>
  </si>
  <si>
    <t>SCREWS ZINC #8X9/16" LINEN 1C/BX</t>
  </si>
  <si>
    <t>15MI916LIM</t>
  </si>
  <si>
    <t>SCREWS ZINC #8X9/16" LINEN 1M/BX</t>
  </si>
  <si>
    <t>15MI916PCC</t>
  </si>
  <si>
    <t>SCREWS ZINC #8X9/16" PEB CLAY 1C/BX</t>
  </si>
  <si>
    <t>15MI916PCM</t>
  </si>
  <si>
    <t>SCREWS ZINC #8X9/16" PEB CLAY 1M/BX</t>
  </si>
  <si>
    <t>15MI916SAC</t>
  </si>
  <si>
    <t>SCREWS ZINC #8X9/16" SAND 1C/BX</t>
  </si>
  <si>
    <t>15MI916SAM</t>
  </si>
  <si>
    <t>SCREWS ZINC #8X9/16" SAND 1M/BX</t>
  </si>
  <si>
    <t>15MI916UBC</t>
  </si>
  <si>
    <t>SCREWS ZINC #8X9/16" UNI BRWN 1C/BX</t>
  </si>
  <si>
    <t>15MI916UBM</t>
  </si>
  <si>
    <t>SCREWS ZINC #8X9/16" UNI BRWN 1M/BX</t>
  </si>
  <si>
    <t>15MI916WHC</t>
  </si>
  <si>
    <t>SCREWS ZINC #8X9/16" WHITE 1C/BX</t>
  </si>
  <si>
    <t>15MI916WHM</t>
  </si>
  <si>
    <t>SCREWS ZINC #8X9/16" WHITE 1M/BX</t>
  </si>
  <si>
    <t>15MI916WHX</t>
  </si>
  <si>
    <t>SCREWS ZINC #8X9/16" WHITE 10M/BX</t>
  </si>
  <si>
    <t>15MI916WIC</t>
  </si>
  <si>
    <t>SCREWS ZINC #8X9/16" WICKER 1C/BX</t>
  </si>
  <si>
    <t>15MI916WIM</t>
  </si>
  <si>
    <t>SCREWS ZINC #8X9/16" WICKER 1M/BX</t>
  </si>
  <si>
    <t>15MI916ZIC</t>
  </si>
  <si>
    <t>SCREWS ZINC #8X9/16" ZINC 1C/BX</t>
  </si>
  <si>
    <t>15MI916ZIM</t>
  </si>
  <si>
    <t>SCREWS ZINC #8X9/16" ZINC 1M/BX</t>
  </si>
  <si>
    <t>15MIA11</t>
  </si>
  <si>
    <t>GENERIC A11 3/8"      STAPLE</t>
  </si>
  <si>
    <t>15MICN114</t>
  </si>
  <si>
    <t>GENERIC 1-1/4  COIL NAIL</t>
  </si>
  <si>
    <t>15MICN134</t>
  </si>
  <si>
    <t>GENERIC 1-3/4  COIL NAIL</t>
  </si>
  <si>
    <t>15MIDS25GY</t>
  </si>
  <si>
    <t>2-1/2" DECK SCREW GREY 100/BX</t>
  </si>
  <si>
    <t>15MIEG112</t>
  </si>
  <si>
    <t>GENERIC 1-1/2     EG NAILS   50#</t>
  </si>
  <si>
    <t>15MIEG2</t>
  </si>
  <si>
    <t>GENERIC 2            EG NAILS   50#</t>
  </si>
  <si>
    <t>15MIMRC142</t>
  </si>
  <si>
    <t>Metal Round Cap Nail 1-1/4" 25#</t>
  </si>
  <si>
    <t>15MIMRC143</t>
  </si>
  <si>
    <t>Metal Round Cap Nail 1-1/4"  3#</t>
  </si>
  <si>
    <t>15MIS15AP2</t>
  </si>
  <si>
    <t>#10 X 1-1/2" AGED PEWTER 250/BX</t>
  </si>
  <si>
    <t>15MIS15AP4</t>
  </si>
  <si>
    <t>#10 X 1-1/2" Aged Pewter 4000/Bx</t>
  </si>
  <si>
    <t>15MIS15AW2</t>
  </si>
  <si>
    <t>#10 X 1-1/2" ARCTIC WHITE 250/BX</t>
  </si>
  <si>
    <t>15MIS15AW3</t>
  </si>
  <si>
    <t>#10 X 1-1/2" Arctic White 3500/Bx</t>
  </si>
  <si>
    <t>15MIS15AW4</t>
  </si>
  <si>
    <t>#10 X 1-1/2" Arctic White 4000/Bx</t>
  </si>
  <si>
    <t>15MIS15BB2</t>
  </si>
  <si>
    <t>#10 X 1-1/2" BOOTHBAY BLUE 250/BX</t>
  </si>
  <si>
    <t>15MIS15BB4</t>
  </si>
  <si>
    <t>#10 X 1-1/2" Boothbay Blue 4000/Bx</t>
  </si>
  <si>
    <t>15MIS15CB2</t>
  </si>
  <si>
    <t>#10 X 1-1/2" CHESTNUT BROWN 250/BX</t>
  </si>
  <si>
    <t>15MIS15CB4</t>
  </si>
  <si>
    <t>#10 X 1-1/2" Chestnut Brown 4000/Bx</t>
  </si>
  <si>
    <t>15MIS15CR2</t>
  </si>
  <si>
    <t>#10 X 1-1/2" COUNTRYLANE RED 250/BX</t>
  </si>
  <si>
    <t>15MIS15CR4</t>
  </si>
  <si>
    <t>#10 X 1-1/2" Countrylane Rd 4000/Bx</t>
  </si>
  <si>
    <t>15MIS15CS2</t>
  </si>
  <si>
    <t>#10 X 1-1/2" Cobblestone 250/Bx</t>
  </si>
  <si>
    <t>15MIS15CS4</t>
  </si>
  <si>
    <t>#10 X 1-1/2" Cobblestone 4000/Bx</t>
  </si>
  <si>
    <t>15MIS15DO2</t>
  </si>
  <si>
    <t>#10 X 1-1/2" DEEP OCEAN 250/BX</t>
  </si>
  <si>
    <t>15MIS15DO4</t>
  </si>
  <si>
    <t>#10 X 1-1/2" Deep Ocean 4000/Bx</t>
  </si>
  <si>
    <t>15MIS15EB2</t>
  </si>
  <si>
    <t>#10 X 1-1/2" EVENING BLUE 250/BX</t>
  </si>
  <si>
    <t>15MIS15EB4</t>
  </si>
  <si>
    <t>#10 X 1-1/2" Evening Blue 4000/Bx</t>
  </si>
  <si>
    <t>15MIS15GS2</t>
  </si>
  <si>
    <t>#10 X 1-1/2" GRAY SLATE 250/BX</t>
  </si>
  <si>
    <t>15MIS15GS4</t>
  </si>
  <si>
    <t>#10 X 1-1/2" Gray Slate 4000/Bx</t>
  </si>
  <si>
    <t>15MIS15HM2</t>
  </si>
  <si>
    <t>#10 X 1-1/2" HEATHERED MOSS 250/BX</t>
  </si>
  <si>
    <t>15MIS15HM4</t>
  </si>
  <si>
    <t>#10 X 1-1/2" Heathered Moss 4000/Bx</t>
  </si>
  <si>
    <t>15MIS15IG2</t>
  </si>
  <si>
    <t>#10 X 1-1/2" Iron Gray 250/Bx</t>
  </si>
  <si>
    <t>15MIS15IG4</t>
  </si>
  <si>
    <t>#10 X 1-1/2" Iron Gray 4000/Bx</t>
  </si>
  <si>
    <t>15MIS15KB2</t>
  </si>
  <si>
    <t>#10 X 1-1/2" KHAKI BROWN 250/BX</t>
  </si>
  <si>
    <t>15MIS15KB4</t>
  </si>
  <si>
    <t>#10 X 1-1/2" Khaki 4000/Bx</t>
  </si>
  <si>
    <t>15MIS15LM2</t>
  </si>
  <si>
    <t>#10 X 1-1/2" Light Mist 250/Bx</t>
  </si>
  <si>
    <t>15MIS15LM4</t>
  </si>
  <si>
    <t>#10 X 1-1/2" Light Mist 4000/Bx</t>
  </si>
  <si>
    <t>15MIS15MK2</t>
  </si>
  <si>
    <t>#10 X 1-1/2" Midnight Black 250/Bx</t>
  </si>
  <si>
    <t>15MIS15MK4</t>
  </si>
  <si>
    <t>#10 X 1-1/2" Midnight Black 4000/Bx</t>
  </si>
  <si>
    <t>15MIS15MS2</t>
  </si>
  <si>
    <t>#10 X 1-1/2" MOUNTAIN SAGE 250/BX</t>
  </si>
  <si>
    <t>15MIS15MS4</t>
  </si>
  <si>
    <t>#10 X 1-1/2" Mountain Sage 4000/Bx</t>
  </si>
  <si>
    <t>15MIS15MT2</t>
  </si>
  <si>
    <t>#10 X 1-1/2" MONTEREY TAUPE 250/BX</t>
  </si>
  <si>
    <t>15MIS15MT4</t>
  </si>
  <si>
    <t>#10 X 1-1/2" Monterey Taupe 4000/Bx</t>
  </si>
  <si>
    <t>15MIS15NB2</t>
  </si>
  <si>
    <t>#10 X 1-1/2" NAVAJO BEIGE 250/BX</t>
  </si>
  <si>
    <t>15MIS15NB4</t>
  </si>
  <si>
    <t>#10 X 1-1/2" Navajo Beige 4000/Bx</t>
  </si>
  <si>
    <t>15MIS15NG2</t>
  </si>
  <si>
    <t>#10 X 1-1/2" NIGHT GRAY 250/BX</t>
  </si>
  <si>
    <t>15MIS15NG4</t>
  </si>
  <si>
    <t>#10 X 1-1/2" Night Gray 4000/Bx</t>
  </si>
  <si>
    <t>15MIS15PG2</t>
  </si>
  <si>
    <t>#10 X 1-1/2" PEARL GRAY 250/BX</t>
  </si>
  <si>
    <t>15MIS15PG4</t>
  </si>
  <si>
    <t>#10 X 1-1/2" Pearl Gray 4000/Bx</t>
  </si>
  <si>
    <t>15MIS15RE2</t>
  </si>
  <si>
    <t>#10 X 1-1/2" RICH ESPRESSO 250/BX</t>
  </si>
  <si>
    <t>15MIS15RE4</t>
  </si>
  <si>
    <t>#10 X 1-1/2" Rich Espresso 4000/Bx</t>
  </si>
  <si>
    <t>15MIS15S2</t>
  </si>
  <si>
    <t>#10 X 1-1/2" STAINLESS STEEL 250/BX</t>
  </si>
  <si>
    <t>15MIS15SB4</t>
  </si>
  <si>
    <t>#10 X 1-1/2" Sandstone Beig 4000/Bx</t>
  </si>
  <si>
    <t>15MIS15TB2</t>
  </si>
  <si>
    <t>#10 X 1-1/2" TIMBER BARK 250/BX</t>
  </si>
  <si>
    <t>15MIS15TB4</t>
  </si>
  <si>
    <t>#10 X 1-1/2" Timber Bark 4000/Bx</t>
  </si>
  <si>
    <t>15MIS15TR2</t>
  </si>
  <si>
    <t>#10 X 1-1/2" Traditional Red 250/Bx</t>
  </si>
  <si>
    <t>15MIS15TR4</t>
  </si>
  <si>
    <t>#10 X 1-1/2" Traditional Rd 4000/Bx</t>
  </si>
  <si>
    <t>15MIS15WB2</t>
  </si>
  <si>
    <t>#10 X 1-1/2" WOODSTOCK BRWN 250/BX</t>
  </si>
  <si>
    <t>15MIS15WB4</t>
  </si>
  <si>
    <t>#10 X 1-1/2" Woodstock Brwn 4000/Bx</t>
  </si>
  <si>
    <t>15PFHT14</t>
  </si>
  <si>
    <t>PRIME FAST HAM TACK A11 1/4" STAPLE</t>
  </si>
  <si>
    <t>15PFSI1810</t>
  </si>
  <si>
    <t>PRIME FAST GSI 18 STAPLE 1" 5M/BX</t>
  </si>
  <si>
    <t>15PFSI1812</t>
  </si>
  <si>
    <t>PRIME FAST GSI 18 STPL 1 1/4" 5M/BX</t>
  </si>
  <si>
    <t>15PFSI1834</t>
  </si>
  <si>
    <t>PRIME FAST GSI 18 STAPLE 3/4" 5M/BX</t>
  </si>
  <si>
    <t>15S10W15BC</t>
  </si>
  <si>
    <t>WOODGRIP #10X1 1/2" BLK COFF 500/BG</t>
  </si>
  <si>
    <t>15S10W15BK</t>
  </si>
  <si>
    <t>WOODGRIP #10X1 1/2" BLACK 500/BG</t>
  </si>
  <si>
    <t>15S10W15BO</t>
  </si>
  <si>
    <t>WOODGRIP #10X1 1/2" BONE WHT 500/BG</t>
  </si>
  <si>
    <t>15S10W15BR</t>
  </si>
  <si>
    <t>WOODGRIP #10X1 1/2" BRITE RD 500/BG</t>
  </si>
  <si>
    <t>15S10W15BW</t>
  </si>
  <si>
    <t>WOODGRIP #10X1 1/2" BRITE WH 500/BG</t>
  </si>
  <si>
    <t>15S10W15CH</t>
  </si>
  <si>
    <t>WOODGRIP #10X1 1/2" CHARCOAL 500/BG</t>
  </si>
  <si>
    <t>15S10W15DB</t>
  </si>
  <si>
    <t>WOODGRIP #10X1 1/2" DK BROWN 500/BG</t>
  </si>
  <si>
    <t>15S10W15DR</t>
  </si>
  <si>
    <t>WOODGRIP #10X1 1/2" DARK RED 500/BG</t>
  </si>
  <si>
    <t>15S10W15GL</t>
  </si>
  <si>
    <t>WOODGRIP #10X1 1/2" GALVALUM 500/BG</t>
  </si>
  <si>
    <t>15S10W15HB</t>
  </si>
  <si>
    <t>WOODGRIP #10X1 1/2" HERON BL 500/BG</t>
  </si>
  <si>
    <t>15S10W15MB</t>
  </si>
  <si>
    <t>WOODGRIP #10X1 1/2" METROBRN 500/BG</t>
  </si>
  <si>
    <t>15S10W15MG</t>
  </si>
  <si>
    <t>WOODGRIP #10X1 1/2" MELCH GN 500/BG</t>
  </si>
  <si>
    <t>15S10W15RG</t>
  </si>
  <si>
    <t>WOODGRIP #10X1 1/2" REGENTGY 500/BG</t>
  </si>
  <si>
    <t>15S10W15TN</t>
  </si>
  <si>
    <t>WOODGRIP #10X1 1/2" TAN 500/BG</t>
  </si>
  <si>
    <t>15S10W15WH</t>
  </si>
  <si>
    <t>WOODGRIP #10X1 1/2" WHITE 500/BG</t>
  </si>
  <si>
    <t>15S14W14BK</t>
  </si>
  <si>
    <t>WOODGRIP #14X1 1/4" BLACK 500/BG</t>
  </si>
  <si>
    <t>15S14W14BO</t>
  </si>
  <si>
    <t>WOODGRIP #14X1 1/4" BONE WHT 500/BG</t>
  </si>
  <si>
    <t>15S14W14BR</t>
  </si>
  <si>
    <t>WOODGRIP #14X1 1/4" BRITE RD 500/BG</t>
  </si>
  <si>
    <t>15S14W14BW</t>
  </si>
  <si>
    <t>WOODGRIP #14X1 1/4" BRITE WH 500/BG</t>
  </si>
  <si>
    <t>15S14W14CB</t>
  </si>
  <si>
    <t>WOODGRIP #14X1 1/4" COFF BRN 500/BG</t>
  </si>
  <si>
    <t>15S14W14DB</t>
  </si>
  <si>
    <t>WOODGRIP #14X1 1/4" DK BROWN 500/BG</t>
  </si>
  <si>
    <t>15S14W14GA</t>
  </si>
  <si>
    <t>WOODGRIP #14X1 1/4" GALVANIZ 500/BG</t>
  </si>
  <si>
    <t>15S14W14HB</t>
  </si>
  <si>
    <t>WOODGRIP #14X1 1/4" HERON BL 500/BG</t>
  </si>
  <si>
    <t>15S14W14MB</t>
  </si>
  <si>
    <t>WOODGRIP #14X1 1/4" METROBRN 500/BG</t>
  </si>
  <si>
    <t>15S14W14RG</t>
  </si>
  <si>
    <t>WOODGRIP #14X1 1/4" REGENTGY 500/BG</t>
  </si>
  <si>
    <t>15S14W14WH</t>
  </si>
  <si>
    <t>WOODGRIP #14X1 1/4" WHITE 500/BG</t>
  </si>
  <si>
    <t>1625701010</t>
  </si>
  <si>
    <t>SAWHORSE FOLD DOWN 31" #3003</t>
  </si>
  <si>
    <t>PR</t>
  </si>
  <si>
    <t>1770902374</t>
  </si>
  <si>
    <t>Stapler Narrow Crown 1/4" #N3804AB3</t>
  </si>
  <si>
    <t>1770902414</t>
  </si>
  <si>
    <t>2-1/2" 16 GA Finish Nailer #NT65M2S</t>
  </si>
  <si>
    <t>1770902418</t>
  </si>
  <si>
    <t>Coil Roofing Nailer        #NV45AB2</t>
  </si>
  <si>
    <t>17EC000140</t>
  </si>
  <si>
    <t>Ecco Flared Base Only</t>
  </si>
  <si>
    <t>17EC130301</t>
  </si>
  <si>
    <t>Ecco Pipe Jack Round Flared Base Galv</t>
  </si>
  <si>
    <t>17EC130626</t>
  </si>
  <si>
    <t>Ecco Roof Jack No Base #00143</t>
  </si>
  <si>
    <t>17EC130627</t>
  </si>
  <si>
    <t>Ecco Short Cone</t>
  </si>
  <si>
    <t>17EC200406</t>
  </si>
  <si>
    <t>ECCO 4" B-VENT RAIN CAP</t>
  </si>
  <si>
    <t>17EC200407</t>
  </si>
  <si>
    <t>ECCO 4" B-VENT STORM COLLAR</t>
  </si>
  <si>
    <t>17EC200408</t>
  </si>
  <si>
    <t>ECCO 4" ADJ FLASH B-VENT 1/12-7/12</t>
  </si>
  <si>
    <t>17EC210506</t>
  </si>
  <si>
    <t>ECCO 5" B-VENT RAIN CAP</t>
  </si>
  <si>
    <t>17EC210507</t>
  </si>
  <si>
    <t>ECCO 5" B-VENT STORM COLLAR</t>
  </si>
  <si>
    <t>17EC210508</t>
  </si>
  <si>
    <t>ECCO 5" ADJ FLASH B-VENT 1/12-7/12</t>
  </si>
  <si>
    <t>17EC210606</t>
  </si>
  <si>
    <t>ECCO 6" B-VENT RAIN CAP</t>
  </si>
  <si>
    <t>17EC210607</t>
  </si>
  <si>
    <t>ECCO 6" B-VENT STORM COLLAR</t>
  </si>
  <si>
    <t>17EC210608</t>
  </si>
  <si>
    <t>ECCO 6" B-VENT 1-7/12</t>
  </si>
  <si>
    <t>17EC220706</t>
  </si>
  <si>
    <t>ECCO 7" B-VENT RAIN CAP</t>
  </si>
  <si>
    <t>17EC220707</t>
  </si>
  <si>
    <t>ECCO 7" B-VENT STORM COLLAR</t>
  </si>
  <si>
    <t>17EC220708</t>
  </si>
  <si>
    <t>ECCO 7" ADJ FLASH B-VENT 1/12-7/12</t>
  </si>
  <si>
    <t>17EC220806</t>
  </si>
  <si>
    <t>ECCO 8" B-VENT RAIN CAP</t>
  </si>
  <si>
    <t>17EC220807</t>
  </si>
  <si>
    <t>ECCO 8" B-VENT STORM COLLAR</t>
  </si>
  <si>
    <t>17EC220808</t>
  </si>
  <si>
    <t>ECCO 8" ADJ FLASH B-VENT 1/12-7/12</t>
  </si>
  <si>
    <t>17EC231007</t>
  </si>
  <si>
    <t>ECCO 10" B-VENT STORM COLLAR</t>
  </si>
  <si>
    <t>17EC231008</t>
  </si>
  <si>
    <t>ECCO 10" ADJ FLASH B-VENT 1/12-7/12</t>
  </si>
  <si>
    <t>17ECRC10</t>
  </si>
  <si>
    <t>ECCO 10" B-VENT RAIN CAP</t>
  </si>
  <si>
    <t>17GACSCA</t>
  </si>
  <si>
    <t>GAF 12" Cobra Snow Country 4' Adv</t>
  </si>
  <si>
    <t>17GACSCA9</t>
  </si>
  <si>
    <t>GAF 9" COBRA SNOW COUNTRY 4' ADV</t>
  </si>
  <si>
    <t>17GART65BL</t>
  </si>
  <si>
    <t>GAF RT-65 Roof Louver Black</t>
  </si>
  <si>
    <t>17GART65BR</t>
  </si>
  <si>
    <t>GAF RT-65 Roof Louver Brown</t>
  </si>
  <si>
    <t>17GART65GR</t>
  </si>
  <si>
    <t>GAF RT-65 Roof Louver Gray</t>
  </si>
  <si>
    <t>17LO105BK</t>
  </si>
  <si>
    <t>LOMANCO 105 UNDER EAVE VENT BLACK</t>
  </si>
  <si>
    <t>17LO105BR</t>
  </si>
  <si>
    <t>LOMANCO 105 UNDER EAVE VENT BROWN</t>
  </si>
  <si>
    <t>17LO105ML</t>
  </si>
  <si>
    <t>LOMANCO 105 UNDER EAVE VENT MILL</t>
  </si>
  <si>
    <t>17LO105WH</t>
  </si>
  <si>
    <t>LOMANCO 105 UNDER EAVE VENT WHITE</t>
  </si>
  <si>
    <t>17LODA4VNT</t>
  </si>
  <si>
    <t>LOMANCO DA-4 DECK-AIR INTAKE VENT</t>
  </si>
  <si>
    <t>17LOLOR30G</t>
  </si>
  <si>
    <t>LOMANCO LOR30 LO OMNI ROLL GUNABLE</t>
  </si>
  <si>
    <t>17LOOR94OV</t>
  </si>
  <si>
    <t>LOMANCO LOR9-4 9" OMNI RDGE VENT 4'</t>
  </si>
  <si>
    <t>17MIC4ABS</t>
  </si>
  <si>
    <t>4" ABS PIPE</t>
  </si>
  <si>
    <t>17MICRS400</t>
  </si>
  <si>
    <t>CORAVENT S400 STRIP VENT</t>
  </si>
  <si>
    <t>17MICRSV3</t>
  </si>
  <si>
    <t>Coravent Siding 24-4' Pcs Blk #SV-3</t>
  </si>
  <si>
    <t>17MID6050B</t>
  </si>
  <si>
    <t>DURAFLO 6050 SQR TOP VENT BLACK</t>
  </si>
  <si>
    <t>17MID6050G</t>
  </si>
  <si>
    <t>Duraflo 6050 Sqr Top Vent Grey</t>
  </si>
  <si>
    <t>17MID6050R</t>
  </si>
  <si>
    <t>DURAFLO 6050 SQR TOP VENT BROWN</t>
  </si>
  <si>
    <t>17MID6050W</t>
  </si>
  <si>
    <t>DURAFLO 6050 SQR TOP VENT WEATHERWD</t>
  </si>
  <si>
    <t>17MIDPV3BK</t>
  </si>
  <si>
    <t>DURAFLO WP PROVENTILATOR 3-TIER BLK</t>
  </si>
  <si>
    <t>17MIDPV3BR</t>
  </si>
  <si>
    <t>DURAFLO WP PROVENTILATOR 3-TIER BRN</t>
  </si>
  <si>
    <t>17MIDR10MM</t>
  </si>
  <si>
    <t>DRIWALL RAINSCREEN 48"X45'    #10MM</t>
  </si>
  <si>
    <t>17MIDW50BK</t>
  </si>
  <si>
    <t>DURAFLO WEATHERPRO 50 BLACK</t>
  </si>
  <si>
    <t>17MIDW50BR</t>
  </si>
  <si>
    <t>DURAFLO WEATHERPRO 50 BROWN</t>
  </si>
  <si>
    <t>17MIDW50GR</t>
  </si>
  <si>
    <t>DURAFLO WEATHERPRO 50 GREY</t>
  </si>
  <si>
    <t>17MIDW50WW</t>
  </si>
  <si>
    <t>DURAFLO WEATHERPRO 50 WEATHERWOOD</t>
  </si>
  <si>
    <t>17MIDW75WW</t>
  </si>
  <si>
    <t>Duraflo Weatherpro 75 Weatherwood</t>
  </si>
  <si>
    <t>17MIDWPPBK</t>
  </si>
  <si>
    <t>Duraflo Weatherpro Proturbo Black</t>
  </si>
  <si>
    <t>17MIDWPPBR</t>
  </si>
  <si>
    <t>Duraflo Weatherpro Proturbo Brown</t>
  </si>
  <si>
    <t>17MIDWPPGR</t>
  </si>
  <si>
    <t>Duraflo Weatherpro Proturbo Grey</t>
  </si>
  <si>
    <t>17MIDWPPWW</t>
  </si>
  <si>
    <t>Duraflo Weatherpro Proturbo Wthrwod</t>
  </si>
  <si>
    <t>17MIDWPRBK</t>
  </si>
  <si>
    <t>Duraflo Weatherpro Ridge Sol Black</t>
  </si>
  <si>
    <t>17MIDWSBBK</t>
  </si>
  <si>
    <t>Duraflo Weatherpro Slantback Black</t>
  </si>
  <si>
    <t>17MIDWSBBR</t>
  </si>
  <si>
    <t>Duraflo Weatherpro Slantback Brown</t>
  </si>
  <si>
    <t>17MIDWSBGR</t>
  </si>
  <si>
    <t>Duraflo Weatherpro Slantback Gray</t>
  </si>
  <si>
    <t>17MIDWSBWW</t>
  </si>
  <si>
    <t>Duraflo Weatherpro Slantback Wwood</t>
  </si>
  <si>
    <t>17MIEA101B</t>
  </si>
  <si>
    <t>Aztec #1 Ext Angle MF Black EA101BA</t>
  </si>
  <si>
    <t>17MIPC4LB</t>
  </si>
  <si>
    <t>PIPE COLLAR 4" LEAD BASE</t>
  </si>
  <si>
    <t>17MIVM101B</t>
  </si>
  <si>
    <t>Vent Max Flat Roof Vent Black #101</t>
  </si>
  <si>
    <t>17MIVM201B</t>
  </si>
  <si>
    <t>Vent Max Flat Roof Vent Black #201</t>
  </si>
  <si>
    <t>17MIVM301B</t>
  </si>
  <si>
    <t>Vent Max Slope Roof Vent Black #301</t>
  </si>
  <si>
    <t>17MIVM301N</t>
  </si>
  <si>
    <t>Vent Max Slope Roof Vent Brown #301</t>
  </si>
  <si>
    <t>17MIVM301Y</t>
  </si>
  <si>
    <t>Vent Max Slope Roof Vent Grey #301</t>
  </si>
  <si>
    <t>17MIVM303B</t>
  </si>
  <si>
    <t>Vent Max Slope Roof Vent Black #303</t>
  </si>
  <si>
    <t>17MIVM303C</t>
  </si>
  <si>
    <t>Vent Max Slope Roof Vent Charc #303</t>
  </si>
  <si>
    <t>17MIVM303N</t>
  </si>
  <si>
    <t>Vent Max Slope Roof Vent Brown #303</t>
  </si>
  <si>
    <t>17MIVM303Y</t>
  </si>
  <si>
    <t>Vent Max Slope Roof Vent Grey #303</t>
  </si>
  <si>
    <t>17PVRV284</t>
  </si>
  <si>
    <t>PRIMEX GOOSENECK ADAPTER 4" #RV28-4</t>
  </si>
  <si>
    <t>17PVRV286</t>
  </si>
  <si>
    <t>PRIMEX GOOSENECK ADAPTER 6" #RV28-6</t>
  </si>
  <si>
    <t>17PVRV288</t>
  </si>
  <si>
    <t>PRIMEX GOOSENECK ADAPTER 8" #RV28-8</t>
  </si>
  <si>
    <t>17PVRV28BK</t>
  </si>
  <si>
    <t>PRIMEX GOOSENECK VENT BLACK #RV2825</t>
  </si>
  <si>
    <t>17PVRV28DB</t>
  </si>
  <si>
    <t>PRIMEX GOOSENECK VENT DKBRN #RV2868</t>
  </si>
  <si>
    <t>17PVRV28LG</t>
  </si>
  <si>
    <t>PRIMEX GOOSENECK VENT LTGRY #RV2831</t>
  </si>
  <si>
    <t>17PVRV28WW</t>
  </si>
  <si>
    <t>PRIMEX GOOSENECK VENT WWOOD #RV2828</t>
  </si>
  <si>
    <t>17VMAT1BK</t>
  </si>
  <si>
    <t>VENT MAX AT1 RECT ROOF INTAKE BLACK</t>
  </si>
  <si>
    <t>17VMAT1BR</t>
  </si>
  <si>
    <t>VENT MAX AT1 RECT ROOF INTAKE BROWN</t>
  </si>
  <si>
    <t>17VMCT4NBK</t>
  </si>
  <si>
    <t>VENT MAX RF EXH VENT CAP CT-4-N BLK</t>
  </si>
  <si>
    <t>17VMCT4NCH</t>
  </si>
  <si>
    <t>Vent Max Rf Exh Vent Cap CT-4-N Cha</t>
  </si>
  <si>
    <t>18MIF122CL</t>
  </si>
  <si>
    <t>CHEM-LINK F1202CL SNOWSHOE CLR 24/B</t>
  </si>
  <si>
    <t>18MIF122SM</t>
  </si>
  <si>
    <t>CHEM-LINK F1202SM SNOWSHOE SMK 24/B</t>
  </si>
  <si>
    <t>21RGC4DWH</t>
  </si>
  <si>
    <t>RG Crest D4 DL White RCD4D</t>
  </si>
  <si>
    <t>PNL</t>
  </si>
  <si>
    <t>22RGED45CC</t>
  </si>
  <si>
    <t>RG ESTATE D4.5 DL COCOA     ESTD45D</t>
  </si>
  <si>
    <t>22RGED45GR</t>
  </si>
  <si>
    <t>RG ESTATE D4.5 DL GRANITE   ESTD45D</t>
  </si>
  <si>
    <t>22RGED45HB</t>
  </si>
  <si>
    <t>RG ESTATE D4.5 DL HERT BLUE ESTD45D</t>
  </si>
  <si>
    <t>22RGED45IS</t>
  </si>
  <si>
    <t>RG ESTATE D4.5 DL IRONSTN   ESTD45D</t>
  </si>
  <si>
    <t>22RGED45MA</t>
  </si>
  <si>
    <t>RG ESTATE D4.5 DL MARINE BL ESTD45D</t>
  </si>
  <si>
    <t>22RGED45MS</t>
  </si>
  <si>
    <t>RG ESTATE D4.5 DL MIDNT SRF ESTD45D</t>
  </si>
  <si>
    <t>22RGED45RI</t>
  </si>
  <si>
    <t>RG ESTATE D4.5 DL RIVERWAY  ESTD45D</t>
  </si>
  <si>
    <t>22RGED45RS</t>
  </si>
  <si>
    <t>RG ESTATE D4.5 DL ROCKSLIDE ESTD45D</t>
  </si>
  <si>
    <t>22RGED45RW</t>
  </si>
  <si>
    <t>RG ESTATE D4.5 DL REDWOOD   ESTD45D</t>
  </si>
  <si>
    <t>22RGED45SB</t>
  </si>
  <si>
    <t>RG ESTATE D4.5 DL SABLE     ESTD45D</t>
  </si>
  <si>
    <t>22RGED45SH</t>
  </si>
  <si>
    <t>RG ESTATE D4.5 DL SHAMROCK  ESTD45D</t>
  </si>
  <si>
    <t>22RGED45SI</t>
  </si>
  <si>
    <t>RG ESTATE D4.5 DL SLVR MIST ESTD45D</t>
  </si>
  <si>
    <t>22RGED45SO</t>
  </si>
  <si>
    <t>RG ESTATE D4.5 DL STORM     ESTD45D</t>
  </si>
  <si>
    <t>22RGED45TA</t>
  </si>
  <si>
    <t>RG ESTATE D4.5 DL TSTD ALMD ESTD45D</t>
  </si>
  <si>
    <t>22RGED45TM</t>
  </si>
  <si>
    <t>RG ESTATE D4.5 DL TREE MOSS ESTD45D</t>
  </si>
  <si>
    <t>22RGED45UB</t>
  </si>
  <si>
    <t>RG ESTATE D4.5 DL URBAN BRZ ESTD45D</t>
  </si>
  <si>
    <t>22RGED45WA</t>
  </si>
  <si>
    <t>RG ESTATE D4.5 DL WALNUT    ESTD45D</t>
  </si>
  <si>
    <t>22RGED45WG</t>
  </si>
  <si>
    <t>RG ESTATE D4.5 DL WEATH GRY ESTD45D</t>
  </si>
  <si>
    <t>22RGED45WW</t>
  </si>
  <si>
    <t>RG ESTATE D4.5 DL WEDGEWD   ESTD45D</t>
  </si>
  <si>
    <t>22RGED4CC</t>
  </si>
  <si>
    <t>RG ESTATE D4 COCOA ESTD4</t>
  </si>
  <si>
    <t>22RGED4GR</t>
  </si>
  <si>
    <t>RG ESTATE D4 GRANITE          ESTD4</t>
  </si>
  <si>
    <t>22RGED4HB</t>
  </si>
  <si>
    <t>RG ESTATE D4 HERITAGE BLUE    ESTD4</t>
  </si>
  <si>
    <t>22RGED4IS</t>
  </si>
  <si>
    <t>RG ESTATE D4 IRONSTONE        ESTD4</t>
  </si>
  <si>
    <t>22RGED4MA</t>
  </si>
  <si>
    <t>RG ESTATE D4 MARINE BLUE      ESTD4</t>
  </si>
  <si>
    <t>22RGED4MS</t>
  </si>
  <si>
    <t>RG ESTATE D4 MIDNIGHT SURF    ESTD4</t>
  </si>
  <si>
    <t>22RGED4RI</t>
  </si>
  <si>
    <t>RG ESTATE D4 RIVERWAY         ESTD4</t>
  </si>
  <si>
    <t>22RGED4RS</t>
  </si>
  <si>
    <t>RG ESTATE D4 ROCKSLIDE        ESTD4</t>
  </si>
  <si>
    <t>22RGED4RW</t>
  </si>
  <si>
    <t>RG ESTATE D4 REDWOOD          ESTD4</t>
  </si>
  <si>
    <t>22RGED4SB</t>
  </si>
  <si>
    <t>RG ESTATE D4 SABLE            ESTD4</t>
  </si>
  <si>
    <t>22RGED4SH</t>
  </si>
  <si>
    <t>RG ESTATE D4 SHAMROCK         ESTD4</t>
  </si>
  <si>
    <t>22RGED4SI</t>
  </si>
  <si>
    <t>RG ESTATE D4 SILVER MIST      ESTD4</t>
  </si>
  <si>
    <t>22RGED4SO</t>
  </si>
  <si>
    <t>RG ESTATE D4 STORM            ESTD4</t>
  </si>
  <si>
    <t>22RGED4TA</t>
  </si>
  <si>
    <t>RG ESTATE D4 TOASTED ALMOND   ESTD4</t>
  </si>
  <si>
    <t>22RGED4TM</t>
  </si>
  <si>
    <t>RG ESTATE D4 TREE MOSS        ESTD4</t>
  </si>
  <si>
    <t>22RGED4UB</t>
  </si>
  <si>
    <t>RG ESTATE D4 URBAN BRONZE     ESTD4</t>
  </si>
  <si>
    <t>22RGED4WA</t>
  </si>
  <si>
    <t>RG ESTATE D4 WALNUT ESTD4</t>
  </si>
  <si>
    <t>22RGED4WG</t>
  </si>
  <si>
    <t>RG ESTATE D4 WEATHERED GRAY   ESTD4</t>
  </si>
  <si>
    <t>22RGED4WW</t>
  </si>
  <si>
    <t>RG ESTATE D4 WEDGEWOOD        ESTD4</t>
  </si>
  <si>
    <t>22RGR45DBG</t>
  </si>
  <si>
    <t>RG RESIDENT D4.5 DL BLUE GRY RED45D</t>
  </si>
  <si>
    <t>22RGR45DBS</t>
  </si>
  <si>
    <t>RG RESIDENT D4.5 DL BROWNSTN RED45D</t>
  </si>
  <si>
    <t>22RGR45DCY</t>
  </si>
  <si>
    <t>RG RESIDENT D4.5 DL CYPRESS  RED45D</t>
  </si>
  <si>
    <t>22RGR45DEG</t>
  </si>
  <si>
    <t>RG Resident D4.5 DL Estate Gray   RED45D</t>
  </si>
  <si>
    <t>22RGR45DFS</t>
  </si>
  <si>
    <t>RG RESIDENT D4.5 DL FLAGSTNE RED45D</t>
  </si>
  <si>
    <t>22RGR45DGY</t>
  </si>
  <si>
    <t>RG RESIDENT D4.5 DL GRAY     RED45D</t>
  </si>
  <si>
    <t>22RGR45DHE</t>
  </si>
  <si>
    <t>RG RESIDENT D4.5 DL HEATHER  RED45D</t>
  </si>
  <si>
    <t>22RGR45DHS</t>
  </si>
  <si>
    <t>RG RESIDENT D4.5 DL HARVARD  RED45D</t>
  </si>
  <si>
    <t>22RGR45DLI</t>
  </si>
  <si>
    <t>RG RESIDENT D4.5 DL LINEN    RED45D</t>
  </si>
  <si>
    <t>22RGR45DPC</t>
  </si>
  <si>
    <t>RG RESIDENT D4.5 DL PEB CLAY RED45D</t>
  </si>
  <si>
    <t>22RGR45DSD</t>
  </si>
  <si>
    <t>RG RESIDENT D4.5 DL SAND     RED45D</t>
  </si>
  <si>
    <t>22RGR45DST</t>
  </si>
  <si>
    <t>RG RESIDENT D4.5 DL STERLING RED45D</t>
  </si>
  <si>
    <t>22RGR45DVC</t>
  </si>
  <si>
    <t>RG RESIDENT D4.5 DL V CREAM  RED45D</t>
  </si>
  <si>
    <t>22RGR45DWH</t>
  </si>
  <si>
    <t>RG RESIDENT D4.5 DL WHITE    RED45D</t>
  </si>
  <si>
    <t>22RGR45DWI</t>
  </si>
  <si>
    <t>RG RESIDENT D4.5 DL WICKER   RED45D</t>
  </si>
  <si>
    <t>22RGRD45BG</t>
  </si>
  <si>
    <t>RG Resident D4.5 TR Blue Gray RED45</t>
  </si>
  <si>
    <t>22RGRD45BGZZ</t>
  </si>
  <si>
    <t>22RGRD45BS</t>
  </si>
  <si>
    <t>RG Resident D4.5 TR Brownstne RED45</t>
  </si>
  <si>
    <t>22RGRD45CY</t>
  </si>
  <si>
    <t>RG Resident D4.5 TR Cypress RED45</t>
  </si>
  <si>
    <t>22RGRD45CYZZ</t>
  </si>
  <si>
    <t>22RGRD45EG</t>
  </si>
  <si>
    <t>RG Resident D4.5 TR Estate Grey RED45</t>
  </si>
  <si>
    <t>22RGRD45FS</t>
  </si>
  <si>
    <t>RG RESIDENT D4.5 TR FLAGSTONE RED45</t>
  </si>
  <si>
    <t>22RGRD45GY</t>
  </si>
  <si>
    <t>RG RESIDENT D4.5 TR GRAY      RED45</t>
  </si>
  <si>
    <t>22RGRD45HE</t>
  </si>
  <si>
    <t>RG RESIDENT D4.5 TR HEATHER   RED45</t>
  </si>
  <si>
    <t>22RGRD45HS</t>
  </si>
  <si>
    <t>RG RESIDENT D4.5 TR HARVARD S RED45</t>
  </si>
  <si>
    <t>22RGRD45LI</t>
  </si>
  <si>
    <t>RG RESIDENT D4.5 TR LINEN     RED45</t>
  </si>
  <si>
    <t>22RGRD45PC</t>
  </si>
  <si>
    <t>RG RESIDENT D4.5 TR PEB CLAY  RED45</t>
  </si>
  <si>
    <t>22RGRD45SD</t>
  </si>
  <si>
    <t>RG RESIDENT D4.5 TR SAND      RED45</t>
  </si>
  <si>
    <t>22RGRD45ST</t>
  </si>
  <si>
    <t>RG Resident D4.5 TR Sterling RED45</t>
  </si>
  <si>
    <t>22RGRD45VC</t>
  </si>
  <si>
    <t>RG RESIDENT D4.5 TR VIN CREAM RED45</t>
  </si>
  <si>
    <t>22RGRD45WH</t>
  </si>
  <si>
    <t>RG RESIDENT D4.5 TR WHITE     RED45</t>
  </si>
  <si>
    <t>22RGRD45WI</t>
  </si>
  <si>
    <t>RG RESIDENT D4.5 TR WICKER    RED45</t>
  </si>
  <si>
    <t>22RGRD4BG</t>
  </si>
  <si>
    <t>RG RESIDENT D4 TR BLUE GRAY    RED4</t>
  </si>
  <si>
    <t>22RGRD4CY</t>
  </si>
  <si>
    <t>RG Resident D4 TR Cypress RED4</t>
  </si>
  <si>
    <t>22RGRD4EG</t>
  </si>
  <si>
    <t>RG Resident D4 TR Estate Grey RED4</t>
  </si>
  <si>
    <t>22RGRD4FS</t>
  </si>
  <si>
    <t>RG Resident D4 TR Flagstone RED4</t>
  </si>
  <si>
    <t>22RGRD4HS</t>
  </si>
  <si>
    <t>RG Resident D4 TR Harvard Slt RED4</t>
  </si>
  <si>
    <t>22RGRD4PC</t>
  </si>
  <si>
    <t>RG Resident D4 TR Pebble Clay RED4</t>
  </si>
  <si>
    <t>22RGRD4WH</t>
  </si>
  <si>
    <t>RG RESIDENT D4 TR WHITE        RED4</t>
  </si>
  <si>
    <t>22RGRD4WI</t>
  </si>
  <si>
    <t>RG RESIDENT D4 TR WICKER       RED4</t>
  </si>
  <si>
    <t>22RGRT3BG</t>
  </si>
  <si>
    <t>RG RESIDENT T3 BLUE GRAY      RET3D</t>
  </si>
  <si>
    <t>22RGRT3BS</t>
  </si>
  <si>
    <t>RG RESIDENT T3 BROWNSTONE     RET3D</t>
  </si>
  <si>
    <t>22RGRT3CY</t>
  </si>
  <si>
    <t>RG RESIDENT T3 CYPRESS        RET3D</t>
  </si>
  <si>
    <t>22RGRT3FS</t>
  </si>
  <si>
    <t>RG RESIDENT T3 FLAGSTONE      RET3D</t>
  </si>
  <si>
    <t>22RGRT3GY</t>
  </si>
  <si>
    <t>RG RESIDENT T3 GRAY           RET3D</t>
  </si>
  <si>
    <t>22RGRT3HE</t>
  </si>
  <si>
    <t>RG RESIDENT T3 HEATHER        RET3D</t>
  </si>
  <si>
    <t>22RGRT3HS</t>
  </si>
  <si>
    <t>RG RESIDENT T3 HARVARD SLATE  RET3D</t>
  </si>
  <si>
    <t>22RGRT3LI</t>
  </si>
  <si>
    <t>RG RESIDENT T3 LINEN          RET3D</t>
  </si>
  <si>
    <t>22RGRT3PC</t>
  </si>
  <si>
    <t>RG RESIDENT T3 PEBBLE CLAY    RET3D</t>
  </si>
  <si>
    <t>22RGRT3SD</t>
  </si>
  <si>
    <t>RG RESIDENT T3 SAND           RET3D</t>
  </si>
  <si>
    <t>22RGRT3VC</t>
  </si>
  <si>
    <t>RG RESIDENT T3 VINTAGE CREAM  RET3D</t>
  </si>
  <si>
    <t>22RGRT3WH</t>
  </si>
  <si>
    <t>RG RESIDENT T3 WHITE          RET3D</t>
  </si>
  <si>
    <t>22RGRT3WI</t>
  </si>
  <si>
    <t>RG RESIDENT T3 WICKER         RET3D</t>
  </si>
  <si>
    <t>2321362588</t>
  </si>
  <si>
    <t>Velux ZOZ-211 Adh Skylight Underlay</t>
  </si>
  <si>
    <t>2321546902</t>
  </si>
  <si>
    <t>Velux Edl-C04 Step Flashing</t>
  </si>
  <si>
    <t>2321547152</t>
  </si>
  <si>
    <t>Velux Edl-M08-0000B &amp;M02/M04/M06 FL</t>
  </si>
  <si>
    <t>2321547589</t>
  </si>
  <si>
    <t>Velux Edl-S06-0000B &amp;S01 Flashing</t>
  </si>
  <si>
    <t>2322882740</t>
  </si>
  <si>
    <t>Velux ECL-2246-0000B 2222/2230/2234</t>
  </si>
  <si>
    <t>2322882788</t>
  </si>
  <si>
    <t>VELUX ECL-4646-0000B CURB FLASHING</t>
  </si>
  <si>
    <t>2324352593</t>
  </si>
  <si>
    <t>Velux Ecl-3046-0000B &amp;3030 Flashing</t>
  </si>
  <si>
    <t>2324799589</t>
  </si>
  <si>
    <t>Velux Tmf-014-0000 Flex Pitch Flash</t>
  </si>
  <si>
    <t>2324799626</t>
  </si>
  <si>
    <t>Velux TMR-014-0000 Rig Sun Tunnl</t>
  </si>
  <si>
    <t>2325102241</t>
  </si>
  <si>
    <t>Velux Edl-C06-0000B &amp;C01/CO4 Flash</t>
  </si>
  <si>
    <t>2325607937</t>
  </si>
  <si>
    <t>Velux Fcm-1446-0005 Fxd Temp/Alum</t>
  </si>
  <si>
    <t>2325607975</t>
  </si>
  <si>
    <t>Velux Fcm-2234-0004 Fxd Lam/Alum</t>
  </si>
  <si>
    <t>2325607999</t>
  </si>
  <si>
    <t>VELUX FCM-2246-0004 FXD LAM/ALUM</t>
  </si>
  <si>
    <t>2325608019</t>
  </si>
  <si>
    <t>Velux Fcm-2270-0004 Fxd Lam/Alum</t>
  </si>
  <si>
    <t>2325608033</t>
  </si>
  <si>
    <t>VELUX FCM-3030-0004 FXD LAM/ALUM</t>
  </si>
  <si>
    <t>2325608057</t>
  </si>
  <si>
    <t>Velux Fcm-3046-0004 Fxd Lam/Alum</t>
  </si>
  <si>
    <t>2325608071</t>
  </si>
  <si>
    <t>VELUX FCM-3434-0004 FXD LAM/ALUM</t>
  </si>
  <si>
    <t>2325608088</t>
  </si>
  <si>
    <t>VELUX FCM-4646-0004 FXD LAM/ALUM</t>
  </si>
  <si>
    <t>2325608125</t>
  </si>
  <si>
    <t>Velux FS-C01-2004 DM Fxd Lam/Alum</t>
  </si>
  <si>
    <t>2325608163</t>
  </si>
  <si>
    <t>Velux FS-C06-2004 DM Fxd Lam/Alum</t>
  </si>
  <si>
    <t>2325608224</t>
  </si>
  <si>
    <t>VELUX FS-D06-2004 DM FXD LAM/ALUM</t>
  </si>
  <si>
    <t>2325608286</t>
  </si>
  <si>
    <t>Velux FS-M04-2004 DM Fxd Lam/Alum</t>
  </si>
  <si>
    <t>2325608309</t>
  </si>
  <si>
    <t>Velux FS-M06-2004 DM Fxd Lam/Alum</t>
  </si>
  <si>
    <t>2325608323</t>
  </si>
  <si>
    <t>Velux FS-M08-2004 DM Fxd Lam/Alum</t>
  </si>
  <si>
    <t>2325608361</t>
  </si>
  <si>
    <t>VELUX FS-S06-2004 DM FXD LAM/ALUM</t>
  </si>
  <si>
    <t>2325608637</t>
  </si>
  <si>
    <t>Velux Vcm-3030-2004 Vent Lam/Alum</t>
  </si>
  <si>
    <t>2325608835</t>
  </si>
  <si>
    <t>Velux VS-M08-2004 DM Vent Lam/Alum</t>
  </si>
  <si>
    <t>2325664176</t>
  </si>
  <si>
    <t>Velux Edl-D06-0000B &amp;D26 Flashing</t>
  </si>
  <si>
    <t>2325666392</t>
  </si>
  <si>
    <t>VELUX ZZZ-199-4646 ACCESORY TRAY</t>
  </si>
  <si>
    <t>2325667191</t>
  </si>
  <si>
    <t>Velux Ekl-M00-6001 Combi Flash</t>
  </si>
  <si>
    <t>2325667207</t>
  </si>
  <si>
    <t>Velux Ekl-M00-6002 Combi Flash</t>
  </si>
  <si>
    <t>2325667214</t>
  </si>
  <si>
    <t>Velux Ekl-M00-6003 Combi Flash</t>
  </si>
  <si>
    <t>2325676896</t>
  </si>
  <si>
    <t>Velux Fcm-1430-0004 Fxd Lam/Alum</t>
  </si>
  <si>
    <t>2325711986</t>
  </si>
  <si>
    <t>VELUX ECW-2246-0 &amp;2222/2230/2234</t>
  </si>
  <si>
    <t>2325963187</t>
  </si>
  <si>
    <t>Velux Edl-C08-0000B Flashing</t>
  </si>
  <si>
    <t>2327209528</t>
  </si>
  <si>
    <t>Velux Vss-M08-2004 Solar Vented</t>
  </si>
  <si>
    <t>2327387097</t>
  </si>
  <si>
    <t>VELUX VCS-4646-2004 SOLAR VENT</t>
  </si>
  <si>
    <t>2327569004</t>
  </si>
  <si>
    <t>VELUX ZTR-014-0012D 12' EXTENSION</t>
  </si>
  <si>
    <t>2327597519</t>
  </si>
  <si>
    <t>Velux Ztf-014-0012 12' Flex Tunnel</t>
  </si>
  <si>
    <t>2327951649</t>
  </si>
  <si>
    <t>Velux FCM-4646-0030B Temp/Triple</t>
  </si>
  <si>
    <t>2328028791</t>
  </si>
  <si>
    <t>VELUX FCM-2246-0029 LAM/TRIPLE</t>
  </si>
  <si>
    <t>2328028807</t>
  </si>
  <si>
    <t>Velux FCM-4646-0029 Lam/Triple</t>
  </si>
  <si>
    <t>2328148079</t>
  </si>
  <si>
    <t>Velux FS-M06-0004 Stain Grade</t>
  </si>
  <si>
    <t>2328465824</t>
  </si>
  <si>
    <t>VELUX KIX-300 ACTIVE CLIMATE KIT</t>
  </si>
  <si>
    <t>2328569348</t>
  </si>
  <si>
    <t>Velux ZTC-014-0051US 14" Energy Kit</t>
  </si>
  <si>
    <t>KT</t>
  </si>
  <si>
    <t>2328916463</t>
  </si>
  <si>
    <t>Velux FS-C04-i89 Deck Mount Skylight</t>
  </si>
  <si>
    <t>2328916579</t>
  </si>
  <si>
    <t>Velux FS-S06-2089D DM Fxd i89/Alum</t>
  </si>
  <si>
    <t>2328916746</t>
  </si>
  <si>
    <t>Velux VSE-C04-I89 Skylight</t>
  </si>
  <si>
    <t>2328916845</t>
  </si>
  <si>
    <t>Velux VSS-C06-2089E Skylight</t>
  </si>
  <si>
    <t>2329194051</t>
  </si>
  <si>
    <t>Velux Fslc-2246-1016 Pleated Blind</t>
  </si>
  <si>
    <t>2329197700</t>
  </si>
  <si>
    <t>VELUX FSCC-4646-1045SWL Solar White</t>
  </si>
  <si>
    <t>2329233156</t>
  </si>
  <si>
    <t>VELUX FS-C06-2089D DECK MOUNT FIXED</t>
  </si>
  <si>
    <t>23GYPSS7TG</t>
  </si>
  <si>
    <t>GRAYNE 7.5" PLSAWN SHINGLE TUSC GLD</t>
  </si>
  <si>
    <t>23RGC8WH</t>
  </si>
  <si>
    <t>RG CREST 8" WHITE               RC8</t>
  </si>
  <si>
    <t>23RGW4DLI</t>
  </si>
  <si>
    <t>RG WOODLD D45 DL 12' LINEN RWD45D12</t>
  </si>
  <si>
    <t>23RGWBBBG</t>
  </si>
  <si>
    <t>RG WOODLAND B&amp;B BLUE GRAY      RWBB</t>
  </si>
  <si>
    <t>23RGWBBBS</t>
  </si>
  <si>
    <t>RG WOODLAND B&amp;B BROWNSTONE     RWBB</t>
  </si>
  <si>
    <t>23RGWBBCA</t>
  </si>
  <si>
    <t>RG WOODLAND B&amp;B COCOA          RWBB</t>
  </si>
  <si>
    <t>23RGWBBCY</t>
  </si>
  <si>
    <t>RG WOODLAND B&amp;B CYPRESS        RWBB</t>
  </si>
  <si>
    <t>23RGWBBEG</t>
  </si>
  <si>
    <t>RG Woodland B&amp;B Estate Grey  Rwbb</t>
  </si>
  <si>
    <t>23RGWBBFS</t>
  </si>
  <si>
    <t>RG WOODLAND B&amp;B FLAGSTONE      RWBB</t>
  </si>
  <si>
    <t>23RGWBBGR</t>
  </si>
  <si>
    <t>RG WOODLAND B&amp;B GRANITE        RWBB</t>
  </si>
  <si>
    <t>23RGWBBHB</t>
  </si>
  <si>
    <t>RG WOODLAND B&amp;B HERITAGE BLUE  RWBB</t>
  </si>
  <si>
    <t>23RGWBBHE</t>
  </si>
  <si>
    <t>RG WOODLAND B&amp;B HEATHER        RWBB</t>
  </si>
  <si>
    <t>23RGWBBHS</t>
  </si>
  <si>
    <t>RG WOODLAND B&amp;B HARVARD SLATE  RWBB</t>
  </si>
  <si>
    <t>23RGWBBIS</t>
  </si>
  <si>
    <t>RG WOODLAND B&amp;B IRONSTONE      RWBB</t>
  </si>
  <si>
    <t>23RGWBBLI</t>
  </si>
  <si>
    <t>RG WOODLAND B&amp;B LINEN          RWBB</t>
  </si>
  <si>
    <t>23RGWBBMA</t>
  </si>
  <si>
    <t>RG WOODLAND B&amp;B MARINE BLUE    RWBB</t>
  </si>
  <si>
    <t>23RGWBBMS</t>
  </si>
  <si>
    <t>RG WOODLAND B&amp;B MIDNIGHT SURF  RWBB</t>
  </si>
  <si>
    <t>23RGWBBPC</t>
  </si>
  <si>
    <t>RG WOODLAND B&amp;B PEBBLE CLAY    RWBB</t>
  </si>
  <si>
    <t>23RGWBBRI</t>
  </si>
  <si>
    <t>RG WOODLAND B&amp;B RIVERWAY       RWBB</t>
  </si>
  <si>
    <t>23RGWBBRS</t>
  </si>
  <si>
    <t>RG WOODLAND B&amp;B ROCKSLIDE      RWBB</t>
  </si>
  <si>
    <t>23RGWBBRW</t>
  </si>
  <si>
    <t>RG WOODLAND B&amp;B REDWOOD        RWBB</t>
  </si>
  <si>
    <t>23RGWBBSB</t>
  </si>
  <si>
    <t>RG WOODLAND B&amp;B SABLE          RWBB</t>
  </si>
  <si>
    <t>23RGWBBSD</t>
  </si>
  <si>
    <t>RG WOODLAND B&amp;B SAND           RWBB</t>
  </si>
  <si>
    <t>23RGWBBSL</t>
  </si>
  <si>
    <t>RG WOODLAND B&amp;B SILVER MIST    RWBB</t>
  </si>
  <si>
    <t>23RGWBBSO</t>
  </si>
  <si>
    <t>RG WOODLAND B&amp;B STORM          RWBB</t>
  </si>
  <si>
    <t>23RGWBBSR</t>
  </si>
  <si>
    <t>RG WOODLAND B&amp;B SHAMROCK RWBB</t>
  </si>
  <si>
    <t>23RGWBBTA</t>
  </si>
  <si>
    <t>RG WOODLAND B&amp;B TOASTED ALMOND RWBB</t>
  </si>
  <si>
    <t>23RGWBBTM</t>
  </si>
  <si>
    <t>RG WOODLAND B&amp;B TREE MOSS      RWBB</t>
  </si>
  <si>
    <t>23RGWBBUB</t>
  </si>
  <si>
    <t>RG WOODLAND B&amp;B URBAN BRONZE   RWBB</t>
  </si>
  <si>
    <t>23RGWBBVC</t>
  </si>
  <si>
    <t>RG WOODLAND B&amp;B VINTAGE CREAM  RWBB</t>
  </si>
  <si>
    <t>23RGWBBWA</t>
  </si>
  <si>
    <t>RG WOODLAND B&amp;B WALNUT         RWBB</t>
  </si>
  <si>
    <t>23RGWBBWG</t>
  </si>
  <si>
    <t>RG WOODLAND B&amp;B WEATHERED GRAY RWBB</t>
  </si>
  <si>
    <t>23RGWBBWH</t>
  </si>
  <si>
    <t>RG WOODLAND B&amp;B WHITE          RWBB</t>
  </si>
  <si>
    <t>23RGWBBWI</t>
  </si>
  <si>
    <t>RG WOODLAND B&amp;B WICKER         RWBB</t>
  </si>
  <si>
    <t>23RGWBBWW</t>
  </si>
  <si>
    <t>RG WOODLAND B&amp;B WEDGEWOOD      RWBB</t>
  </si>
  <si>
    <t>23RGWD45WH</t>
  </si>
  <si>
    <t>RG WOODLD D45 TR 16'4" WHITE  RWD45</t>
  </si>
  <si>
    <t>2472150007</t>
  </si>
  <si>
    <t>Chalk 8OZ Blue               #64901</t>
  </si>
  <si>
    <t>2472150009</t>
  </si>
  <si>
    <t>Reel Chalk 100'Speedline     #64310</t>
  </si>
  <si>
    <t>2472164494</t>
  </si>
  <si>
    <t>CHALK REEL 100' W/4OZ BLUE #64494</t>
  </si>
  <si>
    <t>24RGCR6AW</t>
  </si>
  <si>
    <t>RG CDR RENDITIONS 6" AMBERWD  13065</t>
  </si>
  <si>
    <t>24RGCR6CB</t>
  </si>
  <si>
    <t>RG CDR RENDITIONS 6" CDR BARK 13065</t>
  </si>
  <si>
    <t>24RGCR6CW</t>
  </si>
  <si>
    <t>RG CDR RENDITIONS 6" CHARWOOD 13065</t>
  </si>
  <si>
    <t>24RGCR6GO</t>
  </si>
  <si>
    <t>RG Cdr Renditions 6" Grey Oak 13065</t>
  </si>
  <si>
    <t>24RGCR6SM</t>
  </si>
  <si>
    <t>RG CDR RENDITIONS 6" SPANMOSS 13065</t>
  </si>
  <si>
    <t>24RGCR6SW</t>
  </si>
  <si>
    <t>RG Cdr Renditions 6" Smokewd  13065</t>
  </si>
  <si>
    <t>24RGCR6TL</t>
  </si>
  <si>
    <t>RG CDR RENDITIONS 6" TIMBERLN 13065</t>
  </si>
  <si>
    <t>24RGCRD4AW</t>
  </si>
  <si>
    <t>RG CDR Rend 4" Desgn Amberwd 13075</t>
  </si>
  <si>
    <t>24RGCRD4CW</t>
  </si>
  <si>
    <t>RG CDR Rend 4" Desgn Charwood 13075</t>
  </si>
  <si>
    <t>25ALCLW8UB</t>
  </si>
  <si>
    <t>Allura Cedar Lap 8.25 Urbane Bronze</t>
  </si>
  <si>
    <t>25FUSSCO</t>
  </si>
  <si>
    <t>FUSION STONE SLOPE SILL COCOA</t>
  </si>
  <si>
    <t>25GFGTU1DT</t>
  </si>
  <si>
    <t>GF Goodstyle Touch-Up 1Liter Dusty Trail</t>
  </si>
  <si>
    <t>CN</t>
  </si>
  <si>
    <t>25GFHTULAP</t>
  </si>
  <si>
    <t>GF HARDIE TOUCH-UP 4LITER AGED PEWT</t>
  </si>
  <si>
    <t>25GFHTULAT</t>
  </si>
  <si>
    <t>GF HARDIE TOUCH-UP 4LITER AUTUMN TN</t>
  </si>
  <si>
    <t>25GFHTULAW</t>
  </si>
  <si>
    <t>GF HARDIE TOUCH-UP 4LITER ARC WHITE</t>
  </si>
  <si>
    <t>25GFHTULBB</t>
  </si>
  <si>
    <t>GF HARDIE TOUCH-UP 4LITER BOOTHBLUE</t>
  </si>
  <si>
    <t>25GFHTULCB</t>
  </si>
  <si>
    <t>GF HARDIE TOUCH-UP 4LITER CHEST BRN</t>
  </si>
  <si>
    <t>25GFHTULCR</t>
  </si>
  <si>
    <t>GF HARDIE TOUCH-UP 4LITER COUNT RED</t>
  </si>
  <si>
    <t>25GFHTULCS</t>
  </si>
  <si>
    <t>GF HARDIE TOUCH-UP 4LITER COBBLESTN</t>
  </si>
  <si>
    <t>25GFHTULDO</t>
  </si>
  <si>
    <t>GF HARDIE TOUCH-UP 4LITER DP OCEAN</t>
  </si>
  <si>
    <t>25GFHTULEB</t>
  </si>
  <si>
    <t>GF HARDIE TOUCH-UP 4LITER EVEN BLUE</t>
  </si>
  <si>
    <t>25GFHTULGS</t>
  </si>
  <si>
    <t>GF HARDIE TOUCH-UP 4LITER GREY SLT</t>
  </si>
  <si>
    <t>25GFHTULHM</t>
  </si>
  <si>
    <t>GF HARDIE TOUCH-UP 4LITER HEAT MOSS</t>
  </si>
  <si>
    <t>25GFHTULIG</t>
  </si>
  <si>
    <t>GF HARDIE TOUCH-UP 4LITER IRON GREY</t>
  </si>
  <si>
    <t>25GFHTULKB</t>
  </si>
  <si>
    <t>GF HARDIE TOUCH-UP 4LITER KHAKI BRN</t>
  </si>
  <si>
    <t>25GFHTULLM</t>
  </si>
  <si>
    <t>GF HARDIE TOUCH-UP 4LITER LT MIST</t>
  </si>
  <si>
    <t>25GFHTULMS</t>
  </si>
  <si>
    <t>GF HARDIE TOUCH-UP 4LITER MNT SAGE</t>
  </si>
  <si>
    <t>25GFHTULMT</t>
  </si>
  <si>
    <t>GF HARDIE TOUCH-UP 4LITER MONT TAUP</t>
  </si>
  <si>
    <t>25GFHTULNB</t>
  </si>
  <si>
    <t>GF HARDIE TOUCH-UP 4LITER NAV BEIGE</t>
  </si>
  <si>
    <t>25GFHTULNG</t>
  </si>
  <si>
    <t>GF HARDIE TOUCH-UP 4LITER NIGHT GRY</t>
  </si>
  <si>
    <t>25GFHTULPG</t>
  </si>
  <si>
    <t>GF HARDIE TOUCH-UP 4LITER PEARL GRY</t>
  </si>
  <si>
    <t>25GFHTULRE</t>
  </si>
  <si>
    <t>GF HARDIE TOUCH-UP 4LITER RICH ESPR</t>
  </si>
  <si>
    <t>25GFHTULTB</t>
  </si>
  <si>
    <t>GF HARDIE TOUCH-UP 4LITER TIMBERBRK</t>
  </si>
  <si>
    <t>25GFLTULSW</t>
  </si>
  <si>
    <t>GF LP Touch-Up 4Liter Snowscape White</t>
  </si>
  <si>
    <t>25GFRTULBK</t>
  </si>
  <si>
    <t>GF ROYAL TOUCH-UP 4LITER BLACK</t>
  </si>
  <si>
    <t>25GFRTULLI</t>
  </si>
  <si>
    <t>GF ROYAL TOUCH-UP 4LITER LINEN</t>
  </si>
  <si>
    <t>25GFSTU1CR</t>
  </si>
  <si>
    <t>GF Sherwin Touch-Up 1Liter Castle Rock</t>
  </si>
  <si>
    <t>25GFSTULPR</t>
  </si>
  <si>
    <t>GF Sherwin Touch-Up 4Liter Posh Red</t>
  </si>
  <si>
    <t>25H55R21</t>
  </si>
  <si>
    <t>HZ5 Trim 5/4 11.25X12 Rustc Primed</t>
  </si>
  <si>
    <t>25H55R21AW</t>
  </si>
  <si>
    <t>HZ5 TRIM 5/4 11.25X12 RUSTC ARCTIC</t>
  </si>
  <si>
    <t>25H55R21BW</t>
  </si>
  <si>
    <t>HZ5 TRIM 5/4 11.25X12 RUSTC BLKWTR</t>
  </si>
  <si>
    <t>25H55R21CS</t>
  </si>
  <si>
    <t>HZ5 TRIM 5/4 11.25X12 RUSTC COBBLES</t>
  </si>
  <si>
    <t>25H55R21KB</t>
  </si>
  <si>
    <t>HZ5 TRIM 5/4 11.25X12 RUSTC KHAKI B</t>
  </si>
  <si>
    <t>25H55R21MK</t>
  </si>
  <si>
    <t>HZ5 Trim 5/4 11.25X12 Rustc MidBlck</t>
  </si>
  <si>
    <t>25H55R21MT</t>
  </si>
  <si>
    <t>HZ5 TRIM 5/4 11.25X12 RUSTC MONT TA</t>
  </si>
  <si>
    <t>25H55R21NB</t>
  </si>
  <si>
    <t>HZ5 TRIM 5/4 11.25X12 RUSTC NAVAJO</t>
  </si>
  <si>
    <t>25H55R21WB</t>
  </si>
  <si>
    <t>HZ5 TRIM 5/4 11.25X12 RUSTC WDSTK B</t>
  </si>
  <si>
    <t>25H55R23</t>
  </si>
  <si>
    <t>HZ5 Trim 5/4 3.5X12' Rustc Primed</t>
  </si>
  <si>
    <t>25H55R23AW</t>
  </si>
  <si>
    <t>HZ5 TRIM 5/4 3.5X12'  RUSTC ARCTIC</t>
  </si>
  <si>
    <t>25H55R23IG</t>
  </si>
  <si>
    <t>HZ5 TRIM 5/4 3.5X12'  RUSTC IRON GY</t>
  </si>
  <si>
    <t>25H55R25</t>
  </si>
  <si>
    <t>HZ5 Trim 5/4 5.5X12' Rustc Primed</t>
  </si>
  <si>
    <t>25H55R25AW</t>
  </si>
  <si>
    <t>HZ5 TRIM 5/4 5.5X12'  RUSTC ARCTIC</t>
  </si>
  <si>
    <t>25H55R25IG</t>
  </si>
  <si>
    <t>HZ5 TRIM 5/4 5.5X12'  RUSTC IRON GY</t>
  </si>
  <si>
    <t>25H55R27</t>
  </si>
  <si>
    <t>HZ5 Trim 5/4 7.25X12' Rustc Primed</t>
  </si>
  <si>
    <t>25H55R27AW</t>
  </si>
  <si>
    <t>HZ5 TRIM 5/4 7.25X12' RUSTC ARCTIC</t>
  </si>
  <si>
    <t>25H55R27BW</t>
  </si>
  <si>
    <t>HZ5 TRIM 5/4 7.25X12' RUSTC BLKWTR</t>
  </si>
  <si>
    <t>25H55R27CS</t>
  </si>
  <si>
    <t>HZ5 TRIM 5/4 7.25X12' RUSTC COBBLES</t>
  </si>
  <si>
    <t>25H55R27IG</t>
  </si>
  <si>
    <t>HZ5 TRIM 5/4 7.25X12' RUSTC IRON GY</t>
  </si>
  <si>
    <t>25H55R27TB</t>
  </si>
  <si>
    <t>HZ5 TRIM 5/4 7.25X12' RUSTC TIMBER</t>
  </si>
  <si>
    <t>25H55R29</t>
  </si>
  <si>
    <t>HZ5 Trim 5/4 9.25X12' Rustc Primed</t>
  </si>
  <si>
    <t>25H55S27</t>
  </si>
  <si>
    <t>HZ5 Trim 5/4 7.25X12' Smth Primed</t>
  </si>
  <si>
    <t>25H5ASC10</t>
  </si>
  <si>
    <t>HZ5 Artisan Square 10.25X12' Primd</t>
  </si>
  <si>
    <t>25H5AVG8</t>
  </si>
  <si>
    <t>HZ5 Artisan V-Groove 8.25X12' Prmd</t>
  </si>
  <si>
    <t>25H5BR22</t>
  </si>
  <si>
    <t>HZ5 Batten Rustic 2.5"X12' Primed</t>
  </si>
  <si>
    <t>25H5BR22AW</t>
  </si>
  <si>
    <t>HZ5 BATTEN RUSTIC 2.5"X12' ARCT WHT</t>
  </si>
  <si>
    <t>25H5BR22BW</t>
  </si>
  <si>
    <t>HZ5 BATTEN RUSTIC 2.5"X12' BLKWTR</t>
  </si>
  <si>
    <t>25H5BR22CS</t>
  </si>
  <si>
    <t>HZ5 Batten Rustic 2.5"X12' Cobblest</t>
  </si>
  <si>
    <t>25H5BS22</t>
  </si>
  <si>
    <t>HZ5 BATTEN SMOOTH 2.5"X12' PRIMED</t>
  </si>
  <si>
    <t>25H5BS22AW</t>
  </si>
  <si>
    <t>HZ5 BATTEN SMOOTH 2.5"X12' ARCTIC W</t>
  </si>
  <si>
    <t>25H5BS22EB</t>
  </si>
  <si>
    <t>HZ5 BATTEN SMOOTH 2.5"X12' EVE BLUE</t>
  </si>
  <si>
    <t>25H5HG45</t>
  </si>
  <si>
    <t>HZ5 SHINGLE STAGG 48"X15.25 PRIMED</t>
  </si>
  <si>
    <t>25H5HG45AP</t>
  </si>
  <si>
    <t>HZ5 SHINGLE STAGG 48"X15.25 AGE PWT</t>
  </si>
  <si>
    <t>25H5HG45AT</t>
  </si>
  <si>
    <t>HZ5 SHINGLE STAGG 48"X15.25 AUT TAN</t>
  </si>
  <si>
    <t>25H5HG45AW</t>
  </si>
  <si>
    <t>HZ5 SHINGLE STAGG 48"X15.25 ARC WHT</t>
  </si>
  <si>
    <t>25H5HG45BB</t>
  </si>
  <si>
    <t>HZ5 SHINGLE STAGG 48"X15.25 BOOTHBY</t>
  </si>
  <si>
    <t>25H5HG45CR</t>
  </si>
  <si>
    <t>HZ5 Shingle Stagg 48"x15.25 CntryRd</t>
  </si>
  <si>
    <t>25H5HG45CS</t>
  </si>
  <si>
    <t>HZ5 SHINGLE STAGG 48"X15.25 COBBLST</t>
  </si>
  <si>
    <t>25H5HG45DO</t>
  </si>
  <si>
    <t>HZ5 Shingle Stagg 48"x15.25 DeepOcn</t>
  </si>
  <si>
    <t>25H5HG45EB</t>
  </si>
  <si>
    <t>HZ5 SHINGLE STAGG 48"X15.25 EV BLUE</t>
  </si>
  <si>
    <t>25H5HG45GS</t>
  </si>
  <si>
    <t>HZ5 SHINGLE STAGG 48"X15.25 GRAY SL</t>
  </si>
  <si>
    <t>25H5HG45HM</t>
  </si>
  <si>
    <t>HZ5 Shingle Stagg 48"x15.25 HeatMos</t>
  </si>
  <si>
    <t>25H5HG45IG</t>
  </si>
  <si>
    <t>HZ5 SHINGLE STAGG 48"X15.25 IRON GY</t>
  </si>
  <si>
    <t>25H5HG45KB</t>
  </si>
  <si>
    <t>HZ5 SHINGLE STAGG 48"X15.25 KHAKI B</t>
  </si>
  <si>
    <t>25H5HG45LM</t>
  </si>
  <si>
    <t>HZ5 SHINGLE STAGG 48"X15.25 LTMIST</t>
  </si>
  <si>
    <t>25H5HG45MS</t>
  </si>
  <si>
    <t>HZ5 SHINGLE STAGG 48"X15.25 MT SAGE</t>
  </si>
  <si>
    <t>25H5HG45MT</t>
  </si>
  <si>
    <t>HZ5 SHINGLE STAGG 48"X15.25 MONTERY</t>
  </si>
  <si>
    <t>25H5HG45NB</t>
  </si>
  <si>
    <t>HZ5 SHINGLE STAGG 48"X15.25 NAV BG</t>
  </si>
  <si>
    <t>25H5HG45NG</t>
  </si>
  <si>
    <t>HZ5 Shingle Stagg 48"x15.25 Nt Gray</t>
  </si>
  <si>
    <t>25H5HG45PG</t>
  </si>
  <si>
    <t>HZ5 Shingle Stagg 48"x15.25 PrlGry</t>
  </si>
  <si>
    <t>25H5HG45RE</t>
  </si>
  <si>
    <t>HZ5 Shingle Stagg 48"x15.25 RichEsp</t>
  </si>
  <si>
    <t>25H5HG45SB</t>
  </si>
  <si>
    <t>HZ5 Shingle Stagg 48"X15.25 SanBeig</t>
  </si>
  <si>
    <t>25H5HG45TB</t>
  </si>
  <si>
    <t>HZ5 SHINGLE STAGG 48"X15.25 TIMB BK</t>
  </si>
  <si>
    <t>25H5HG45WB</t>
  </si>
  <si>
    <t>HZ5 Shingle Stagg 48"x15.25 WdstkBr</t>
  </si>
  <si>
    <t>25H5HS45</t>
  </si>
  <si>
    <t>HZ5 SHINGLE STRGHT 48X15.25 PRIMED</t>
  </si>
  <si>
    <t>25H5HS45AP</t>
  </si>
  <si>
    <t>HZ5 SHINGLE STRGHT 48X15.25 AGED PE</t>
  </si>
  <si>
    <t>25H5HS45AW</t>
  </si>
  <si>
    <t>HZ5 SHINGLE STRGHT 48X15.25 ARCTIC</t>
  </si>
  <si>
    <t>25H5HS45BB</t>
  </si>
  <si>
    <t>HZ5 SHINGLE STRGHT 48X15.25 BOOTHBA</t>
  </si>
  <si>
    <t>25H5HS45CR</t>
  </si>
  <si>
    <t>HZ5 SHINGLE STRGHT 48X15.25 CNTRYLN</t>
  </si>
  <si>
    <t>25H5HS45CS</t>
  </si>
  <si>
    <t>HZ5 SHINGLE STRGHT 48X15.25 COBBLES</t>
  </si>
  <si>
    <t>25H5HS45DO</t>
  </si>
  <si>
    <t>HZ5 SHINGLE STRGHT 48X15.25 DPOCN</t>
  </si>
  <si>
    <t>25H5HS45EB</t>
  </si>
  <si>
    <t>HZ5 SHINGLE STRGHT 48X15.25 EVBLUE</t>
  </si>
  <si>
    <t>25H5HS45GS</t>
  </si>
  <si>
    <t>HZ5 SHINGLE STRGHT 48X15.25 GRY SLT</t>
  </si>
  <si>
    <t>25H5HS45HM</t>
  </si>
  <si>
    <t>HZ5 SHINGLE STRGHT 48X15.25 HEATHER</t>
  </si>
  <si>
    <t>25H5HS45IG</t>
  </si>
  <si>
    <t>HZ5 Shingle Strght 48X15.25 Irn Gry</t>
  </si>
  <si>
    <t>25H5HS45KB</t>
  </si>
  <si>
    <t>HZ5 Shingle Strght 48X15.25 Khki BR</t>
  </si>
  <si>
    <t>25H5HS45LM</t>
  </si>
  <si>
    <t>HZ5 Shingle Strght 48X15.25 LT Mist</t>
  </si>
  <si>
    <t>25H5HS45MS</t>
  </si>
  <si>
    <t>HZ5 Shingle Strght 48X15.25 MT Sage</t>
  </si>
  <si>
    <t>25H5HS45MT</t>
  </si>
  <si>
    <t>HZ5 Shingle Strght 48X15.25 Mtaupe</t>
  </si>
  <si>
    <t>25H5HS45NB</t>
  </si>
  <si>
    <t>HZ5 Shingle Strght 48X15.25 Nav Bge</t>
  </si>
  <si>
    <t>25H5HS45NG</t>
  </si>
  <si>
    <t>HZ5 Shingle Strght 48X15.25 Nt Gray</t>
  </si>
  <si>
    <t>25H5HS45PE</t>
  </si>
  <si>
    <t>HZ5 Shingle Strght 48X15.25 PlatBei</t>
  </si>
  <si>
    <t>25H5HS45PG</t>
  </si>
  <si>
    <t>HZ5 Shingle Strght 48X15.25 Pearlgy</t>
  </si>
  <si>
    <t>25H5HS45RE</t>
  </si>
  <si>
    <t>HZ5 Shingle Strght 48X15.25 RichEsp</t>
  </si>
  <si>
    <t>25H5HS45SB</t>
  </si>
  <si>
    <t>HZ5 Shingle Strght 48X15.25 SanBeig</t>
  </si>
  <si>
    <t>25H5HS45TB</t>
  </si>
  <si>
    <t>HZ5 Shingle Strght 48X15.25 Timber</t>
  </si>
  <si>
    <t>25H5HS45TR</t>
  </si>
  <si>
    <t>HZ5 Shingle Strght 48X15.25 TradRed</t>
  </si>
  <si>
    <t>25H5HS45WB</t>
  </si>
  <si>
    <t>HZ5 Shingle Strght 48X15.25 Woodstk</t>
  </si>
  <si>
    <t>25H5KC5AW</t>
  </si>
  <si>
    <t>HZ5 Plank CM 5.25 Artic White</t>
  </si>
  <si>
    <t>25H5KC5CS</t>
  </si>
  <si>
    <t>HZ5 Plank CM 5.25 Cobblestone</t>
  </si>
  <si>
    <t>25H5KC5RUR</t>
  </si>
  <si>
    <t>HZ5 Plank CM 5.25 Rustic Road</t>
  </si>
  <si>
    <t>25H5KC5SY</t>
  </si>
  <si>
    <t>HZ5 PLANK CM 5.25 STEEL GRAY</t>
  </si>
  <si>
    <t>25H5KC6</t>
  </si>
  <si>
    <t>HZ5 PLANK CM 6.25 PRIMED</t>
  </si>
  <si>
    <t>25H5KC8</t>
  </si>
  <si>
    <t>HZ5 PLANK CM 8.25 PRIMED</t>
  </si>
  <si>
    <t>25H5KC8AP</t>
  </si>
  <si>
    <t>HZ5 PLANK CM 8.25 AGED PEWTER</t>
  </si>
  <si>
    <t>25H5KC8AT</t>
  </si>
  <si>
    <t>HZ5 PLANK CM 8.25 AUTUMN TAN</t>
  </si>
  <si>
    <t>25H5KC8AW</t>
  </si>
  <si>
    <t>HZ5 PLANK CM 8.25 ARCTIC WHITE</t>
  </si>
  <si>
    <t>25H5KC8BB</t>
  </si>
  <si>
    <t>HZ5 PLANK CM 8.25 BOOTHBAY BLUE</t>
  </si>
  <si>
    <t>25H5KC8BW</t>
  </si>
  <si>
    <t>HZ5 PLANK CM 8.25 BLACK WATER</t>
  </si>
  <si>
    <t>25H5KC8BZ</t>
  </si>
  <si>
    <t>HZ5 PLANK CM 8.25 BROWN BLAZE</t>
  </si>
  <si>
    <t>25H5KC8CR</t>
  </si>
  <si>
    <t>HZ5 PLANK CM 8.25 COUNTRYLANE RED</t>
  </si>
  <si>
    <t>25H5KC8CS</t>
  </si>
  <si>
    <t>HZ5 PLANK CM 8.25 COBBLE STONE</t>
  </si>
  <si>
    <t>25H5KC8DO</t>
  </si>
  <si>
    <t>HZ5 PLANK CM 8.25 DEEP OCEAN</t>
  </si>
  <si>
    <t>25H5KC8EB</t>
  </si>
  <si>
    <t>HZ5 PLANK CM 8.25 EVENING BLUE</t>
  </si>
  <si>
    <t>25H5KC8GS</t>
  </si>
  <si>
    <t>HZ5 PLANK CM 8.25 GRAY SLATE</t>
  </si>
  <si>
    <t>25H5KC8HM</t>
  </si>
  <si>
    <t>HZ5 PLANK CM 8.25 HEATHERED MOSS</t>
  </si>
  <si>
    <t>25H5KC8IG</t>
  </si>
  <si>
    <t>HZ5 PLANK CM 8.25 IRON GRAY</t>
  </si>
  <si>
    <t>25H5KC8KB</t>
  </si>
  <si>
    <t>HZ5 PLANK CM 8.25 KHAKI BROWN</t>
  </si>
  <si>
    <t>25H5KC8LM</t>
  </si>
  <si>
    <t>HZ5 PLANK CM 8.25 LIGHT MIST</t>
  </si>
  <si>
    <t>25H5KC8MK</t>
  </si>
  <si>
    <t>HZ5 Plank CM 8.25 Midnight Black</t>
  </si>
  <si>
    <t>25H5KC8MS</t>
  </si>
  <si>
    <t>HZ5 PLANK CM 8.25 MOUNTAIN SAGE</t>
  </si>
  <si>
    <t>25H5KC8MSO</t>
  </si>
  <si>
    <t>HZ5 Plank CM 8.25 Midnight Soot</t>
  </si>
  <si>
    <t>25H5KC8MT</t>
  </si>
  <si>
    <t>HZ5 PLANK CM 8.25 MONTEREY TAUPE</t>
  </si>
  <si>
    <t>25H5KC8NB</t>
  </si>
  <si>
    <t>HZ5 PLANK CM 8.25 NAVAJO BEIGE</t>
  </si>
  <si>
    <t>25H5KC8NG</t>
  </si>
  <si>
    <t>HZ5 PLANK CM 8.25 NIGHT GRAY</t>
  </si>
  <si>
    <t>25H5KC8PA</t>
  </si>
  <si>
    <t>HZ5 PLANK CM 8.25 PANDA GRAY</t>
  </si>
  <si>
    <t>25H5KC8PG</t>
  </si>
  <si>
    <t>HZ5 PLANK CM 8.25 PEARL GRAY</t>
  </si>
  <si>
    <t>25H5KC8RE</t>
  </si>
  <si>
    <t>HZ5 PLANK CM 8.25 RICH ESPRESSO</t>
  </si>
  <si>
    <t>25H5KC8TB</t>
  </si>
  <si>
    <t>HZ5 PLANK CM 8.25 TIMBER BARK</t>
  </si>
  <si>
    <t>25H5KC8WB</t>
  </si>
  <si>
    <t>HZ5 PLANK CM 8.25 WOODSTOCK BROWN</t>
  </si>
  <si>
    <t>25H5KS6</t>
  </si>
  <si>
    <t>HZ5 PLANK SM 6.25 PRIMED</t>
  </si>
  <si>
    <t>25H5KS8</t>
  </si>
  <si>
    <t>HZ5 Plank SM 8.25 Primed</t>
  </si>
  <si>
    <t>25H5KS8AW</t>
  </si>
  <si>
    <t>HZ5 Plank SM 8.25 Arctic White</t>
  </si>
  <si>
    <t>SH</t>
  </si>
  <si>
    <t>25H5KS8BW</t>
  </si>
  <si>
    <t>HZ5 PLANK SM 8.25 BLACK WATER</t>
  </si>
  <si>
    <t>25H5KS8CR</t>
  </si>
  <si>
    <t>HZ5 PLANK SM 8.25 COUNTRYLANE RED</t>
  </si>
  <si>
    <t>25H5KS8DO</t>
  </si>
  <si>
    <t>HZ5 Plank SM 8.25 Deep Ocean</t>
  </si>
  <si>
    <t>25H5KS8GS</t>
  </si>
  <si>
    <t>HZ5 Plank SM 8.25 Gray Slate</t>
  </si>
  <si>
    <t>25H5KS8IG</t>
  </si>
  <si>
    <t>HZ5 PLANK SM 8.25 IRON GRAY</t>
  </si>
  <si>
    <t>25H5KS8MK</t>
  </si>
  <si>
    <t>HZ5 Plank SM 8.25 Midnight Black</t>
  </si>
  <si>
    <t>25H5KS8NG</t>
  </si>
  <si>
    <t>HZ5 Plank SM 8.25 Night Gray</t>
  </si>
  <si>
    <t>25H5KS8PG</t>
  </si>
  <si>
    <t>HZ5 Plank SM 8.25 Pearl Gray</t>
  </si>
  <si>
    <t>25H5KS8SLS</t>
  </si>
  <si>
    <t>HZ5 Plank SM 8.25 Slate Steps</t>
  </si>
  <si>
    <t>25H5KS9</t>
  </si>
  <si>
    <t>HZ5 Plank SM 9.25 Primed</t>
  </si>
  <si>
    <t>25H5NR23MK</t>
  </si>
  <si>
    <t>HZ5 NT3 5/4 3.5X12' RS Midnt Blk</t>
  </si>
  <si>
    <t>25H5NR25AW</t>
  </si>
  <si>
    <t>HZ5 NT3 5/4 5.5X12'  RS Arctic Wht</t>
  </si>
  <si>
    <t>25H5NR25MK</t>
  </si>
  <si>
    <t>HZ5 NT3 5/4 5.5X12' RS Midnt Blk</t>
  </si>
  <si>
    <t>25H5NR27AW</t>
  </si>
  <si>
    <t>HZ5 NT3 5/4 7.25X12' RS Arctic Wht</t>
  </si>
  <si>
    <t>25H5NR27MK</t>
  </si>
  <si>
    <t>HZ5 NT3 5/4 7.25X12' RS Midnt Black</t>
  </si>
  <si>
    <t>25H5NR29</t>
  </si>
  <si>
    <t>HZ5 NT3 5/4 9.25X12' RS Primed</t>
  </si>
  <si>
    <t>25H5NS21</t>
  </si>
  <si>
    <t>HZ5 NT3 5/4 11.25X12 SM PRIMED</t>
  </si>
  <si>
    <t>25H5NS21AW</t>
  </si>
  <si>
    <t>HZ5 NT3 5/4 11.25X12 SM ARCTIC WHTE</t>
  </si>
  <si>
    <t>25H5NS21IG</t>
  </si>
  <si>
    <t>HZ5 NT3 5/4 11.25X12 SM IRON GREY</t>
  </si>
  <si>
    <t>25H5NS21PA</t>
  </si>
  <si>
    <t>HZ5 NT3 5/4 11.25X12 SM PANDAG</t>
  </si>
  <si>
    <t>25H5NS23</t>
  </si>
  <si>
    <t>HZ5 NT3 5/4 3.5X12'  SM PRIMED</t>
  </si>
  <si>
    <t>25H5NS23AW</t>
  </si>
  <si>
    <t>HZ5 NT3 5/4 3.5X12'  SM ARCTIC WHTE</t>
  </si>
  <si>
    <t>25H5NS23CS</t>
  </si>
  <si>
    <t>HZ5 NT3 5/4 3.5X12'  SM COBBLESTONE</t>
  </si>
  <si>
    <t>25H5NS23IG</t>
  </si>
  <si>
    <t>HZ5 NT3 5/4 3.5X12'  SM IRON GREY</t>
  </si>
  <si>
    <t>25H5NS24</t>
  </si>
  <si>
    <t>HZ5 NT3 5/4 4.5X12'  SM PRIMED</t>
  </si>
  <si>
    <t>25H5NS25</t>
  </si>
  <si>
    <t>HZ5 NT3 5/4 5.5X12'  SM PRIMED</t>
  </si>
  <si>
    <t>25H5NS25AW</t>
  </si>
  <si>
    <t>HZ5 NT3 5/4 5.5X12'  SM ARCTIC WHTE</t>
  </si>
  <si>
    <t>25H5NS25IG</t>
  </si>
  <si>
    <t>HZ5 NT3 5/4 5.5X12'  SM IRON GREY</t>
  </si>
  <si>
    <t>25H5NS25MK</t>
  </si>
  <si>
    <t>HZ5 NT3 5/4 5.5X12'  SM MIDNIGHT BK</t>
  </si>
  <si>
    <t>25H5NS27</t>
  </si>
  <si>
    <t>HZ5 NT3 5/4 7.25X12' SM PRIMED</t>
  </si>
  <si>
    <t>25H5NS27AW</t>
  </si>
  <si>
    <t>HZ5 NT3 5/4 7.25X12' SM ARCTIC WHTE</t>
  </si>
  <si>
    <t>25H5NS27IG</t>
  </si>
  <si>
    <t>HZ5 NT3 5/4 7.25X12' SM IRON GRAY</t>
  </si>
  <si>
    <t>25H5NS27PA</t>
  </si>
  <si>
    <t>HZ5 NT3 5/4 7.25X12' SM PANDAG</t>
  </si>
  <si>
    <t>25H5NS29</t>
  </si>
  <si>
    <t>HZ5 NT3 5/4 9.25X12' SM Primed</t>
  </si>
  <si>
    <t>25H5P80</t>
  </si>
  <si>
    <t>HZ5 PANEL SIERRA 8 4X10 PRIMED</t>
  </si>
  <si>
    <t>25H5P88</t>
  </si>
  <si>
    <t>HZ5 PANEL SIERRA 8 4X8  PRIMED</t>
  </si>
  <si>
    <t>25H5PC0</t>
  </si>
  <si>
    <t>HZ5 PANEL CM 4X10 PRIMED</t>
  </si>
  <si>
    <t>25H5PC0AW</t>
  </si>
  <si>
    <t>HZ5 PANEL CM 4X10 ARCTIC WHITE</t>
  </si>
  <si>
    <t>25H5PC0CR</t>
  </si>
  <si>
    <t>HZ5 Panel CM 4X10 Countrylane Red</t>
  </si>
  <si>
    <t>25H5PC0CS</t>
  </si>
  <si>
    <t>HZ5 PANEL CM 4X10 COBBLE STONE</t>
  </si>
  <si>
    <t>25H5PC0CU</t>
  </si>
  <si>
    <t>HZ5 PANEL CM 4X10 CUSTOM</t>
  </si>
  <si>
    <t>25H5PC0DO</t>
  </si>
  <si>
    <t>HZ5 Panel CM 4X10 Deep Ocean</t>
  </si>
  <si>
    <t>25H5PC0MK</t>
  </si>
  <si>
    <t>HZ5 Panel CM 4X10 Midnight Black</t>
  </si>
  <si>
    <t>25H5PC0RE</t>
  </si>
  <si>
    <t>HZ5 PANEL CM 4X10 RICH ESPRESSO</t>
  </si>
  <si>
    <t>25H5PC0SSB</t>
  </si>
  <si>
    <t>HZ5 Panel CM 4X10 Shou Sugi Ban</t>
  </si>
  <si>
    <t>25H5PC8</t>
  </si>
  <si>
    <t>HZ5 PANEL CM 4X8  PRIMED</t>
  </si>
  <si>
    <t>25H5PC8AW</t>
  </si>
  <si>
    <t>HZ5 PANEL CM 4X8  ARCTIC WHITE</t>
  </si>
  <si>
    <t>25H5PC8CR</t>
  </si>
  <si>
    <t>HZ5 PANEL CM 4X8  COUNTRYLANE RED</t>
  </si>
  <si>
    <t>25H5PC8CS</t>
  </si>
  <si>
    <t>HZ5 Panel CM 4X8 Cobble Stone</t>
  </si>
  <si>
    <t>25H5PC8DO</t>
  </si>
  <si>
    <t>HZ5 Panel CM 4X8 Deep Ocean</t>
  </si>
  <si>
    <t>25H5PC8SSB</t>
  </si>
  <si>
    <t>HZ5 Panel CM 4X8 Shou Sugi Ban</t>
  </si>
  <si>
    <t>25H5PS0</t>
  </si>
  <si>
    <t>HZ5 PANEL SMOOTH 4X10 PRIMED</t>
  </si>
  <si>
    <t>25H5PS0AP</t>
  </si>
  <si>
    <t>HZ5 PANEL SMOOTH 4X10 AGED PEWTER</t>
  </si>
  <si>
    <t>25H5PS0AW</t>
  </si>
  <si>
    <t>HZ5 PANEL SMOOTH 4X10 ARCTIC WHITE</t>
  </si>
  <si>
    <t>25H5PS0BB</t>
  </si>
  <si>
    <t>HZ5 PANEL SMOOTH 4X10 BOOTHBAY BLUE</t>
  </si>
  <si>
    <t>25H5PS0CR</t>
  </si>
  <si>
    <t>HZ5 PANEL SMOOTH 4X10 COUNTRYLANE</t>
  </si>
  <si>
    <t>25H5PS0CS</t>
  </si>
  <si>
    <t>HZ5 PANEL SMOOTH 4X10 COBBLE STONE</t>
  </si>
  <si>
    <t>25H5PS0DO</t>
  </si>
  <si>
    <t>HZ5 PANEL SMOOTH 4X10 DEEP OCEAN</t>
  </si>
  <si>
    <t>25H5PS0EB</t>
  </si>
  <si>
    <t>HZ5 PANEL SMOOTH 4X10 EVENING BLUE</t>
  </si>
  <si>
    <t>25H5PS0GS</t>
  </si>
  <si>
    <t>HZ5 PANEL SMOOTH 4X10 GRY SLATE</t>
  </si>
  <si>
    <t>25H5PS0HM</t>
  </si>
  <si>
    <t>HZ5 PANEL SMOOTH 4X10 HEATHER MOSS</t>
  </si>
  <si>
    <t>25H5PS0IG</t>
  </si>
  <si>
    <t>HZ5 PANEL SMOOTH 4X10 IRON GRAY</t>
  </si>
  <si>
    <t>25H5PS0KB</t>
  </si>
  <si>
    <t>HZ5 PANEL SMOOTH 4X10 KHAKI BROWN</t>
  </si>
  <si>
    <t>25H5PS0LM</t>
  </si>
  <si>
    <t>HZ5 Panel Smooth 4X10 Light Mist</t>
  </si>
  <si>
    <t>25H5PS0MK</t>
  </si>
  <si>
    <t>HZ5 Panel Smooth 4X10 Midnight Blck</t>
  </si>
  <si>
    <t>25H5PS0MS</t>
  </si>
  <si>
    <t>HZ5 PANEL SMOOTH 4X10 MOUNTAIN SAGE</t>
  </si>
  <si>
    <t>25H5PS0MT</t>
  </si>
  <si>
    <t>HZ5 PANEL SMOOTH 4X10 MONTEREY TAUP</t>
  </si>
  <si>
    <t>25H5PS0NB</t>
  </si>
  <si>
    <t>HZ5 PANEL SMOOTH 4X10 NAVAJO BEIGE</t>
  </si>
  <si>
    <t>25H5PS0NG</t>
  </si>
  <si>
    <t>HZ5 Panel Smooth 4X10 Night Gray</t>
  </si>
  <si>
    <t>25H5PS0PG</t>
  </si>
  <si>
    <t>HZ5 PANEL SMOOTH 4X10 PEARL GRAY</t>
  </si>
  <si>
    <t>25H5PS0RE</t>
  </si>
  <si>
    <t>HZ5 PANEL SMOOTH 4X10 RICH ESPRESSO</t>
  </si>
  <si>
    <t>25H5PS0TB</t>
  </si>
  <si>
    <t>HZ5 PANEL SMOOTH 4X10 TIMBER BARK</t>
  </si>
  <si>
    <t>25H5PS8</t>
  </si>
  <si>
    <t>HZ5 PANEL SMOOTH 4X8  PRIMED</t>
  </si>
  <si>
    <t>25H5PS8AP</t>
  </si>
  <si>
    <t>HZ5 PANEL SMOOTH 4X8  AGED PEWTER</t>
  </si>
  <si>
    <t>25H5PS8AT</t>
  </si>
  <si>
    <t>HZ5 PANEL SMOOTH 4X8  AUTUMN TAN</t>
  </si>
  <si>
    <t>25H5PS8AW</t>
  </si>
  <si>
    <t>HZ5 PANEL SMOOTH 4X8  ARCTIC WHITE</t>
  </si>
  <si>
    <t>25H5PS8BB</t>
  </si>
  <si>
    <t>HZ5 Panel Smooth 4X8 Boothbay Blue</t>
  </si>
  <si>
    <t>25H5PS8CR</t>
  </si>
  <si>
    <t>HZ5 PANEL SMOOTH 4X8  COUNTRYLANE</t>
  </si>
  <si>
    <t>25H5PS8CS</t>
  </si>
  <si>
    <t>HZ5 PANEL SMOOTH 4X8  COBBLE STONE</t>
  </si>
  <si>
    <t>25H5PS8DO</t>
  </si>
  <si>
    <t>HZ5 PANEL SMOOTH 4X8  DEEP OCEAN</t>
  </si>
  <si>
    <t>25H5PS8EB</t>
  </si>
  <si>
    <t>HZ5 PANEL SMOOTH 4X8  EVENING BLUE</t>
  </si>
  <si>
    <t>25H5PS8GS</t>
  </si>
  <si>
    <t>HZ5 PANEL SMOOTH 4X8  GRY SLATE</t>
  </si>
  <si>
    <t>25H5PS8HM</t>
  </si>
  <si>
    <t>HZ5 PANEL SMOOTH 4X8  HEATHER MOSS</t>
  </si>
  <si>
    <t>25H5PS8IG</t>
  </si>
  <si>
    <t>HZ5 PANEL SMOOTH 4X8  IRON GRAY</t>
  </si>
  <si>
    <t>25H5PS8KB</t>
  </si>
  <si>
    <t>HZ5 PANEL SMOOTH 4X8  KHAKI BROWN</t>
  </si>
  <si>
    <t>25H5PS8LM</t>
  </si>
  <si>
    <t>HZ5 PANEL SMOOTH 4X8  LIGHT MIST</t>
  </si>
  <si>
    <t>25H5PS8MK</t>
  </si>
  <si>
    <t>HZ5 Panel Smooth 4X8 Midnight Black</t>
  </si>
  <si>
    <t>25H5PS8MS</t>
  </si>
  <si>
    <t>HZ5 PANEL SMOOTH 4X8  MOUNTAIN SAGE</t>
  </si>
  <si>
    <t>25H5PS8MT</t>
  </si>
  <si>
    <t>HZ5 PANEL SMOOTH 4X8  MONTEREY TAUP</t>
  </si>
  <si>
    <t>25H5PS8NB</t>
  </si>
  <si>
    <t>HZ5 Panel Smooth 4X8  Navajo Beige</t>
  </si>
  <si>
    <t>25H5PS8NG</t>
  </si>
  <si>
    <t>HZ5 Panel Smooth 4X8 Night Gray</t>
  </si>
  <si>
    <t>25H5PS8PG</t>
  </si>
  <si>
    <t>HZ5 PANEL SMOOTH 4X8  PEARL GRAY</t>
  </si>
  <si>
    <t>25H5PS8RE</t>
  </si>
  <si>
    <t>HZ5 PANEL SMOOTH 4X8  RICH ESPRESSO</t>
  </si>
  <si>
    <t>25H5PS8TB</t>
  </si>
  <si>
    <t>HZ5 PANEL SMOOTH 4X8  TIMBER BARK</t>
  </si>
  <si>
    <t>25H5PT0</t>
  </si>
  <si>
    <t>HZ5 PANEL STUCCO 4X10 PRIMED</t>
  </si>
  <si>
    <t>25H5SVC4</t>
  </si>
  <si>
    <t>HZ5 Soff CM Ventd 24"X8' Primed</t>
  </si>
  <si>
    <t>25H5SVC4IG</t>
  </si>
  <si>
    <t>HZ5 Soff CM Ventd 24"X8' Iron Gray</t>
  </si>
  <si>
    <t>25JHTTC50I</t>
  </si>
  <si>
    <t>HARDI TRIM 5"   CRNR TABS</t>
  </si>
  <si>
    <t>25JHTTC80I</t>
  </si>
  <si>
    <t>HARDI TRIM 8"   CRNR TABS</t>
  </si>
  <si>
    <t>25JHTTF3I</t>
  </si>
  <si>
    <t>HARDI TRIM 3" FLAT TABS</t>
  </si>
  <si>
    <t>25LP40503</t>
  </si>
  <si>
    <t>LP ExpFin 3/8 16X192 NGSE Cdr Prime</t>
  </si>
  <si>
    <t>25LP41714</t>
  </si>
  <si>
    <t>LP ExpFin 3/8 4X10 NGSL Cdr Snw Wht</t>
  </si>
  <si>
    <t>25LP41721</t>
  </si>
  <si>
    <t>LP EXPFIN 19/32 3X16 CDR SNOW WHITE</t>
  </si>
  <si>
    <t>25LP41730</t>
  </si>
  <si>
    <t>LP ExpFin 3/8 16X192 NGSE Cdr SnWht</t>
  </si>
  <si>
    <t>25LP41741</t>
  </si>
  <si>
    <t>LP ExpFin 3/8 4X8  NGSL Cdr Snw Wht</t>
  </si>
  <si>
    <t>25LP41771</t>
  </si>
  <si>
    <t>LP ExpFin 3/8 4X10 NGSL Cdr AbysBlk</t>
  </si>
  <si>
    <t>25LP41773</t>
  </si>
  <si>
    <t>LP ExpFin 3/8 8X16 Cdr Abyss Black</t>
  </si>
  <si>
    <t>25LP41775</t>
  </si>
  <si>
    <t>LP ExpFin 3/8 16X192 NGSE Cdr AbBlk</t>
  </si>
  <si>
    <t>25LP41797</t>
  </si>
  <si>
    <t>LP ExpFin 19/32 3X16 Cdr Abyss Blck</t>
  </si>
  <si>
    <t>25LP41833</t>
  </si>
  <si>
    <t>LP ExpFin 3/8 4X8 NGSL Cdr AbysBlk</t>
  </si>
  <si>
    <t>25LP41886</t>
  </si>
  <si>
    <t>LP ExpFin 3/8 8X16 Cdr Timberland Suede</t>
  </si>
  <si>
    <t>25LP42271</t>
  </si>
  <si>
    <t>LP ExpFin 3/8 8X16 Cdr Snowscpe Wht</t>
  </si>
  <si>
    <t>25LP42272</t>
  </si>
  <si>
    <t>LP ExpFin 3/8 8X16 Cdr Sand Dune</t>
  </si>
  <si>
    <t>25LP42277</t>
  </si>
  <si>
    <t>LP ExpFin 3/8 8X16 Cdr Terra Brown</t>
  </si>
  <si>
    <t>25LP42278</t>
  </si>
  <si>
    <t>LP ExpFin 3/8 8X16 Cdr Prairie Clay</t>
  </si>
  <si>
    <t>25LP42279</t>
  </si>
  <si>
    <t>25LP42287</t>
  </si>
  <si>
    <t>LP ExpFin 3/8 8X16 Cdr Rapids Blue</t>
  </si>
  <si>
    <t>25LP42288</t>
  </si>
  <si>
    <t>LP ExpFin 3/8 8X16 Cdr Quarry Gray</t>
  </si>
  <si>
    <t>25LP42293</t>
  </si>
  <si>
    <t>LP ExpFin 3/8 8X16 Cdr Redwood Red</t>
  </si>
  <si>
    <t>25LP42301</t>
  </si>
  <si>
    <t>LP ExpFin 3/8 8X16 Cdr Cavern Steel</t>
  </si>
  <si>
    <t>25LP43348</t>
  </si>
  <si>
    <t>LP ExpFin 3/8 4X8  NGSL Cdr CvrnStl</t>
  </si>
  <si>
    <t>25LP45284</t>
  </si>
  <si>
    <t>LP ExpFin 3/8 8X16 Cdr Harvst Honey</t>
  </si>
  <si>
    <t>25LP45325</t>
  </si>
  <si>
    <t>LP EXPFIN 3/8 8X16 CDR GARDEN SAGE</t>
  </si>
  <si>
    <t>25LP45326</t>
  </si>
  <si>
    <t>LP ExpFin 3/8 8X16 Cdr Midnght Shad</t>
  </si>
  <si>
    <t>25LP45332</t>
  </si>
  <si>
    <t>LP ExpFin 19/32 3X16 Cdr Midnght Sh</t>
  </si>
  <si>
    <t>25LP45389</t>
  </si>
  <si>
    <t>LP ExpFin 3/8 4X10 NGSL Cdr MidShad</t>
  </si>
  <si>
    <t>25LP45396</t>
  </si>
  <si>
    <t>LP ExpFin 12X48 Shk Cdr Harvst Hony</t>
  </si>
  <si>
    <t>25LPCSK324</t>
  </si>
  <si>
    <t>LP SMARTSIDE CEDAR SHK 3/8 12X48 PR</t>
  </si>
  <si>
    <t>25LPLC32P</t>
  </si>
  <si>
    <t>LP Smartside Lap Cedar 3/8X12" Prim</t>
  </si>
  <si>
    <t>25LPLC38P</t>
  </si>
  <si>
    <t>LP Smartside Lap Cedar 3/8X8"X12' Primed</t>
  </si>
  <si>
    <t>25LPP340N</t>
  </si>
  <si>
    <t>LP SMARTSIDE PNL 3/8  4X10  NO GRV</t>
  </si>
  <si>
    <t>25LPP34108</t>
  </si>
  <si>
    <t>LP SMARTSIDE PNL 3/8 4X10 8"OC PRIM</t>
  </si>
  <si>
    <t>25LPP3488</t>
  </si>
  <si>
    <t>LP SMARTSIDE PNL 3/8 4X8 8" OC PRIM</t>
  </si>
  <si>
    <t>25LPP348N</t>
  </si>
  <si>
    <t>LP SMARTSIDE PNL 3/8  4X8  NO GRV</t>
  </si>
  <si>
    <t>25LRRP11KR</t>
  </si>
  <si>
    <t>Lux 9.5" RP10 Panel Knot Redwood 10'</t>
  </si>
  <si>
    <t>25LRRP13KR</t>
  </si>
  <si>
    <t>Lux 9.5" RP10 Panel Knot Redwood 13'</t>
  </si>
  <si>
    <t>25LRRP43KR</t>
  </si>
  <si>
    <t>Lux 3.5" RP4 Panel Knot Redwood 13'</t>
  </si>
  <si>
    <t>25LRRP63KR</t>
  </si>
  <si>
    <t>Lux 5.5" RP6 Panel Knot Redwood 13'</t>
  </si>
  <si>
    <t>25LRS410CC</t>
  </si>
  <si>
    <t>Lux Sheet 4' x 10' Classic Cherry</t>
  </si>
  <si>
    <t>25LRS410CE</t>
  </si>
  <si>
    <t>Lux Sheet 4' x 10' Cedar</t>
  </si>
  <si>
    <t>25LRS410KD</t>
  </si>
  <si>
    <t>Lux Sheet 4' x 10' Knotty Desert Oak</t>
  </si>
  <si>
    <t>25LRVGP4CC</t>
  </si>
  <si>
    <t>Lux 4" LUXLAP Panel Clas Cherry</t>
  </si>
  <si>
    <t>25LRVGP4CE</t>
  </si>
  <si>
    <t>Lux 4" LUXLAP Panel Cedar</t>
  </si>
  <si>
    <t>25LRVGP4DC</t>
  </si>
  <si>
    <t>Lux 4" LUXLAP Panel Dark Cherry</t>
  </si>
  <si>
    <t>25LRVGP4FI</t>
  </si>
  <si>
    <t>Lux 4" LUXLAP Panel Fir</t>
  </si>
  <si>
    <t>25LRVGP4GW</t>
  </si>
  <si>
    <t>Lux 4" LUXLAP Panel Glacier White</t>
  </si>
  <si>
    <t>25LRVGP4KD</t>
  </si>
  <si>
    <t>Lux 4" LUXLAP Panel Knot Des Oak</t>
  </si>
  <si>
    <t>25LRVGP4KO</t>
  </si>
  <si>
    <t>Lux 4" LUXLAP Panel Kona</t>
  </si>
  <si>
    <t>25LRVGP4KR</t>
  </si>
  <si>
    <t>Lux 4" LUXLAP Panel Knot Redwood</t>
  </si>
  <si>
    <t>25LRVGP4KT</t>
  </si>
  <si>
    <t>Lux 4" LUXLAP Panel Knot Teak</t>
  </si>
  <si>
    <t>25LRVGP4SM</t>
  </si>
  <si>
    <t>Lux 4" LUXLAP Panel Silver Metallic</t>
  </si>
  <si>
    <t>25LRVGP4SU</t>
  </si>
  <si>
    <t>Lux 4" LUXLAP Panel Suede</t>
  </si>
  <si>
    <t>25LRVGP4TB</t>
  </si>
  <si>
    <t>Lux 4" LUXLAP Panel Textured Black Onyx</t>
  </si>
  <si>
    <t>25LRVGP4WA</t>
  </si>
  <si>
    <t>Lux 4" LUXLAP Panel Walnut</t>
  </si>
  <si>
    <t>25LRVGP6CC</t>
  </si>
  <si>
    <t>Lux 6" LUXLAP Panel Clas Cherry</t>
  </si>
  <si>
    <t>25LRVGP6CE</t>
  </si>
  <si>
    <t>Lux 6" LUXLAP Panel Cedar</t>
  </si>
  <si>
    <t>25LRVGP6DC</t>
  </si>
  <si>
    <t>Lux 6" LUXLAP Panel Dark Cherry</t>
  </si>
  <si>
    <t>25LRVGP6ES</t>
  </si>
  <si>
    <t>Lux 6" LUXLAP Panel Espresso</t>
  </si>
  <si>
    <t>25LRVGP6FI</t>
  </si>
  <si>
    <t>Lux 6" LUXLAP Panel Fir</t>
  </si>
  <si>
    <t>25LRVGP6KC</t>
  </si>
  <si>
    <t>Lux 6" LUXLAP Panel Knotty Chestnut</t>
  </si>
  <si>
    <t>25LRVGP6KD</t>
  </si>
  <si>
    <t>Lux 6" LUXLAP Panel Knot Des Oak</t>
  </si>
  <si>
    <t>25LRVGP6KE</t>
  </si>
  <si>
    <t>Lux 6" LUXLAP Panel Knotty Ebony</t>
  </si>
  <si>
    <t>25LRVGP6KO</t>
  </si>
  <si>
    <t>Lux 6" LUXLAP Panel Kona</t>
  </si>
  <si>
    <t>25LRVGP6KR</t>
  </si>
  <si>
    <t>Lux 6" LUXLAP Panel Knot Redwood</t>
  </si>
  <si>
    <t>25LRVGP6KT</t>
  </si>
  <si>
    <t>Lux 6" LUXLAP Panel Knot Teak</t>
  </si>
  <si>
    <t>25LRVGP6NF</t>
  </si>
  <si>
    <t>Lux 6" LUXLAP Panel Natural Fawn</t>
  </si>
  <si>
    <t>25LRVGP6NH</t>
  </si>
  <si>
    <t>Lux 6" LUXLAP Panel Nat Heartwood</t>
  </si>
  <si>
    <t>25LRVGP6PE</t>
  </si>
  <si>
    <t>Lux 6" LUXLAP Panel Pecan</t>
  </si>
  <si>
    <t>25LRVGP6SU</t>
  </si>
  <si>
    <t>Lux 6" LUXLAP Panel Suede</t>
  </si>
  <si>
    <t>25LRVGP6TC</t>
  </si>
  <si>
    <t>Lux 6" LUXLAP Panel Textured Coffee</t>
  </si>
  <si>
    <t>25LRVGP6WA</t>
  </si>
  <si>
    <t>Lux 6" LUXLAP Panel Walnut</t>
  </si>
  <si>
    <t>25LRVGP6WO</t>
  </si>
  <si>
    <t>Lux 6" LUXLAP Panel White Oak</t>
  </si>
  <si>
    <t>25MACCV9BK</t>
  </si>
  <si>
    <t>Maibec Canexel Ced'R Vue 9" Black</t>
  </si>
  <si>
    <t>25MACCV9CS</t>
  </si>
  <si>
    <t>Maibec Canexel Ced'R Vue 9" Cliffsi</t>
  </si>
  <si>
    <t>25MACCV9GR</t>
  </si>
  <si>
    <t>Maibec Canexel Ced'R Vue 9" Granite</t>
  </si>
  <si>
    <t>25MACCV9MB</t>
  </si>
  <si>
    <t>Maibec Canexel Ced'R Vue 9" Mid Blu</t>
  </si>
  <si>
    <t>25MACCV9RF</t>
  </si>
  <si>
    <t>Maibec Canexel Ced'R Vue 9" Red Fox</t>
  </si>
  <si>
    <t>25MACCV9SA</t>
  </si>
  <si>
    <t>Maibec Canexel Ced'R Vue 9" Sand</t>
  </si>
  <si>
    <t>25MACCV9SC</t>
  </si>
  <si>
    <t>Maibec Canexel Ced'R Vue 9" Scandinave</t>
  </si>
  <si>
    <t>25MACCV9SW</t>
  </si>
  <si>
    <t>Maibec Canexel Ced'R Vue 9" Sandalwood</t>
  </si>
  <si>
    <t>25MACCV9TW</t>
  </si>
  <si>
    <t>Maibec Canexel Ced'R Vue 9" Timberwolf</t>
  </si>
  <si>
    <t>25MACCV9WH</t>
  </si>
  <si>
    <t>Maibec Canexel Ced'R Vue 9" White</t>
  </si>
  <si>
    <t>25MACRD5AC</t>
  </si>
  <si>
    <t>Maibec Canexel Ridgewood D5 Acadia</t>
  </si>
  <si>
    <t>25MACRD5CS</t>
  </si>
  <si>
    <t>Maibec Canexel Ridgewood D5 Cliffside</t>
  </si>
  <si>
    <t>25MACRD5GR</t>
  </si>
  <si>
    <t>Maibec Canexel Ridgewood D5 Granite</t>
  </si>
  <si>
    <t>25MACRD5MG</t>
  </si>
  <si>
    <t>Maibec Canexel Ridgewood D5 Mist Grey</t>
  </si>
  <si>
    <t>25MACRD5TW</t>
  </si>
  <si>
    <t>Maibec Canexel Ridgewood D5 Timberwolf</t>
  </si>
  <si>
    <t>25MACRD5WH</t>
  </si>
  <si>
    <t>Maibec Canexel Ridgewood D5 White</t>
  </si>
  <si>
    <t>25MACUAC</t>
  </si>
  <si>
    <t>Maibec Canexel Ultra Plank Acadia</t>
  </si>
  <si>
    <t>25MACVSAC</t>
  </si>
  <si>
    <t>Maibec Canexel VStyle Acadia</t>
  </si>
  <si>
    <t>25MACVSMG</t>
  </si>
  <si>
    <t>Maibec Canexel VStyle Mist Grey</t>
  </si>
  <si>
    <t>25MACVSWH</t>
  </si>
  <si>
    <t>Maibec Canexel VStyle White</t>
  </si>
  <si>
    <t>25MFCJ1123</t>
  </si>
  <si>
    <t>FOUNDRY 1" J CHAN #123</t>
  </si>
  <si>
    <t>25MFCJ1179</t>
  </si>
  <si>
    <t>FOUNDRY 1" J CHAN #179</t>
  </si>
  <si>
    <t>25MFCJ1180</t>
  </si>
  <si>
    <t>FOUNDRY 1" J CHAN #180</t>
  </si>
  <si>
    <t>25MFCJ1210</t>
  </si>
  <si>
    <t>FOUNDRY 1" J CHAN #210</t>
  </si>
  <si>
    <t>25MFCJ1235</t>
  </si>
  <si>
    <t>FOUNDRY 1" J CHAN #235</t>
  </si>
  <si>
    <t>25MFCJ1258</t>
  </si>
  <si>
    <t>FOUNDRY 1" J CHAN #258</t>
  </si>
  <si>
    <t>25MFCJ1278</t>
  </si>
  <si>
    <t>FOUNDRY 1" J CHAN #278</t>
  </si>
  <si>
    <t>25MFCJ1717</t>
  </si>
  <si>
    <t>Foundry 1" J Chan #717</t>
  </si>
  <si>
    <t>25MFHS008</t>
  </si>
  <si>
    <t>Foundry Hand Split #008</t>
  </si>
  <si>
    <t>25MFHS017</t>
  </si>
  <si>
    <t>FOUNDRY HAND SPLIT #017</t>
  </si>
  <si>
    <t>25MFHS034</t>
  </si>
  <si>
    <t>Foundry Hand Split #034</t>
  </si>
  <si>
    <t>25MFHS048</t>
  </si>
  <si>
    <t>Foundry Hand Split #048</t>
  </si>
  <si>
    <t>25MFHS049</t>
  </si>
  <si>
    <t>FOUNDRY HAND SPLIT #049</t>
  </si>
  <si>
    <t>25MFHS069</t>
  </si>
  <si>
    <t>Foundry Hand Split #069</t>
  </si>
  <si>
    <t>25MFHS123</t>
  </si>
  <si>
    <t>FOUNDRY HAND SPLIT #123</t>
  </si>
  <si>
    <t>25MFHS152</t>
  </si>
  <si>
    <t>Foundry Hand Split #152</t>
  </si>
  <si>
    <t>25MFHS180</t>
  </si>
  <si>
    <t>FOUNDRY HAND SPLIT #180</t>
  </si>
  <si>
    <t>25MFHS202</t>
  </si>
  <si>
    <t>Foundry Hand Split #202</t>
  </si>
  <si>
    <t>25MFHS230</t>
  </si>
  <si>
    <t>FOUNDRY HAND SPLIT #230</t>
  </si>
  <si>
    <t>25MFHS241</t>
  </si>
  <si>
    <t>FOUNDRY HAND SPLIT #241</t>
  </si>
  <si>
    <t>25MFHS242</t>
  </si>
  <si>
    <t>FOUNDRY HAND SPLIT #242</t>
  </si>
  <si>
    <t>25MFHS246</t>
  </si>
  <si>
    <t>FOUNDRY HAND SPLIT #246</t>
  </si>
  <si>
    <t>25MFHS248</t>
  </si>
  <si>
    <t>Foundry Hand Split #248</t>
  </si>
  <si>
    <t>25MFHS258</t>
  </si>
  <si>
    <t>Foundry Hand Split #258</t>
  </si>
  <si>
    <t>25MFHS276</t>
  </si>
  <si>
    <t>Foundry Hand Split #276</t>
  </si>
  <si>
    <t>25MFHS278</t>
  </si>
  <si>
    <t>Foundry Hand Split #278</t>
  </si>
  <si>
    <t>25MFHS515</t>
  </si>
  <si>
    <t>FOUNDRY HAND SPLIT #515</t>
  </si>
  <si>
    <t>25MFHS528</t>
  </si>
  <si>
    <t>Foundry Hand Split #528</t>
  </si>
  <si>
    <t>pnl</t>
  </si>
  <si>
    <t>25MFHS612</t>
  </si>
  <si>
    <t>Foundry Hand Split #612 Saffron</t>
  </si>
  <si>
    <t>25MFHS692</t>
  </si>
  <si>
    <t>Foundry Hand Split #692</t>
  </si>
  <si>
    <t>25MFHS804</t>
  </si>
  <si>
    <t>FOUNDRY HAND SPLIT #804</t>
  </si>
  <si>
    <t>25MFHS806</t>
  </si>
  <si>
    <t>FOUNDRY HAND SPLIT #806</t>
  </si>
  <si>
    <t>25MFHS808</t>
  </si>
  <si>
    <t>FOUNDRY HAND SPLIT #808</t>
  </si>
  <si>
    <t>25MFHS809</t>
  </si>
  <si>
    <t>FOUNDRY HAND SPLIT #809</t>
  </si>
  <si>
    <t>25MFHS820</t>
  </si>
  <si>
    <t>FOUNDRY HAND SPLIT #820</t>
  </si>
  <si>
    <t>25MFHS821</t>
  </si>
  <si>
    <t>FOUNDRY HAND SPLIT #821</t>
  </si>
  <si>
    <t>25MFHS822</t>
  </si>
  <si>
    <t>FOUNDRY HAND SPLIT #822</t>
  </si>
  <si>
    <t>25MFHS823</t>
  </si>
  <si>
    <t>FOUNDRY HAND SPLIT #823</t>
  </si>
  <si>
    <t>25MFHS825</t>
  </si>
  <si>
    <t>FOUNDRY HAND SPLIT #825</t>
  </si>
  <si>
    <t>25MFHS826</t>
  </si>
  <si>
    <t>FOUNDRY HAND SPLIT #826</t>
  </si>
  <si>
    <t>25MFHS827</t>
  </si>
  <si>
    <t>FOUNDRY HAND SPLIT #827</t>
  </si>
  <si>
    <t>25MFHS828</t>
  </si>
  <si>
    <t>FOUNDRY HAND SPLIT #828</t>
  </si>
  <si>
    <t>25MFHS830</t>
  </si>
  <si>
    <t>FOUNDRY HAND SPLIT #830</t>
  </si>
  <si>
    <t>25MFHS832</t>
  </si>
  <si>
    <t>FOUNDRY HAND SPLIT #832</t>
  </si>
  <si>
    <t>25MFHS833</t>
  </si>
  <si>
    <t>FOUNDRY HAND SPLIT #833</t>
  </si>
  <si>
    <t>25MFHS834</t>
  </si>
  <si>
    <t>FOUNDRY HAND SPLIT #834</t>
  </si>
  <si>
    <t>25MFHS835</t>
  </si>
  <si>
    <t>Foundry Hand Split #835</t>
  </si>
  <si>
    <t>25MFHS888</t>
  </si>
  <si>
    <t>Foundry Hand Split #888</t>
  </si>
  <si>
    <t>25MFHS889</t>
  </si>
  <si>
    <t>Foundry Hand Split #889</t>
  </si>
  <si>
    <t>25MFHS890</t>
  </si>
  <si>
    <t>Foundry Hand Split #890</t>
  </si>
  <si>
    <t>25MFHS891</t>
  </si>
  <si>
    <t>Foundry Hand Split #891</t>
  </si>
  <si>
    <t>25MFHSSS</t>
  </si>
  <si>
    <t>FOUNDRY HAND SPLIT #116 SEASHELL</t>
  </si>
  <si>
    <t>25MFST7278</t>
  </si>
  <si>
    <t>Foundry 7" Stagg #278</t>
  </si>
  <si>
    <t>25MFST7804</t>
  </si>
  <si>
    <t>FOUNDRY  7" STAGG #804</t>
  </si>
  <si>
    <t>25MIHTUPAP</t>
  </si>
  <si>
    <t>HARDI TOUCH-UP KIT PINT AGED PEWTER</t>
  </si>
  <si>
    <t>25MIHTUPAT</t>
  </si>
  <si>
    <t>HARDI TOUCH-UP KIT PINT AUTUMN TAN</t>
  </si>
  <si>
    <t>25MIHTUPAW</t>
  </si>
  <si>
    <t>HARDI TOUCH-UP KIT PINT ARCTIC WHTE</t>
  </si>
  <si>
    <t>25MIHTUPBB</t>
  </si>
  <si>
    <t>HARDI TOUCH-UP KIT PINT BOOTHBY BLU</t>
  </si>
  <si>
    <t>25MIHTUPCB</t>
  </si>
  <si>
    <t>HARDI TOUCH-UP KIT PINT CHESTNT BRN</t>
  </si>
  <si>
    <t>25MIHTUPCR</t>
  </si>
  <si>
    <t>HARDI TOUCH-UP KIT PINT COUNTRYLANE</t>
  </si>
  <si>
    <t>25MIHTUPCS</t>
  </si>
  <si>
    <t>HARDI TOUCH-UP KIT PINT COBBLESTONE</t>
  </si>
  <si>
    <t>25MIHTUPDO</t>
  </si>
  <si>
    <t>HARDI TOUCH-UP KIT PINT DEEP OCEAN</t>
  </si>
  <si>
    <t>25MIHTUPEB</t>
  </si>
  <si>
    <t>HARDI TOUCH-UP KIT PINT EVENING BLU</t>
  </si>
  <si>
    <t>25MIHTUPGS</t>
  </si>
  <si>
    <t>HARDI TOUCH-UP KIT PINT GRAY SLATE</t>
  </si>
  <si>
    <t>25MIHTUPHM</t>
  </si>
  <si>
    <t>HARDI TOUCH-UP KIT PINT HEATHR MOSS</t>
  </si>
  <si>
    <t>25MIHTUPIG</t>
  </si>
  <si>
    <t>HARDI TOUCH-UP KIT PINT IRON GRAY</t>
  </si>
  <si>
    <t>25MIHTUPKB</t>
  </si>
  <si>
    <t>HARDI TOUCH-UP KIT PINT KHAKI BROWN</t>
  </si>
  <si>
    <t>25MIHTUPLM</t>
  </si>
  <si>
    <t>HARDI TOUCH-UP KIT PINT LIGHT MIST</t>
  </si>
  <si>
    <t>25MIHTUPMK</t>
  </si>
  <si>
    <t>Hardi Touch-UP Kit Pint Midnight Bk</t>
  </si>
  <si>
    <t>25MIHTUPMS</t>
  </si>
  <si>
    <t>HARDI TOUCH-UP KIT PINT MOUNTN SAGE</t>
  </si>
  <si>
    <t>25MIHTUPMT</t>
  </si>
  <si>
    <t>HARDI TOUCH-UP KIT PINT MONT TAUPE</t>
  </si>
  <si>
    <t>25MIHTUPNB</t>
  </si>
  <si>
    <t>HARDI TOUCH-UP KIT PINT NAVAJO BGE</t>
  </si>
  <si>
    <t>25MIHTUPNG</t>
  </si>
  <si>
    <t>HARDI TOUCH-UP KIT PINT NIGHT GRAY</t>
  </si>
  <si>
    <t>25MIHTUPPG</t>
  </si>
  <si>
    <t>HARDI TOUCH-UP KIT PINT PEARL GRAY</t>
  </si>
  <si>
    <t>25MIHTUPRE</t>
  </si>
  <si>
    <t>HARDI TOUCH-UP KIT PINT RICH ESPRES</t>
  </si>
  <si>
    <t>25MIHTUPTB</t>
  </si>
  <si>
    <t>HARDI TOUCH-UP KIT PINT TIMBER BARK</t>
  </si>
  <si>
    <t>25MIHTUPTR</t>
  </si>
  <si>
    <t>HARDI TOUCH-UP KIT PINT TRAD RED</t>
  </si>
  <si>
    <t>25MIHTUPWS</t>
  </si>
  <si>
    <t>HARDI TOUCH-UP KIT PINT WOODSTK BRN</t>
  </si>
  <si>
    <t>25OC002255</t>
  </si>
  <si>
    <t>Versetta Ledgestn Crnr 4SF Mission</t>
  </si>
  <si>
    <t>25OC002256</t>
  </si>
  <si>
    <t>VERSETTA LEDGESTN FLAT 4SF MISSION</t>
  </si>
  <si>
    <t>25OC002267</t>
  </si>
  <si>
    <t>Versetta Ledgestn Crnr 4SF Graphite</t>
  </si>
  <si>
    <t>25OC003766</t>
  </si>
  <si>
    <t>Versetta Ledge Ucrn 4SF/BX Sand</t>
  </si>
  <si>
    <t>25OC003767</t>
  </si>
  <si>
    <t>VERSETTA LEDGESTN FLAT 4SF SAND</t>
  </si>
  <si>
    <t>25OC004204</t>
  </si>
  <si>
    <t>VERSETTA LEDGESTN FLAT 4SF NRTH ASH</t>
  </si>
  <si>
    <t>25OC004214</t>
  </si>
  <si>
    <t>Versetta Ledgestn Crnr 4SF Nrth Ash</t>
  </si>
  <si>
    <t>25OC211230</t>
  </si>
  <si>
    <t>VERSETTA CARVD BLK FLAT 4SF MIDNGHT</t>
  </si>
  <si>
    <t>25OC211231</t>
  </si>
  <si>
    <t>VERSETTA CARVD BLK FLAT 4SF SEASALT</t>
  </si>
  <si>
    <t>25OC211250</t>
  </si>
  <si>
    <t>VERSETTA CARVD BLK UNIV 4SF MIDNGHT</t>
  </si>
  <si>
    <t>25OC211251</t>
  </si>
  <si>
    <t>VERSETTA CARVD BLK UNIV 4SF SEASALT</t>
  </si>
  <si>
    <t>25OC211856</t>
  </si>
  <si>
    <t>VERSETTA RECEPTACLE BOX CHARCOAL</t>
  </si>
  <si>
    <t>25OC211861</t>
  </si>
  <si>
    <t>VERSETTA LIGHT BOX CHARCOAL</t>
  </si>
  <si>
    <t>25OC421029</t>
  </si>
  <si>
    <t>VERSETTA WAINSCOT CAP CHARCOAL</t>
  </si>
  <si>
    <t>25OC562337</t>
  </si>
  <si>
    <t>VERSETTA LEDGESTN FLAT 4SF STERLING</t>
  </si>
  <si>
    <t>25OC562338</t>
  </si>
  <si>
    <t>VERSETTA LEDGESTN FLAT 4SF TER ROSA</t>
  </si>
  <si>
    <t>25OC562339</t>
  </si>
  <si>
    <t>VERSETTA LEDGESTN FLAT 4SF PLUM CRK</t>
  </si>
  <si>
    <t>25OC562836</t>
  </si>
  <si>
    <t>VERSETTA LEDGESTN CRNR 4SF STERLING</t>
  </si>
  <si>
    <t>25OC562837</t>
  </si>
  <si>
    <t>VERSETTA LEDGESTN CRNR 4SF TER ROSA</t>
  </si>
  <si>
    <t>25OC562838</t>
  </si>
  <si>
    <t>VERSETTA LEDGESTN CRNR 4SF PLUM CRK</t>
  </si>
  <si>
    <t>25OC568777</t>
  </si>
  <si>
    <t>VERSETTA RECEPTACLE BOX TAUPE</t>
  </si>
  <si>
    <t>25OC568778</t>
  </si>
  <si>
    <t>VERSETTA LIGHT BOX TAUPE</t>
  </si>
  <si>
    <t>25OC568781</t>
  </si>
  <si>
    <t>VERSETTA WAINSCOT CAP TAUPE</t>
  </si>
  <si>
    <t>25OC571884</t>
  </si>
  <si>
    <t>VERSETTA STARTER STRIP 10</t>
  </si>
  <si>
    <t>25OCVSMSB</t>
  </si>
  <si>
    <t>VERSETTA METAL SILL BRACKET 50/CTN</t>
  </si>
  <si>
    <t>25QSED2BB</t>
  </si>
  <si>
    <t>QSP 2" EDGE TRIM BLACK BLEND</t>
  </si>
  <si>
    <t>25QSED2LB</t>
  </si>
  <si>
    <t>QSP 2" EDGE TRIM LIGHT BROWN BLEND</t>
  </si>
  <si>
    <t>25QSED2RT</t>
  </si>
  <si>
    <t>QSP 2" EDGE TRIM RUSTIC TAN</t>
  </si>
  <si>
    <t>25QSET2DB</t>
  </si>
  <si>
    <t>QSP 2" EDGE TRIM DARK BROWN BLEND</t>
  </si>
  <si>
    <t>25QSLCBB</t>
  </si>
  <si>
    <t>QSP LIGHT COVER BLACK BLEND</t>
  </si>
  <si>
    <t>25QSLCDB</t>
  </si>
  <si>
    <t>QSP LIGHT COVER DARK BROWN BLEND</t>
  </si>
  <si>
    <t>25QSLCGB</t>
  </si>
  <si>
    <t>QSP LIGHT COVER GREY BLEND</t>
  </si>
  <si>
    <t>25QSLCLB</t>
  </si>
  <si>
    <t>QSP LIGHT COVER LIGHT BROWN BLEND</t>
  </si>
  <si>
    <t>25QSLCLS</t>
  </si>
  <si>
    <t>QSP LIGHT COVER LIMESTONE</t>
  </si>
  <si>
    <t>25QSLCRT</t>
  </si>
  <si>
    <t>QSP LIGHT COVER RUSTIC TAN</t>
  </si>
  <si>
    <t>25QSLSCLBB</t>
  </si>
  <si>
    <t>QSP LEDGESTONE OCP LEFT BLACK BLEND</t>
  </si>
  <si>
    <t>25QSLSCLDB</t>
  </si>
  <si>
    <t>QSP LEDGESTONE OCP LEFT DARK BROWN</t>
  </si>
  <si>
    <t>25QSLSCLGN</t>
  </si>
  <si>
    <t>QSP LEDGESTONE OCP LEFT GREY BROWN</t>
  </si>
  <si>
    <t>25QSLSCRBB</t>
  </si>
  <si>
    <t>QSP LEDGESTONE OCP RIGHT BLACK BLND</t>
  </si>
  <si>
    <t>25QSLSCRDB</t>
  </si>
  <si>
    <t>QSP LEDGESTONE OCP RIGHT DARK BROWN</t>
  </si>
  <si>
    <t>25QSLSCRGN</t>
  </si>
  <si>
    <t>QSP LEDGESTONE OCP RIGHT GREY BROWN</t>
  </si>
  <si>
    <t>25QSLSLLDB</t>
  </si>
  <si>
    <t>QSP LEDGESTONE OCP LEFT LONG DK BRN</t>
  </si>
  <si>
    <t>25QSLSLLGB</t>
  </si>
  <si>
    <t>QSP LEDGESTONE OCP LEFT LONG GY BLD</t>
  </si>
  <si>
    <t>25QSLSLLGN</t>
  </si>
  <si>
    <t>QSP LEDGESTONE OCP LEFT LONG GY BRN</t>
  </si>
  <si>
    <t>25QSLSLLLB</t>
  </si>
  <si>
    <t>QSP LEDGESTONE OCP LEFT LONG LT BRN</t>
  </si>
  <si>
    <t>25QSLSLRDB</t>
  </si>
  <si>
    <t>QSP LEDGESTONE OCP RIGHT LONG DKBRN</t>
  </si>
  <si>
    <t>25QSLSLRGB</t>
  </si>
  <si>
    <t>QSP LEDGESTONE OCP RIGHT LONG GYBLD</t>
  </si>
  <si>
    <t>25QSLSLRGN</t>
  </si>
  <si>
    <t>QSP LEDGESTONE OCP RIGHT LONG GYBRN</t>
  </si>
  <si>
    <t>25QSLSLRLB</t>
  </si>
  <si>
    <t>QSP LEDGESTONE OCP RIGHT LONG LTBRN</t>
  </si>
  <si>
    <t>25QSLSPBB</t>
  </si>
  <si>
    <t>QSP LEDGE STN PANEL BLACK BLEND</t>
  </si>
  <si>
    <t>25QSLSPDB</t>
  </si>
  <si>
    <t>QSP LEDGE STN PANEL DARK BROWN</t>
  </si>
  <si>
    <t>25QSLSPGB</t>
  </si>
  <si>
    <t>QSP LEDGE STN PANEL GREY BLEND</t>
  </si>
  <si>
    <t>25QSLSPGN</t>
  </si>
  <si>
    <t>QSP LEDGE STN PANEL GREY BROWN</t>
  </si>
  <si>
    <t>25QSLSPLB</t>
  </si>
  <si>
    <t>QSP LEDGE STN PANEL LIGHT BROWN</t>
  </si>
  <si>
    <t>25QSLT3BB</t>
  </si>
  <si>
    <t>QSP 3" LEDGE TRIM BLACK BLEND</t>
  </si>
  <si>
    <t>25QSLT3DB</t>
  </si>
  <si>
    <t>QSP 3" LEDGE TRIM DARK BROWN BLEND</t>
  </si>
  <si>
    <t>25QSLT3GB</t>
  </si>
  <si>
    <t>QSP 3" LEDGE TRIM GREY BLEND</t>
  </si>
  <si>
    <t>25QSLT3LB</t>
  </si>
  <si>
    <t>QSP 3" LEDGE TRIM LIGHT BROWN BLEND</t>
  </si>
  <si>
    <t>25QSLT3RT</t>
  </si>
  <si>
    <t>QSP 3" LEDGE TRIM RUSTIC TAN</t>
  </si>
  <si>
    <t>25QSPCBB</t>
  </si>
  <si>
    <t>QSP PLUG COVER BLACK BLEND</t>
  </si>
  <si>
    <t>25QSPCDB</t>
  </si>
  <si>
    <t>QSP PLUG COVER DARK BROWN BLEND</t>
  </si>
  <si>
    <t>25QSPCGB</t>
  </si>
  <si>
    <t>QSP PLUG COVER GREY BLEND</t>
  </si>
  <si>
    <t>25QSPCLB</t>
  </si>
  <si>
    <t>QSP PLUG COVER LIGHT BROWN BLEND</t>
  </si>
  <si>
    <t>25QSPCLS</t>
  </si>
  <si>
    <t>QSP PLUG COVER LIMESTONE</t>
  </si>
  <si>
    <t>25QSPCRT</t>
  </si>
  <si>
    <t>QSP PLUG COVER RUSTIC TAN</t>
  </si>
  <si>
    <t>25QSRSCLDB</t>
  </si>
  <si>
    <t>QSP RIDGESTONE OCP LEFT DARK BROWN</t>
  </si>
  <si>
    <t>25QSRSCRDB</t>
  </si>
  <si>
    <t>QSP RIDGESTONE OCP RIGHT DARK BROWN</t>
  </si>
  <si>
    <t>25QSRSPDB</t>
  </si>
  <si>
    <t>QSP RIDGESTONE PANEL DARK BROWN</t>
  </si>
  <si>
    <t>25QSSPP8BB</t>
  </si>
  <si>
    <t>QSP STACK STN PILLAR PNL 8" BLKBLND</t>
  </si>
  <si>
    <t>25QSSS48</t>
  </si>
  <si>
    <t>QSP STARTER STRIP 48"</t>
  </si>
  <si>
    <t>25QSSSCLBB</t>
  </si>
  <si>
    <t>QSP STACKED STN OCP LEFT BLACK BLND</t>
  </si>
  <si>
    <t>25QSSSCLDB</t>
  </si>
  <si>
    <t>QSP STACKED STN OCP LEFT DARK BROWN</t>
  </si>
  <si>
    <t>25QSSSCLGB</t>
  </si>
  <si>
    <t>QSP STACKED STN OCP LEFT GREY BLEND</t>
  </si>
  <si>
    <t>25QSSSCLGN</t>
  </si>
  <si>
    <t>QSP STACKED STN OCP LEFT GREY BROWN</t>
  </si>
  <si>
    <t>25QSSSCLLB</t>
  </si>
  <si>
    <t>QSP STACKED STN OCP LEFT LIGHT BRWN</t>
  </si>
  <si>
    <t>25QSSSCLLS</t>
  </si>
  <si>
    <t>QSP STACKED STN OCP LEFT LIMESTONE</t>
  </si>
  <si>
    <t>25QSSSCLRT</t>
  </si>
  <si>
    <t>QSP STACKED STN OCP LEFT RUST TAN</t>
  </si>
  <si>
    <t>25QSSSCRBB</t>
  </si>
  <si>
    <t>QSP STACKED STN OCP RIGHT BLACK BLD</t>
  </si>
  <si>
    <t>25QSSSCRDB</t>
  </si>
  <si>
    <t>QSP STACKED STN OCP RIGHT DARK BRWN</t>
  </si>
  <si>
    <t>25QSSSCRGB</t>
  </si>
  <si>
    <t>QSP STACKED STN OCP RIGHT GREY BLND</t>
  </si>
  <si>
    <t>25QSSSCRGN</t>
  </si>
  <si>
    <t>QSP STACKED STN OCP RIGHT GREY BRWN</t>
  </si>
  <si>
    <t>25QSSSCRLB</t>
  </si>
  <si>
    <t>QSP STACKED STN OCP RIGHT LIGHT BRN</t>
  </si>
  <si>
    <t>25QSSSCRLS</t>
  </si>
  <si>
    <t>QSP STACKED STN OCP RIGHT LIMESTONE</t>
  </si>
  <si>
    <t>25QSSSCRRT</t>
  </si>
  <si>
    <t>QSP STACKED STN OCP RIGHT RUST TAN</t>
  </si>
  <si>
    <t>25QSSSPBB</t>
  </si>
  <si>
    <t>QSP STACKED STN PANEL BLACK BLEND</t>
  </si>
  <si>
    <t>25QSSSPDB</t>
  </si>
  <si>
    <t>QSP STACKED STN PANEL DARK BROWN</t>
  </si>
  <si>
    <t>25QSSSPGN</t>
  </si>
  <si>
    <t>QSP STACKED STN PANEL GREY BROWN</t>
  </si>
  <si>
    <t>25QSSSPLB</t>
  </si>
  <si>
    <t>QSP STACKED STN PANEL LIGHT BROWN</t>
  </si>
  <si>
    <t>25QSSSPRT</t>
  </si>
  <si>
    <t>QSP STACKED STN PANEL RUSTIC TAN</t>
  </si>
  <si>
    <t>25QSTTBB</t>
  </si>
  <si>
    <t>QSP TOP TRIM BLACK BLEND</t>
  </si>
  <si>
    <t>25QSTTDB</t>
  </si>
  <si>
    <t>QSP TOP TRIM DARK BROWN</t>
  </si>
  <si>
    <t>25QSTTGB</t>
  </si>
  <si>
    <t>QSP TOP TRIM GREY BLEND</t>
  </si>
  <si>
    <t>25QSTTLS</t>
  </si>
  <si>
    <t>QSP TOP TRIM LIMESTONE</t>
  </si>
  <si>
    <t>25QSTTRT</t>
  </si>
  <si>
    <t>QSP TOP TRIM RUSTIC TAN</t>
  </si>
  <si>
    <t>25QSTUK4BB</t>
  </si>
  <si>
    <t>QSP TOUCH UP KIT 4BOT BLACK BLEND</t>
  </si>
  <si>
    <t>25QSTUK4DB</t>
  </si>
  <si>
    <t>QSP TOUCH UP KIT 4BOT DARK BROWN</t>
  </si>
  <si>
    <t>25QSTUK4GB</t>
  </si>
  <si>
    <t>QSP TOUCH UP KIT 4BOT GREY BLEND</t>
  </si>
  <si>
    <t>25QSTUK4GN</t>
  </si>
  <si>
    <t>QSP TOUCH UP KIT 4BOT GREY BROWN</t>
  </si>
  <si>
    <t>25QSTUK4LB</t>
  </si>
  <si>
    <t>QSP TOUCH UP KIT 4BOT LIGHT BROWN</t>
  </si>
  <si>
    <t>25QSTUK4LS</t>
  </si>
  <si>
    <t>QSP TOUCH UP KIT 4BOT LIMESTONE</t>
  </si>
  <si>
    <t>25QSTUK4RT</t>
  </si>
  <si>
    <t>QSP TOUCH UP KIT 4BOT RUSTIC TAN</t>
  </si>
  <si>
    <t>25RGCD7YB</t>
  </si>
  <si>
    <t>RG D7 CEDAR SHNGL YLW BIRCH D7CEDAR</t>
  </si>
  <si>
    <t>25RGS7CDAP</t>
  </si>
  <si>
    <t>RG S7 8' CED SHNG AGED PEWT S7CEDAR</t>
  </si>
  <si>
    <t>25RGS7CDBS</t>
  </si>
  <si>
    <t>RG S7 8' CED SHNG BROWNSTNE S7CEDAR</t>
  </si>
  <si>
    <t>25RGS7CDBW</t>
  </si>
  <si>
    <t>RG S7 8' CED SHNG BLK WALNT S7CEDAR</t>
  </si>
  <si>
    <t>25RGS7CDCC</t>
  </si>
  <si>
    <t>RG S7 8' Ced Shng Cocoa     S7CEDAR</t>
  </si>
  <si>
    <t>25RGS7CDCW</t>
  </si>
  <si>
    <t>RG S7 8' Ced Shng Cottonwd  S7CEDAR</t>
  </si>
  <si>
    <t>25RGS7CDCY</t>
  </si>
  <si>
    <t>RG S7 8' CED SHNG CYPRESS   S7CEDAR</t>
  </si>
  <si>
    <t>25RGS7CDFS</t>
  </si>
  <si>
    <t>RG S7 8' CED SHNG FLAGSTONE S7CEDAR</t>
  </si>
  <si>
    <t>25RGS7CDGM</t>
  </si>
  <si>
    <t>RG S7 8' CED SHNG GRAY MOSS S7CEDAR</t>
  </si>
  <si>
    <t>25RGS7CDGR</t>
  </si>
  <si>
    <t>RG S7 8' CED SHNG GRANITE   S7CEDAR</t>
  </si>
  <si>
    <t>25RGS7CDHB</t>
  </si>
  <si>
    <t>RG S7 8' CED SHNG HER BLUE  S7CEDAR</t>
  </si>
  <si>
    <t>25RGS7CDHE</t>
  </si>
  <si>
    <t>RG S7 8' CED SHNG HEATHER   S7CEDAR</t>
  </si>
  <si>
    <t>25RGS7CDHS</t>
  </si>
  <si>
    <t>RG S7 8' CED SHNG HAR SLATE S7CEDAR</t>
  </si>
  <si>
    <t>25RGS7CDIS</t>
  </si>
  <si>
    <t>RG S7 8' CED SHNG IRONSTONE S7CEDAR</t>
  </si>
  <si>
    <t>25RGS7CDLI</t>
  </si>
  <si>
    <t>RG S7 8' CED SHNG LINEN     S7CEDAR</t>
  </si>
  <si>
    <t>25RGS7CDMA</t>
  </si>
  <si>
    <t>RG S7 8' CED SHNG MTN ASH   S7CEDAR</t>
  </si>
  <si>
    <t>25RGS7CDMB</t>
  </si>
  <si>
    <t>RG S7 8' CED SHNG MARN BLUE S7CEDAR</t>
  </si>
  <si>
    <t>25RGS7CDMS</t>
  </si>
  <si>
    <t>RG S7 8' CED SHNG MIDN SURF S7CEDAR</t>
  </si>
  <si>
    <t>25RGS7CDPC</t>
  </si>
  <si>
    <t>RG S7 8' CED SHNG PEB CLAY  S7CEDAR</t>
  </si>
  <si>
    <t>25RGS7CDRG</t>
  </si>
  <si>
    <t>RG S7 8' CED SHNG RSTC GRAY S7CEDAR</t>
  </si>
  <si>
    <t>25RGS7CDRI</t>
  </si>
  <si>
    <t>RG S7 8' Ced Shng Riverway S7CEDAR</t>
  </si>
  <si>
    <t>25RGS7CDRS</t>
  </si>
  <si>
    <t>RG S7 8' CED SHNG ROCKSLIDE S7CEDAR</t>
  </si>
  <si>
    <t>25RGS7CDRW</t>
  </si>
  <si>
    <t>RG S7 8' CED SHNG REDWOOD   S7CEDAR</t>
  </si>
  <si>
    <t>25RGS7CDSD</t>
  </si>
  <si>
    <t>RG S7 8' CED SHNG SAND      S7CEDAR</t>
  </si>
  <si>
    <t>25RGS7CDSH</t>
  </si>
  <si>
    <t>RG S7 8' Ced Shng Shamrock S7CEDAR</t>
  </si>
  <si>
    <t>25RGS7CDSL</t>
  </si>
  <si>
    <t>RG S7 8' Ced Shng Silvr Mst S7CEDAR</t>
  </si>
  <si>
    <t>25RGS7CDSM</t>
  </si>
  <si>
    <t>RG S7 8' CED SHNG SFT MAPLE S7CEDAR</t>
  </si>
  <si>
    <t>25RGS7CDSN</t>
  </si>
  <si>
    <t>RG S7 8' CED SHNG STONEHEDG S7CEDAR</t>
  </si>
  <si>
    <t>25RGS7CDSO</t>
  </si>
  <si>
    <t>RG S7 8' CED SHNG STORM     S7CEDAR</t>
  </si>
  <si>
    <t>25RGS7CDSS</t>
  </si>
  <si>
    <t>RG S7 8' CED SHNG SDNA SHAD S7CEDAR</t>
  </si>
  <si>
    <t>25RGS7CDST</t>
  </si>
  <si>
    <t>RG S7 8' CED SHNG STERLING  S7CEDAR</t>
  </si>
  <si>
    <t>25RGS7CDTA</t>
  </si>
  <si>
    <t>RG S7 8' CED SHNG TOAST ALM S7CEDAR</t>
  </si>
  <si>
    <t>25RGS7CDTM</t>
  </si>
  <si>
    <t>RG S7 8' Ced Shng Tree Moss S7CEDAR</t>
  </si>
  <si>
    <t>25RGS7CDUB</t>
  </si>
  <si>
    <t>RG S7 8' Ced Shng Urban Brz S7CEDAR</t>
  </si>
  <si>
    <t>25RGS7CDWA</t>
  </si>
  <si>
    <t>RG S7 8' CED SHNG WALNUT    S7CEDAR</t>
  </si>
  <si>
    <t>25RGS7CDWG</t>
  </si>
  <si>
    <t>RG S7 8' CED SHNG WEATHR GR S7CEDAR</t>
  </si>
  <si>
    <t>25RGS7CDWH</t>
  </si>
  <si>
    <t>RG S7 8' CED SHNG WHITE     S7CEDAR</t>
  </si>
  <si>
    <t>25RGS7CDWI</t>
  </si>
  <si>
    <t>RG S7 8' CED SHNG WICKER    S7CEDAR</t>
  </si>
  <si>
    <t>25RGS7CDWW</t>
  </si>
  <si>
    <t>RG S7 8' CED SHNG WEDGEWOOD S7CEDAR</t>
  </si>
  <si>
    <t>25SPRHF905</t>
  </si>
  <si>
    <t>Sagiper Sagirev H-Mld Cp 19 White Oak</t>
  </si>
  <si>
    <t>25SPRHF908</t>
  </si>
  <si>
    <t>Sagiper Sagirev H-Mld Cp 19 Caramel Ced</t>
  </si>
  <si>
    <t>25SPRHF983</t>
  </si>
  <si>
    <t>Sagiper Sagirev H-Mld Cp 19 Mountain Oak</t>
  </si>
  <si>
    <t>25SPRHF988</t>
  </si>
  <si>
    <t>Sagiper Sagirev H-Mld Cp 19 Rustic Cherr</t>
  </si>
  <si>
    <t>25SPRHF9BR</t>
  </si>
  <si>
    <t>Sagiper Sagirev H-Mld Cp 19 BrazRed</t>
  </si>
  <si>
    <t>25SPRJF905</t>
  </si>
  <si>
    <t>Sagiper Sagirev J-Mld Cp 19 White Oak</t>
  </si>
  <si>
    <t>25SPRJF908</t>
  </si>
  <si>
    <t>Sagiper Sagirev J-Mld Cp 19 Caramel Ced</t>
  </si>
  <si>
    <t>25SPRJF984</t>
  </si>
  <si>
    <t>Sagiper Sagirev J-Mld Cp 19 Monument Oak</t>
  </si>
  <si>
    <t>25SPRJF988</t>
  </si>
  <si>
    <t>Sagiper Sagirev J-Mld Cp 19 Rustic Cherr</t>
  </si>
  <si>
    <t>25SPSW2H14</t>
  </si>
  <si>
    <t>Sagiper Sagiwall H-Mld Cp 12 Walnut Ceda</t>
  </si>
  <si>
    <t>25SPSW2J04</t>
  </si>
  <si>
    <t>Sagiper Sagiwall J-Mld Cp 12 Espres Blkw</t>
  </si>
  <si>
    <t>25SPSW2J14</t>
  </si>
  <si>
    <t>Sagiper Sagiwall J-Mld Cp 12 Walnut Ceda</t>
  </si>
  <si>
    <t>25SPSW2O03</t>
  </si>
  <si>
    <t>Sagiper Sagiwall O/C 12' Choc Blckw</t>
  </si>
  <si>
    <t>25SPSW2O04</t>
  </si>
  <si>
    <t>Sagiper Sagiwall O/C 12' Espr Blckw</t>
  </si>
  <si>
    <t>25SPSW2O08</t>
  </si>
  <si>
    <t>Sagiper Sagiwall O/C 12' Caraml Ced</t>
  </si>
  <si>
    <t>25SPSW2O10</t>
  </si>
  <si>
    <t>Sagiper Sagiwall O/C 12' Cherry Zeb</t>
  </si>
  <si>
    <t>25SPSW2O12</t>
  </si>
  <si>
    <t>Sagiper Sagiwall O/C 12' Titan Coal</t>
  </si>
  <si>
    <t>25SPSW2O79</t>
  </si>
  <si>
    <t>Sagiper Sagiwall O/C 12' Knotty Map</t>
  </si>
  <si>
    <t>25SPSW2O82</t>
  </si>
  <si>
    <t>Sagiper Sagiwall O/C 12' Desert Oak</t>
  </si>
  <si>
    <t>25SPSW2O83</t>
  </si>
  <si>
    <t>Sagiper Sagiwall O/C 12' Mountn Oak</t>
  </si>
  <si>
    <t>25SPSW2O84</t>
  </si>
  <si>
    <t>Sagiper Sagiwall O/C 12' Monum Oak</t>
  </si>
  <si>
    <t>25SPSW2O88</t>
  </si>
  <si>
    <t>Sagiper Sagiwall O/C 12' Rust Cherr</t>
  </si>
  <si>
    <t>25SPSW2O91</t>
  </si>
  <si>
    <t>Sagiper Sagiwall O/C 12' Stockholm Oak</t>
  </si>
  <si>
    <t>25SPSW2T08</t>
  </si>
  <si>
    <t>Sagiper Sagiwall Term J 12' Caramel Ced</t>
  </si>
  <si>
    <t>25SPSW9H14</t>
  </si>
  <si>
    <t>SAGIPER SAGIWALL H 2.5" 19' Walnut Cedar</t>
  </si>
  <si>
    <t>25SPSW9J08</t>
  </si>
  <si>
    <t>Sagiper Sagiwall J-Mld Cp 19 Caramel Ced</t>
  </si>
  <si>
    <t>25SPSW9J84</t>
  </si>
  <si>
    <t>Sagiper Sagiwall J-Mld Cp 19 Monumen Oak</t>
  </si>
  <si>
    <t>25SPSW9O04</t>
  </si>
  <si>
    <t>Sagiper Sagiwall O/C 19' Espr Blckw</t>
  </si>
  <si>
    <t>25SPSWC282</t>
  </si>
  <si>
    <t>Sagiper Sagiwall Chan 6"X12' DesOak</t>
  </si>
  <si>
    <t>25SPSWC289</t>
  </si>
  <si>
    <t>Sagiper Sagiwall Chan 6"X12' SfChry</t>
  </si>
  <si>
    <t>25SPSWH214</t>
  </si>
  <si>
    <t>SAGIPER SAGIWALL H 2.5" 12' Walnut Cedar</t>
  </si>
  <si>
    <t>25SPSWH279</t>
  </si>
  <si>
    <t>SAGIPER SAGIWALL H 2.5" 12' KNT MPL</t>
  </si>
  <si>
    <t>25SPSWH284</t>
  </si>
  <si>
    <t>Sagiper Sagiwall H-Mld Cp 12 Monumen Oak</t>
  </si>
  <si>
    <t>25SPSWH908</t>
  </si>
  <si>
    <t>Sagiper Sagiwall H-Mld Cp 19 Caramel Ced</t>
  </si>
  <si>
    <t>25SPSWH984</t>
  </si>
  <si>
    <t>Sagiper Sagiwall H-Mld Cp 19 Monumen Oak</t>
  </si>
  <si>
    <t>25SPSWHM19</t>
  </si>
  <si>
    <t>Sagiper Sagiwall Alum H-Mold 19'</t>
  </si>
  <si>
    <t>25SPSWJ203</t>
  </si>
  <si>
    <t>Sagiper Sagiwall J 1.5" 12' Cho Blw</t>
  </si>
  <si>
    <t>25SPSWJ204</t>
  </si>
  <si>
    <t>Sagiper Sagiwall J 1.5" 12' Esp Blk</t>
  </si>
  <si>
    <t>25SPSWJ208</t>
  </si>
  <si>
    <t>Sagiper Sagiwall J 1.5" 12' Car Ced</t>
  </si>
  <si>
    <t>25SPSWJ210</t>
  </si>
  <si>
    <t>Sagiper Sagiwall J 1.5" 12' CherZbr</t>
  </si>
  <si>
    <t>25SPSWJ212</t>
  </si>
  <si>
    <t>Sagiper Sagiwall J 1.5" 12' Titn Cw</t>
  </si>
  <si>
    <t>25SPSWJ214</t>
  </si>
  <si>
    <t>Sagiper Sagiwall J 1.5" 12' Wal Cdr</t>
  </si>
  <si>
    <t>25SPSWJ278</t>
  </si>
  <si>
    <t>Sagiper Sagiwall J 1.5" 12' Metallic Blk</t>
  </si>
  <si>
    <t>25SPSWJ279</t>
  </si>
  <si>
    <t>Sagiper Sagiwall J 1.5" 12' Knt Mpl</t>
  </si>
  <si>
    <t>25SPSWJ281</t>
  </si>
  <si>
    <t>Sagiper Sagiwall J 1.5" 12' ChstBkw</t>
  </si>
  <si>
    <t>25SPSWJ282</t>
  </si>
  <si>
    <t>Sagiper Sagiwall J 1.5" 12' DesOak</t>
  </si>
  <si>
    <t>25SPSWJ283</t>
  </si>
  <si>
    <t>Sagiper Sagiwall J 1.5" 12' Mtn Oak</t>
  </si>
  <si>
    <t>25SPSWJ284</t>
  </si>
  <si>
    <t>Sagiper Sagiwall J 1.5" 12' Mon Oak</t>
  </si>
  <si>
    <t>25SPSWJ288</t>
  </si>
  <si>
    <t>Sagiper Sagiwall J 1.5" 12' Rus Che</t>
  </si>
  <si>
    <t>25SPSWJ291</t>
  </si>
  <si>
    <t>Sagiper Sagiwall J 1.5" 12' Stockholm Ok</t>
  </si>
  <si>
    <t>25SPSWJ292</t>
  </si>
  <si>
    <t>Sagiper Sagiwall J 1.5" 12' Cop Oak</t>
  </si>
  <si>
    <t>25SPSWJ903</t>
  </si>
  <si>
    <t>Sagiper Sagiwall J 1.5" 19' Cho Blw</t>
  </si>
  <si>
    <t>25SPSWJ904</t>
  </si>
  <si>
    <t>Sagiper Sagiwall J 1.5" 19' Esp Blk</t>
  </si>
  <si>
    <t>25SPSWJ982</t>
  </si>
  <si>
    <t>Sagiper Sagiwall J 1.5" 19' Desert Oak</t>
  </si>
  <si>
    <t>25SPSWO204</t>
  </si>
  <si>
    <t>Sagiper Sagiwall O/C Cap 12' Esp Bw</t>
  </si>
  <si>
    <t>25SPSWO212</t>
  </si>
  <si>
    <t>Sagiper Sagiwall O/C Cap 12' Ttn Cw</t>
  </si>
  <si>
    <t>25SPSWO214</t>
  </si>
  <si>
    <t>Sagiper Sagiwall O/C Cap 12' Wal Cd</t>
  </si>
  <si>
    <t>25SPSWO279</t>
  </si>
  <si>
    <t>Sagiper Sagiwall O/C Cap 12' Knt Ma</t>
  </si>
  <si>
    <t>25SPSWO283</t>
  </si>
  <si>
    <t>Sagiper Sagiwall O/C Cap 12' Mtn Ok</t>
  </si>
  <si>
    <t>25SPSWO289</t>
  </si>
  <si>
    <t>Sagiper Sagiwall O/C Cap 12' SfChry</t>
  </si>
  <si>
    <t>25SPSWO292</t>
  </si>
  <si>
    <t>Sagiper Sagiwall O/C Cap 12' CopOak</t>
  </si>
  <si>
    <t>25SPSWO903</t>
  </si>
  <si>
    <t>Sagiper Sagiwall O/C Cap 19' Cho Bw</t>
  </si>
  <si>
    <t>25SPSWO979</t>
  </si>
  <si>
    <t>Sagiper Sagiwall O/C Cap 19' Knt Ma</t>
  </si>
  <si>
    <t>25SPSWO983</t>
  </si>
  <si>
    <t>Sagiper Sagiwall O/C Cap 19' Mtn Oak</t>
  </si>
  <si>
    <t>25SPSWO984</t>
  </si>
  <si>
    <t>Sagiper Sagiwall O/C Cap 19' Mon Oak</t>
  </si>
  <si>
    <t>25SPSWOC12</t>
  </si>
  <si>
    <t>Sagiper Sagiwall Outside Corner 12'</t>
  </si>
  <si>
    <t>25SPSWOC19</t>
  </si>
  <si>
    <t>Sagiper Sagiwall Outside Corner 19'</t>
  </si>
  <si>
    <t>25SPSWT208</t>
  </si>
  <si>
    <t>Sagiper Sagiwall Term J Cap 12' Car</t>
  </si>
  <si>
    <t>25SPSWT212</t>
  </si>
  <si>
    <t>Sagiper Sagiwall Term J Cap 12' TCw</t>
  </si>
  <si>
    <t>25SPSWT214</t>
  </si>
  <si>
    <t>Sagiper Sagiwall Term J Cap 12' WCd</t>
  </si>
  <si>
    <t>25SPSWT912</t>
  </si>
  <si>
    <t>Sagiper Sagiwall Term J Cap 19' TCw</t>
  </si>
  <si>
    <t>25SPSWT984</t>
  </si>
  <si>
    <t>Sagiper Sagiwall Term J Cap 19' Monu Oak</t>
  </si>
  <si>
    <t>25SPSWT992</t>
  </si>
  <si>
    <t>Sagiper Sagiwall Term J Cap 19' Cop</t>
  </si>
  <si>
    <t>25SPSWTJ12</t>
  </si>
  <si>
    <t>Sagiper Sagiwall Aluminum J-Mold 12'</t>
  </si>
  <si>
    <t>25SPSWTJ19</t>
  </si>
  <si>
    <t>Sagiper Sagiwall Aluminum J-Mold 19'</t>
  </si>
  <si>
    <t>25SPVG1203</t>
  </si>
  <si>
    <t>Sagiper Sagiwall V-Grv 12' ChocBlkw</t>
  </si>
  <si>
    <t>25SPVG1204</t>
  </si>
  <si>
    <t>Sagiper Sagiwall V-Grv 12' Esp Blkw</t>
  </si>
  <si>
    <t>25SPVG1208</t>
  </si>
  <si>
    <t>Sagiper Sagiwall V-Grv 12' Caramel Cedar</t>
  </si>
  <si>
    <t>25SPVG1209</t>
  </si>
  <si>
    <t>Sagiper Sagiwall V-Grv 12' Car Zebr</t>
  </si>
  <si>
    <t>25SPVG1210</t>
  </si>
  <si>
    <t>Sagiper Sagiwall V-Grv 12' Cher Zeb</t>
  </si>
  <si>
    <t>25SPVG1212</t>
  </si>
  <si>
    <t>Sagiper Sagiwall V-Grv 12' Tit Coal</t>
  </si>
  <si>
    <t>25SPVG1214</t>
  </si>
  <si>
    <t>Sagiper Sagiwall V-Grv 12' Walnut Cedar</t>
  </si>
  <si>
    <t>25SPVG1278</t>
  </si>
  <si>
    <t>Sagiper Sagiwall V-Grv 12' Metallic Blck</t>
  </si>
  <si>
    <t>25SPVG1279</t>
  </si>
  <si>
    <t>Sagiper Sagiwall V-Grv 12' Knot Map</t>
  </si>
  <si>
    <t>25SPVG1281</t>
  </si>
  <si>
    <t>Sagiper Sagiwall V-Grv 12' Chestnt Blkwd</t>
  </si>
  <si>
    <t>25SPVG1283</t>
  </si>
  <si>
    <t>Sagiper Sagiwall V-Grv 12' Mtn Oak</t>
  </si>
  <si>
    <t>25SPVG1284</t>
  </si>
  <si>
    <t>Sagiper Sagiwall V-Grv 12' Mon Oak</t>
  </si>
  <si>
    <t>25SPVG1288</t>
  </si>
  <si>
    <t>Sagiper Sagiwall V-Grv 12' Rus Cher</t>
  </si>
  <si>
    <t>25SPVG1291</t>
  </si>
  <si>
    <t>Sagiper Sagiwall V-Grv 12' Stockholm Oak</t>
  </si>
  <si>
    <t>25SPVG1292</t>
  </si>
  <si>
    <t>Sagiper Sagiwall V-Grv 12' Cop Oak</t>
  </si>
  <si>
    <t>25SPVG12DO</t>
  </si>
  <si>
    <t>Sagiper Sagiwall V-Grv 12' Dsrt Oak</t>
  </si>
  <si>
    <t>25SPVG1903</t>
  </si>
  <si>
    <t>Sagiper Sagiwall V-Grv 19' ChocBlkw</t>
  </si>
  <si>
    <t>25SPVG1904</t>
  </si>
  <si>
    <t>Sagiper Sagiwall V-Grv 19' Esp Blkw</t>
  </si>
  <si>
    <t>25SPVG1912</t>
  </si>
  <si>
    <t>Sagiper Sagiwall V-Grv 19' Tit Coal</t>
  </si>
  <si>
    <t>25SPVG1914</t>
  </si>
  <si>
    <t>Sagiper Sagiwall V-Grv 19' Walnut Cedar</t>
  </si>
  <si>
    <t>25SPVG1978</t>
  </si>
  <si>
    <t>Sagiper Sagiwall V-Grv 19' Met Blk</t>
  </si>
  <si>
    <t>25SPVG1979</t>
  </si>
  <si>
    <t>Sagiper Sagiwall V-Grv 19' Knot Map</t>
  </si>
  <si>
    <t>25SPVG1983</t>
  </si>
  <si>
    <t>Sagiper Sagiwall V-Grv 19' Mountain Oak</t>
  </si>
  <si>
    <t>25SPVG1984</t>
  </si>
  <si>
    <t>Sagiper Sagiwall V-Grv 19' Monument Oak</t>
  </si>
  <si>
    <t>25SPVG1988</t>
  </si>
  <si>
    <t>Sagiper Sagiwall V-Grv 19' Rus Cher</t>
  </si>
  <si>
    <t>25SPVG1992</t>
  </si>
  <si>
    <t>Sagiper Sagiwall V-Grv 19' Cop Oak</t>
  </si>
  <si>
    <t>25SPVG19DO</t>
  </si>
  <si>
    <t>Sagiper Sagiwall V-Grv 19' DSRT OAK</t>
  </si>
  <si>
    <t>25WTPC0SW</t>
  </si>
  <si>
    <t>Woodtone RusticSeries Panel CM 4X10</t>
  </si>
  <si>
    <t>26MISTCOSC</t>
  </si>
  <si>
    <t>SHAKERTOWN CEDAR OSC</t>
  </si>
  <si>
    <t>26RGDOCLI</t>
  </si>
  <si>
    <t>RG DES OCP LINEN 20'      DES078OCP</t>
  </si>
  <si>
    <t>26RGDOCPC</t>
  </si>
  <si>
    <t>RG DES OCP PEBBLE CLY 20' DES078OCP</t>
  </si>
  <si>
    <t>26RGDOCWH</t>
  </si>
  <si>
    <t>RG DES OCP WHITE 20'      DES078OCP</t>
  </si>
  <si>
    <t>26RGDW35WH</t>
  </si>
  <si>
    <t>RG 3.5" WIN CAS WHITE     DWC312078</t>
  </si>
  <si>
    <t>26RGDW5WH</t>
  </si>
  <si>
    <t>RG DESIGN 5" WIN CAS WHITE     5TT2</t>
  </si>
  <si>
    <t>26RGDWCSWH</t>
  </si>
  <si>
    <t>RG 3.5"/5" WIN STARTER WHITE  SSDWC</t>
  </si>
  <si>
    <t>26RGFTBG</t>
  </si>
  <si>
    <t>RG FINISH TRIM BLUE GRAY        MFT</t>
  </si>
  <si>
    <t>26RGFTBS</t>
  </si>
  <si>
    <t>RG FINISH TRIM BROWNSTONE MFT</t>
  </si>
  <si>
    <t>26RGFTCC</t>
  </si>
  <si>
    <t>RG FINISH TRIM COCOA            MFT</t>
  </si>
  <si>
    <t>26RGFTCY</t>
  </si>
  <si>
    <t>RG FINISH TRIM CYPRESS          MFT</t>
  </si>
  <si>
    <t>26RGFTEG</t>
  </si>
  <si>
    <t>RG FINISH TRIM ESTATE GRAY      MFT</t>
  </si>
  <si>
    <t>26RGFTFS</t>
  </si>
  <si>
    <t>RG FINISH TRIM FLAGSTONE        MFT</t>
  </si>
  <si>
    <t>26RGFTGR</t>
  </si>
  <si>
    <t>RG FINISH TRIM GRANITE          MFT</t>
  </si>
  <si>
    <t>26RGFTHB</t>
  </si>
  <si>
    <t>RG FINISH TRIM HERITAGE BLUE    MFT</t>
  </si>
  <si>
    <t>26RGFTHE</t>
  </si>
  <si>
    <t>RG FINISH TRIM HEATHER          MFT</t>
  </si>
  <si>
    <t>26RGFTHS</t>
  </si>
  <si>
    <t>RG FINISH TRIM HARVARD SLATE    MFT</t>
  </si>
  <si>
    <t>26RGFTIS</t>
  </si>
  <si>
    <t>RG FINISH TRIM IRONSTONE        MFT</t>
  </si>
  <si>
    <t>26RGFTLI</t>
  </si>
  <si>
    <t>RG FINISH TRIM LINEN            MFT</t>
  </si>
  <si>
    <t>26RGFTMA</t>
  </si>
  <si>
    <t>RG FINISH TRIM MARINE BLUE      MFT</t>
  </si>
  <si>
    <t>26RGFTMS</t>
  </si>
  <si>
    <t>RG FINISH TRIM MIDNIGHT SURF    MFT</t>
  </si>
  <si>
    <t>26RGFTPC</t>
  </si>
  <si>
    <t>RG FINISH TRIM PEBBLE CLAY      MFT</t>
  </si>
  <si>
    <t>26RGFTRI</t>
  </si>
  <si>
    <t>RG FINISH TRIM RIVERWAY         MFT</t>
  </si>
  <si>
    <t>26RGFTRS</t>
  </si>
  <si>
    <t>RG FINISH TRIM ROCKSLIDE        MFT</t>
  </si>
  <si>
    <t>26RGFTRW</t>
  </si>
  <si>
    <t>RG FINISH TRIM REDWOOD          MFT</t>
  </si>
  <si>
    <t>26RGFTSB</t>
  </si>
  <si>
    <t>RG FINISH TRIM SABLE            MFT</t>
  </si>
  <si>
    <t>26RGFTSD</t>
  </si>
  <si>
    <t>RG FINISH TRIM SAND             MFT</t>
  </si>
  <si>
    <t>26RGFTSI</t>
  </si>
  <si>
    <t>RG FINISH TRIM SILVER MIST      MFT</t>
  </si>
  <si>
    <t>26RGFTSO</t>
  </si>
  <si>
    <t>RG FINISH TRIM STORM            MFT</t>
  </si>
  <si>
    <t>26RGFTSR</t>
  </si>
  <si>
    <t>RG FINISH TRIM SHAMROCK         MFT</t>
  </si>
  <si>
    <t>26RGFTST</t>
  </si>
  <si>
    <t>RG FINISH TRIM STERLING         MFT</t>
  </si>
  <si>
    <t>26RGFTTA</t>
  </si>
  <si>
    <t>RG FINISH TRIM TOASTED ALMOND   MFT</t>
  </si>
  <si>
    <t>26RGFTTM</t>
  </si>
  <si>
    <t>RG FINISH TRIM TREE MOSS        MFT</t>
  </si>
  <si>
    <t>26RGFTUB</t>
  </si>
  <si>
    <t>RG FINISH TRIM URBAN BRNZE      MFT</t>
  </si>
  <si>
    <t>26RGFTVC</t>
  </si>
  <si>
    <t>RG FINISH TRIM VINTAGE CREAM    MFT</t>
  </si>
  <si>
    <t>26RGFTWA</t>
  </si>
  <si>
    <t>RG FINISH TRIM WALNUT           MFT</t>
  </si>
  <si>
    <t>26RGFTWG</t>
  </si>
  <si>
    <t>RG FINISH TRIM WEATHERED GRAY   MFT</t>
  </si>
  <si>
    <t>26RGFTWH</t>
  </si>
  <si>
    <t>RG FINISH TRIM WHITE            MFT</t>
  </si>
  <si>
    <t>26RGFTWI</t>
  </si>
  <si>
    <t>RG FINISH TRIM WICKER           MFT</t>
  </si>
  <si>
    <t>26RGFTWW</t>
  </si>
  <si>
    <t>RG FINISH TRIM WEDGEWOOD MFT</t>
  </si>
  <si>
    <t>26RGHJ18EG</t>
  </si>
  <si>
    <t>RG Haven 1-1/8 Jchan Estate Gry HAV118JC</t>
  </si>
  <si>
    <t>26RGHJ18WH</t>
  </si>
  <si>
    <t>RG Haven 1-1/8 Jchan White HAV118JC</t>
  </si>
  <si>
    <t>26RGHOC3WH</t>
  </si>
  <si>
    <t>RG Haven 3.25"Ocp White HAV314MOP</t>
  </si>
  <si>
    <t>26RGHSS</t>
  </si>
  <si>
    <t>RG Haven Starter Strip HAVSS01</t>
  </si>
  <si>
    <t>26RGHSW</t>
  </si>
  <si>
    <t>RG Haven Window Starter HAVWSS</t>
  </si>
  <si>
    <t>26RGJ14EG</t>
  </si>
  <si>
    <t>RG 1-1/4" J-Chan Estate Grey 1141MJC</t>
  </si>
  <si>
    <t>26RGJ14PC</t>
  </si>
  <si>
    <t>RG 1-1/4" J-CHAN PEB CLAY   1141MJC</t>
  </si>
  <si>
    <t>26RGJ34BG</t>
  </si>
  <si>
    <t>RG 3/4" J-CHAN BLUE GRAY    0341MJC</t>
  </si>
  <si>
    <t>26RGJ34BS</t>
  </si>
  <si>
    <t>RG 3/4" J-CHAN BROWNSTONE   0341MJC</t>
  </si>
  <si>
    <t>26RGJ34CC</t>
  </si>
  <si>
    <t>RG 3/4" J-CHAN COCOA        0341MJC</t>
  </si>
  <si>
    <t>26RGJ34CY</t>
  </si>
  <si>
    <t>RG 3/4" J-CHAN CYPRESS      0341MJC</t>
  </si>
  <si>
    <t>26RGJ34EG</t>
  </si>
  <si>
    <t>RG 3/4" J-CHAN ESTATE GRAY  0341MJC</t>
  </si>
  <si>
    <t>26RGJ34FS</t>
  </si>
  <si>
    <t>RG 3/4" J-CHAN FLAGSTONE    0341MJC</t>
  </si>
  <si>
    <t>26RGJ34GR</t>
  </si>
  <si>
    <t>RG 3/4" J-CHAN GRANITE      0341MJC</t>
  </si>
  <si>
    <t>26RGJ34HB</t>
  </si>
  <si>
    <t>RG 3/4" J-CHAN HERITAGE BLU 0341MJC</t>
  </si>
  <si>
    <t>26RGJ34HE</t>
  </si>
  <si>
    <t>RG 3/4" J-CHAN HEATHER      0341MJC</t>
  </si>
  <si>
    <t>26RGJ34HS</t>
  </si>
  <si>
    <t>RG 3/4" J-CHAN HARVARD SLTE 0341MJC</t>
  </si>
  <si>
    <t>26RGJ34IS</t>
  </si>
  <si>
    <t>RG 3/4" J-CHAN IRONSTONE    0341MJC</t>
  </si>
  <si>
    <t>26RGJ34LI</t>
  </si>
  <si>
    <t>RG 3/4" J-CHAN LINEN        0341MJC</t>
  </si>
  <si>
    <t>26RGJ34MA</t>
  </si>
  <si>
    <t>RG 3/4" J-CHAN MARINE BLUE  0341MJC</t>
  </si>
  <si>
    <t>26RGJ34MS</t>
  </si>
  <si>
    <t>RG 3/4" J-CHAN MIDNT SURF   0341MJC</t>
  </si>
  <si>
    <t>26RGJ34PC</t>
  </si>
  <si>
    <t>RG 3/4" J-CHAN PEBBLE CLAY  0341MJC</t>
  </si>
  <si>
    <t>26RGJ34RI</t>
  </si>
  <si>
    <t>RG 3/4" J-CHAN RIVERWAY     0341MJC</t>
  </si>
  <si>
    <t>26RGJ34RS</t>
  </si>
  <si>
    <t>RG 3/4" J-CHAN ROCKSLIDE    0341MJC</t>
  </si>
  <si>
    <t>26RGJ34RW</t>
  </si>
  <si>
    <t>RG 3/4" J-CHAN REDWOOD      0341MJC</t>
  </si>
  <si>
    <t>26RGJ34SB</t>
  </si>
  <si>
    <t>RG 3/4" J-CHAN SABLE        0341MJC</t>
  </si>
  <si>
    <t>26RGJ34SD</t>
  </si>
  <si>
    <t>RG 3/4" J-CHAN SAND         0341MJC</t>
  </si>
  <si>
    <t>26RGJ34SLM</t>
  </si>
  <si>
    <t>RG 3/4" J-CHAN SILVER MIST  0341MJC</t>
  </si>
  <si>
    <t>26RGJ34SM</t>
  </si>
  <si>
    <t>RG 3/4" J-CHAN SOFT MAPLE   0341MJC</t>
  </si>
  <si>
    <t>26RGJ34SR</t>
  </si>
  <si>
    <t>RG 3/4" J-CHAN SHAMROCK     0341MJC</t>
  </si>
  <si>
    <t>26RGJ34ST</t>
  </si>
  <si>
    <t>RG 3/4" J-CHAN STERLING     0341MJC</t>
  </si>
  <si>
    <t>26RGJ34STO</t>
  </si>
  <si>
    <t>RG 3/4" J-CHAN STORM        0341MJC</t>
  </si>
  <si>
    <t>26RGJ34TA</t>
  </si>
  <si>
    <t>RG 3/4" J-CHAN TOASTED ALMD 0341MJC</t>
  </si>
  <si>
    <t>26RGJ34TM</t>
  </si>
  <si>
    <t>RG 3/4" J-CHAN TREE MOSS    0341MJC</t>
  </si>
  <si>
    <t>26RGJ34UB</t>
  </si>
  <si>
    <t>RG 3/4" J-CHAN URBAN BRONZE 0341MJC</t>
  </si>
  <si>
    <t>26RGJ34VC</t>
  </si>
  <si>
    <t>RG 3/4" J-CHAN VIN CREAM    0341MJC</t>
  </si>
  <si>
    <t>26RGJ34WA</t>
  </si>
  <si>
    <t>RG 3/4" J CHAN WALNUT       0341MJC</t>
  </si>
  <si>
    <t>26RGJ34WG</t>
  </si>
  <si>
    <t>RG 3/4" J-CHAN WEATHERD GRY 0341MJC</t>
  </si>
  <si>
    <t>26RGJ34WH</t>
  </si>
  <si>
    <t>RG 3/4" J-CHAN WHITE        0341MJC</t>
  </si>
  <si>
    <t>26RGJ34WI</t>
  </si>
  <si>
    <t>RG 3/4" J-CHAN WICKER       0341MJC</t>
  </si>
  <si>
    <t>26RGJ34WW</t>
  </si>
  <si>
    <t>RG 3/4" J-CHAN WEDGEWOOD    0341MJC</t>
  </si>
  <si>
    <t>26RGOM34BG</t>
  </si>
  <si>
    <t>RG UNIV MAT OSC BLUE GRAY    034MOP</t>
  </si>
  <si>
    <t>26RGOM34BS</t>
  </si>
  <si>
    <t>RG UNIV MAT OSC BROWNSTONE   034MOP</t>
  </si>
  <si>
    <t>26RGOM34CC</t>
  </si>
  <si>
    <t>RG UNIV MAT OSC COCOA        034MOP</t>
  </si>
  <si>
    <t>26RGOM34CY</t>
  </si>
  <si>
    <t>RG UNIV MAT OSC CYPRESS      034MOP</t>
  </si>
  <si>
    <t>26RGOM34EG</t>
  </si>
  <si>
    <t>RG UNIV MAT OSC ESTATE GRAY  034MOP</t>
  </si>
  <si>
    <t>26RGOM34FS</t>
  </si>
  <si>
    <t>RG UNIV MAT OSC FLAGSTONE    034MOP</t>
  </si>
  <si>
    <t>26RGOM34GR</t>
  </si>
  <si>
    <t>RG UNIV MAT OSC GRANITE      034MOP</t>
  </si>
  <si>
    <t>26RGOM34HB</t>
  </si>
  <si>
    <t>RG UNIV MAT OSC HERITAGE BLU 034MOP</t>
  </si>
  <si>
    <t>26RGOM34HE</t>
  </si>
  <si>
    <t>RG UNIV MAT OSC HEATHER      034MOP</t>
  </si>
  <si>
    <t>26RGOM34HS</t>
  </si>
  <si>
    <t>RG UNIV MAT OSC HARVARD SLTE 034MOP</t>
  </si>
  <si>
    <t>26RGOM34IS</t>
  </si>
  <si>
    <t>RG UNIV MAT OSC IRONSTONE    034MOP</t>
  </si>
  <si>
    <t>26RGOM34LI</t>
  </si>
  <si>
    <t>RG UNIV MAT OSC LINEN        034MOP</t>
  </si>
  <si>
    <t>26RGOM34MA</t>
  </si>
  <si>
    <t>RG UNIV MAT OSC MARINE BLUE  034MOP</t>
  </si>
  <si>
    <t>26RGOM34MS</t>
  </si>
  <si>
    <t>RG UNIV MAT OSC MIDNT SURF   034MOP</t>
  </si>
  <si>
    <t>26RGOM34PC</t>
  </si>
  <si>
    <t>RG UNIV MAT OSC PEBBLE CLAY  034MOP</t>
  </si>
  <si>
    <t>26RGOM34RI</t>
  </si>
  <si>
    <t>RG UNIV MAT OSC RIVERWAY     034MOP</t>
  </si>
  <si>
    <t>26RGOM34RS</t>
  </si>
  <si>
    <t>RG UNIV MAT OSC ROCKSLDE     034MOP</t>
  </si>
  <si>
    <t>26RGOM34RW</t>
  </si>
  <si>
    <t>RG UNIV MAT OSC REDWOOD      034MOP</t>
  </si>
  <si>
    <t>26RGOM34SB</t>
  </si>
  <si>
    <t>RG UNIV MAT OSC SABLE        034MOP</t>
  </si>
  <si>
    <t>26RGOM34SD</t>
  </si>
  <si>
    <t>RG UNIV MAT OSC SAND         034MOP</t>
  </si>
  <si>
    <t>26RGOM34SI</t>
  </si>
  <si>
    <t>RG UNIV MAT OSC SILVER MIST 034MOP</t>
  </si>
  <si>
    <t>26RGOM34SO</t>
  </si>
  <si>
    <t>RG UNIV MAT OSC STORM        034MOP</t>
  </si>
  <si>
    <t>26RGOM34SR</t>
  </si>
  <si>
    <t>RG UNIV MAT OSC SHAMROCK 034MOP</t>
  </si>
  <si>
    <t>26RGOM34ST</t>
  </si>
  <si>
    <t>RG UNIV MAT OSC STERLING     034MOP</t>
  </si>
  <si>
    <t>26RGOM34TA</t>
  </si>
  <si>
    <t>RG UNIV MAT OSC TOASTED ALMD 034MOP</t>
  </si>
  <si>
    <t>26RGOM34TM</t>
  </si>
  <si>
    <t>RG UNIV MAT OSC TREE MOSS 034MOP</t>
  </si>
  <si>
    <t>26RGOM34UB</t>
  </si>
  <si>
    <t>RG UNIV MAT OSC URBAN BRONZE 034MOP</t>
  </si>
  <si>
    <t>26RGOM34VC</t>
  </si>
  <si>
    <t>RG UNIV MAT OSC VIN CREAM 034MOP</t>
  </si>
  <si>
    <t>26RGOM34WA</t>
  </si>
  <si>
    <t>RG UNIV MAT OSC WALNUT 034MOP</t>
  </si>
  <si>
    <t>26RGOM34WG</t>
  </si>
  <si>
    <t>RG UNIV MAT OSC WEATHERED GY 034MOP</t>
  </si>
  <si>
    <t>26RGOM34WH</t>
  </si>
  <si>
    <t>RG UNIV MAT OSC WHITE 034MOP</t>
  </si>
  <si>
    <t>26RGOM34WI</t>
  </si>
  <si>
    <t>RG UNIV MAT OSC WICKER 034MOP</t>
  </si>
  <si>
    <t>26RGOM34WW</t>
  </si>
  <si>
    <t>RG UNIV MAT OSC WEDGEWOOD 034MOP</t>
  </si>
  <si>
    <t>26RGSSWH</t>
  </si>
  <si>
    <t>RG Vinyl Starter Strip White   SS01</t>
  </si>
  <si>
    <t>2713421726</t>
  </si>
  <si>
    <t>Cement Roof Blck JK Prem.10OZ #2172</t>
  </si>
  <si>
    <t>TB</t>
  </si>
  <si>
    <t>27ETE12TCC</t>
  </si>
  <si>
    <t>Easytrim EZ12 Top Cap Clear Anodized</t>
  </si>
  <si>
    <t>27ETEZ24BA</t>
  </si>
  <si>
    <t>EasyTrim EZ24 2Pc Slt Vert Pnl Trim</t>
  </si>
  <si>
    <t>27ETEZ24C</t>
  </si>
  <si>
    <t>27ETEZ62CA</t>
  </si>
  <si>
    <t>Easytrim EZ62 2Pc O/S Corner Clear</t>
  </si>
  <si>
    <t>27ETEZ62PR</t>
  </si>
  <si>
    <t>Easytrim EZ62 2Pc O/S Corner Primed</t>
  </si>
  <si>
    <t>27ETEZ63CA</t>
  </si>
  <si>
    <t>Easytrim EZ63 2Pc I/S Corner Clear</t>
  </si>
  <si>
    <t>27ETEZ64CA</t>
  </si>
  <si>
    <t>Easytrim EZ64 Horizontal Trim Clear</t>
  </si>
  <si>
    <t>27ETEZ68C</t>
  </si>
  <si>
    <t>Easytrim EZ68 Gen J Pnl Trim Clear</t>
  </si>
  <si>
    <t>27ETEZ7VU</t>
  </si>
  <si>
    <t>EASYTRIM EZ7 2PC VERT UPNL PRIMED</t>
  </si>
  <si>
    <t>27ETEZ7VUA</t>
  </si>
  <si>
    <t>Easytrim EZ7 2PC Vert Upnl Arctc WH</t>
  </si>
  <si>
    <t>27ETEZ7VUB</t>
  </si>
  <si>
    <t>Easytrim EZ7 2PC Vert Upnl Blk Anod</t>
  </si>
  <si>
    <t>27ETEZ7VUC</t>
  </si>
  <si>
    <t>Easytrim EZ7 2PC Vert Upnl Clear</t>
  </si>
  <si>
    <t>27ETEZ7VUO</t>
  </si>
  <si>
    <t>Easytrim EZ7 2PC Vert Upnl Cobblstn</t>
  </si>
  <si>
    <t>27ETEZ7VUU</t>
  </si>
  <si>
    <t>Easytrim EZ7 2Pc Vert UPnl Custom</t>
  </si>
  <si>
    <t>27ETEZ7VUW</t>
  </si>
  <si>
    <t>Easytrim EZ7 2PC Vert Upnl Stock White</t>
  </si>
  <si>
    <t>27ETEZ80BA</t>
  </si>
  <si>
    <t>EasyTrim EZ80 LAP J-Trim Black Anod</t>
  </si>
  <si>
    <t>27ETEZ80CA</t>
  </si>
  <si>
    <t>EasyTrim EZ80 LAP J-Trim Clear Silv</t>
  </si>
  <si>
    <t>27ETEZ80PR</t>
  </si>
  <si>
    <t>EasyTrim EZ80 LAP J-Trim Primed</t>
  </si>
  <si>
    <t>27ETEZ80WW</t>
  </si>
  <si>
    <t>EasyTrim EZ80 LAP J-Trim Warm White</t>
  </si>
  <si>
    <t>27ETEZ83</t>
  </si>
  <si>
    <t>EasyTrim EZ83 O/S Corner Primed</t>
  </si>
  <si>
    <t>27ETEZ83BA</t>
  </si>
  <si>
    <t>EasyTrim EZ83 O/S Corner Black Anod</t>
  </si>
  <si>
    <t>27ETEZ84</t>
  </si>
  <si>
    <t>EasyTrim EZ84 X O/S Corner Primed</t>
  </si>
  <si>
    <t>27ETEZ84BA</t>
  </si>
  <si>
    <t>EasyTrim EZ84 X O/S Corner Black An</t>
  </si>
  <si>
    <t>27ETEZ85</t>
  </si>
  <si>
    <t>EasyTrim EZ85 I/S Corner Primed</t>
  </si>
  <si>
    <t>27ETEZ85BA</t>
  </si>
  <si>
    <t>EasyTrim EZ85 I/S Corner Black Anod</t>
  </si>
  <si>
    <t>27ETF07B</t>
  </si>
  <si>
    <t>Easytrim F07B Vert U Base Primed</t>
  </si>
  <si>
    <t>27ETF07T</t>
  </si>
  <si>
    <t>Easytrim F07T Vert U Top Cap Primed</t>
  </si>
  <si>
    <t>27ETF11T</t>
  </si>
  <si>
    <t>Easytrim F11T Vert U Top Cap Primed</t>
  </si>
  <si>
    <t>27ETF11TCA</t>
  </si>
  <si>
    <t>Easytrim F11T Vert U Top Cap Clear Anod</t>
  </si>
  <si>
    <t>27MACJC1AC</t>
  </si>
  <si>
    <t>Maibec Canexel J channel 1" Acadia</t>
  </si>
  <si>
    <t>27MACJC1RF</t>
  </si>
  <si>
    <t>Maibec Canexel J channel 1" Red Fox</t>
  </si>
  <si>
    <t>27MACJC1TW</t>
  </si>
  <si>
    <t>Maibec Canexel J Channel 1" Timberwolf</t>
  </si>
  <si>
    <t>27MACO31AC</t>
  </si>
  <si>
    <t>Maibec Canexel 3" OCP 1" Acadia</t>
  </si>
  <si>
    <t>27MAUSS</t>
  </si>
  <si>
    <t>Maibec Universal Starter Strip</t>
  </si>
  <si>
    <t>27MIETE10B</t>
  </si>
  <si>
    <t>Easytrim EZ10 Hrz B-Bse Trm Blk Ano</t>
  </si>
  <si>
    <t>27MIETE10C</t>
  </si>
  <si>
    <t>Easytrim EZ10 Hrz B-Bse Trm Clear</t>
  </si>
  <si>
    <t>27MIETE10U</t>
  </si>
  <si>
    <t>EASYTRIM EZ10 HRZ B-BSE TRM CUSTOM</t>
  </si>
  <si>
    <t>27MIETE10W</t>
  </si>
  <si>
    <t>Easytrim EZ10 Hrz B-Bse Trm White</t>
  </si>
  <si>
    <t>27MIETE11C</t>
  </si>
  <si>
    <t>Easytrim EZ11 Pnl TO Plank TC Clear</t>
  </si>
  <si>
    <t>27MIETE11K</t>
  </si>
  <si>
    <t>Easytrim EZ11 Pnl TO Plank TC BlkAn</t>
  </si>
  <si>
    <t>27MIETE11W</t>
  </si>
  <si>
    <t>Easytrim EZ11 Pnl TO Plank TC Stock Wht</t>
  </si>
  <si>
    <t>27MIETE12A</t>
  </si>
  <si>
    <t>Easytrim EZ12 Sqr O/S Crnr Arct Wht</t>
  </si>
  <si>
    <t>27MIETE12B</t>
  </si>
  <si>
    <t>Easytrim EZ12 Sqr O/S Crnr Pac Blue</t>
  </si>
  <si>
    <t>27MIETE12C</t>
  </si>
  <si>
    <t>Easytrim EZ12 Sqr O/S Crnr Clear</t>
  </si>
  <si>
    <t>27MIETE12K</t>
  </si>
  <si>
    <t>Easytrim EZ12 Sqr O/S Crnr Blk Anod</t>
  </si>
  <si>
    <t>27MIETE12M</t>
  </si>
  <si>
    <t>Easytrim EZ12 Sqr O/S Crnr Monterey</t>
  </si>
  <si>
    <t>27MIETE12P</t>
  </si>
  <si>
    <t>EASYTRIM EZ12 SQR O/S CRNR PRIME</t>
  </si>
  <si>
    <t>27MIETE12T</t>
  </si>
  <si>
    <t>Easytrim EZ12 Sqr O/S Crnr Mtn Sage</t>
  </si>
  <si>
    <t>27MIETE12U</t>
  </si>
  <si>
    <t>EASYTRIM EZ12 SQR O/S CRNR CUSTOM</t>
  </si>
  <si>
    <t>27MIETE12W</t>
  </si>
  <si>
    <t>Easytrim EZ12 Sqr O/S Crnr Stock White</t>
  </si>
  <si>
    <t>27MIETE13B</t>
  </si>
  <si>
    <t>Easytrim EZ13 Arrow Osc Black Anod</t>
  </si>
  <si>
    <t>27MIETE13C</t>
  </si>
  <si>
    <t>EasyTrim EZ13 Arrow O/C Clear</t>
  </si>
  <si>
    <t>27MIETE13P</t>
  </si>
  <si>
    <t>EASYTRIM EZ13 ARROW OSC PRIMED</t>
  </si>
  <si>
    <t>27MIETE14</t>
  </si>
  <si>
    <t>Easytrim EZ14 X O/S Crnr AL Primed</t>
  </si>
  <si>
    <t>27MIETE14A</t>
  </si>
  <si>
    <t>Easytrim EZ14 X O/S Crnr AL Arc Wht</t>
  </si>
  <si>
    <t>27MIETE14C</t>
  </si>
  <si>
    <t>Easytrim EZ14 X O/S Crnr AL Clear</t>
  </si>
  <si>
    <t>27MIETE14K</t>
  </si>
  <si>
    <t>Easytrim EZ14 X O/S Crnr AL Blk Ano</t>
  </si>
  <si>
    <t>27MIETE14U</t>
  </si>
  <si>
    <t>Easytrim EZ14 X O/S Crnr AL Custom</t>
  </si>
  <si>
    <t>27MIETE14W</t>
  </si>
  <si>
    <t>Easytrim EZ14 X O/S Crnr AL White</t>
  </si>
  <si>
    <t>27MIETE15B</t>
  </si>
  <si>
    <t>Easytrim EZ15 Adj O/S Crnr Blk Anod</t>
  </si>
  <si>
    <t>27MIETE15C</t>
  </si>
  <si>
    <t>Easytrim EZ15 Adj O/S Crnr Clear</t>
  </si>
  <si>
    <t>27MIETE15U</t>
  </si>
  <si>
    <t>Easytrim EZ15 Adj O/S Crnr Custom</t>
  </si>
  <si>
    <t>27MIETE16C</t>
  </si>
  <si>
    <t>Easytrim EZ16 2PC Osc Transtn Clear</t>
  </si>
  <si>
    <t>27MIETE16K</t>
  </si>
  <si>
    <t>Easytrim EZ16 2PC Osc Transtn Black</t>
  </si>
  <si>
    <t>27MIETE16P</t>
  </si>
  <si>
    <t>Easytrim EZ16 2PC Osc Transtn Pewtr</t>
  </si>
  <si>
    <t>27MIETE16W</t>
  </si>
  <si>
    <t>Easytrim EZ16 2PC Osc Transtn Stock Wht</t>
  </si>
  <si>
    <t>27MIETE17C</t>
  </si>
  <si>
    <t>Easytrim EZ17 I/S Crnr Transtn Clr</t>
  </si>
  <si>
    <t>27MIETE17K</t>
  </si>
  <si>
    <t>Easytrim EZ17 I/S Crnr Transtn Black</t>
  </si>
  <si>
    <t>27MIETE17W</t>
  </si>
  <si>
    <t>Easytrim EZ17 I/S Crnr Transtn Stock Wht</t>
  </si>
  <si>
    <t>27MIETE18B</t>
  </si>
  <si>
    <t>Easytrim EZ18 Adj I/s Crnr Blk Anod</t>
  </si>
  <si>
    <t>27MIETE18C</t>
  </si>
  <si>
    <t>Easytrim EZ18 Adj I/S Crnr Clear</t>
  </si>
  <si>
    <t>27MIETE18P</t>
  </si>
  <si>
    <t>Easytrim EZ18 Adj I/S Crnr Prime</t>
  </si>
  <si>
    <t>27MIETE19B</t>
  </si>
  <si>
    <t>Easytrim EZ19 2PC Vert Sill BlkAnod</t>
  </si>
  <si>
    <t>27MIETE19C</t>
  </si>
  <si>
    <t>Easytrim EZ19 2PC Vert Sill Clear</t>
  </si>
  <si>
    <t>27MIETE19P</t>
  </si>
  <si>
    <t>EASYTRIM EZ19 2PC VERT SILL PRIMED</t>
  </si>
  <si>
    <t>27MIETE19W</t>
  </si>
  <si>
    <t>Easytrim EZ19 2PC Vert Sill White</t>
  </si>
  <si>
    <t>27MIETE20</t>
  </si>
  <si>
    <t>EASYTRIM EZ20 2P VERT TERM FT PRIMD</t>
  </si>
  <si>
    <t>27MIETE20C</t>
  </si>
  <si>
    <t>Easytrim EZ20 2P Vert Term FT Clear</t>
  </si>
  <si>
    <t>27MIETE20K</t>
  </si>
  <si>
    <t>Easytrim EZ20 2P Vert Term FT BlkAn</t>
  </si>
  <si>
    <t>27MIETE20U</t>
  </si>
  <si>
    <t>Easytrim EZ20 2P Vert Term FT Custm</t>
  </si>
  <si>
    <t>27MIETE20W</t>
  </si>
  <si>
    <t>Easytrim EZ20 2P Vert Term FT White</t>
  </si>
  <si>
    <t>27MIETE21B</t>
  </si>
  <si>
    <t>Easytrim EZ21 2Pc Soff F Black Anod</t>
  </si>
  <si>
    <t>27MIETE21C</t>
  </si>
  <si>
    <t>Easytrim EZ21 2Pc Soff F Clear Anod</t>
  </si>
  <si>
    <t>27MIETE22BA</t>
  </si>
  <si>
    <t>Easytrim EZ22 Horz Panel Trim Black</t>
  </si>
  <si>
    <t>27MIETE22C</t>
  </si>
  <si>
    <t>Easytrim EZ22 Horz Panel Trim Clear</t>
  </si>
  <si>
    <t>27MIETE22P</t>
  </si>
  <si>
    <t>Easytrim EZ22 Horz Panel Trim Prime</t>
  </si>
  <si>
    <t>27MIETE23BA</t>
  </si>
  <si>
    <t>Easytrim EZ23 Vert Panel Trim Black</t>
  </si>
  <si>
    <t>27MIETE23P</t>
  </si>
  <si>
    <t>Easytrim EZ23 Vert Panel Trim Prime</t>
  </si>
  <si>
    <t>27MIETE26C</t>
  </si>
  <si>
    <t>EasyTrim EZ26 2Pc Sof J Pnl Trm Clr</t>
  </si>
  <si>
    <t>27MIETE26K</t>
  </si>
  <si>
    <t>EasyTrim EZ26 2Pc Sof J Pnl Trm Blk</t>
  </si>
  <si>
    <t>27MIETE31B</t>
  </si>
  <si>
    <t>Easytrim EZ31 1PC O/S Crnr Blk Anod</t>
  </si>
  <si>
    <t>27MIETE31C</t>
  </si>
  <si>
    <t>Easytrim EZ31 1PC O/S Crnr Clear</t>
  </si>
  <si>
    <t>27MIETE33</t>
  </si>
  <si>
    <t>Easytrim EZ33 Arrow Osc Primed</t>
  </si>
  <si>
    <t>27MIETE33C</t>
  </si>
  <si>
    <t>Easytrim EZ33 Arrow Osc Clear</t>
  </si>
  <si>
    <t>27MIETE33K</t>
  </si>
  <si>
    <t>Easytrim EZ33 Arrow Osc Black Anod</t>
  </si>
  <si>
    <t>27MIETE34K</t>
  </si>
  <si>
    <t>Easytrim EZ34 X Osc Lap Trim Black</t>
  </si>
  <si>
    <t>27MIETE36B</t>
  </si>
  <si>
    <t>Easytrim EZ36 Lap I/S Corner BlkAno</t>
  </si>
  <si>
    <t>27MIETE36C</t>
  </si>
  <si>
    <t>Easytrim EZ36 Lap I/S Corner Clear</t>
  </si>
  <si>
    <t>27MIETE38C</t>
  </si>
  <si>
    <t>Easytrim EZ38 2PC Vert U Trm Clear</t>
  </si>
  <si>
    <t>27MIETE3LC</t>
  </si>
  <si>
    <t>Easytrim EZ3  Lap I/S Corner Clear</t>
  </si>
  <si>
    <t>27MIETE40B</t>
  </si>
  <si>
    <t>Easytrim EZ40 Gen J Trim Lap BlkAno</t>
  </si>
  <si>
    <t>27MIETE40C</t>
  </si>
  <si>
    <t>Easytrim EZ40 Gen J Trim Lap Clear</t>
  </si>
  <si>
    <t>27MIETE40W</t>
  </si>
  <si>
    <t>Easytrim EZ40 Gen J Trim Lap Stock White</t>
  </si>
  <si>
    <t>27MIETE48C</t>
  </si>
  <si>
    <t>Easytrim EZ48 Horz Base Z-Lap Clear</t>
  </si>
  <si>
    <t>27MIETE48P</t>
  </si>
  <si>
    <t>Easytrim EZ48 Horz Base Z-Lap Primd</t>
  </si>
  <si>
    <t>27MIETEZ1</t>
  </si>
  <si>
    <t>EASYTRIM EZ1  SQR O/S CRNR PRIMED</t>
  </si>
  <si>
    <t>27MIETEZ10</t>
  </si>
  <si>
    <t>EASYTRIM EZ10 B TRIM PRIMED</t>
  </si>
  <si>
    <t>27MIETEZ11</t>
  </si>
  <si>
    <t>EASYTRIM EZ11 PNL TO PLANK TC PRIME</t>
  </si>
  <si>
    <t>27MIETEZ15</t>
  </si>
  <si>
    <t>Easytrim EZ15 Adj O/S Crnr Primed</t>
  </si>
  <si>
    <t>27MIETEZ17</t>
  </si>
  <si>
    <t>Easytrim EZ17 I/S Crnr Transtn Prmd</t>
  </si>
  <si>
    <t>27MIETEZ1B</t>
  </si>
  <si>
    <t>Easytrim EZ1  Sqr O/S Crnr Blk Anod</t>
  </si>
  <si>
    <t>27MIETEZ1C</t>
  </si>
  <si>
    <t>Easytrim EZ1 Sqr Outside Corner Clear</t>
  </si>
  <si>
    <t>27MIETEZ1W</t>
  </si>
  <si>
    <t>Easytrim EZ1  Sqr O/S Crnr Stock White</t>
  </si>
  <si>
    <t>27MIETEZ2</t>
  </si>
  <si>
    <t>Easytrim EZ2  Round O/S Crnr Primed</t>
  </si>
  <si>
    <t>27MIETEZ21</t>
  </si>
  <si>
    <t>Easytrim EZ21 2Pc Soff F Panel Trim</t>
  </si>
  <si>
    <t>27MIETEZ24</t>
  </si>
  <si>
    <t>27MIETEZ2C</t>
  </si>
  <si>
    <t>Easytrim EZ2  Round O/S Crnr Clear</t>
  </si>
  <si>
    <t>27MIETEZ3</t>
  </si>
  <si>
    <t>EASYTRIM EZ3  I/S CORNER PRIMED</t>
  </si>
  <si>
    <t>27MIETEZ31</t>
  </si>
  <si>
    <t>EASYTRIM EZ31 1PC O/S CORNER PRIMED</t>
  </si>
  <si>
    <t>27MIETEZ34</t>
  </si>
  <si>
    <t>Easytrim EZ34 X Osc Lap Trim Primed</t>
  </si>
  <si>
    <t>27MIETEZ36</t>
  </si>
  <si>
    <t>Easytrim EZ36 Lap I/S Corner Primed</t>
  </si>
  <si>
    <t>27MIETEZ38</t>
  </si>
  <si>
    <t>Easytrim EZ38 2PC Vert U Trm Primed</t>
  </si>
  <si>
    <t>27MIETEZ3B</t>
  </si>
  <si>
    <t>Easytrim EZ3  I/S Corner Black Anod</t>
  </si>
  <si>
    <t>27MIETEZ4</t>
  </si>
  <si>
    <t>EASYTRIM EZ4  Z TRIM PRIMED</t>
  </si>
  <si>
    <t>27MIETEZ40</t>
  </si>
  <si>
    <t>EASYTRIM EZ40 GEN J TRIM LAP PRIMED</t>
  </si>
  <si>
    <t>27MIETEZ4A</t>
  </si>
  <si>
    <t>Easytrim EZ4  Z Trim Arctic White</t>
  </si>
  <si>
    <t>27MIETEZ4B</t>
  </si>
  <si>
    <t>Easytrim EZ4  Z Trim Black Anodized</t>
  </si>
  <si>
    <t>27MIETEZ4C</t>
  </si>
  <si>
    <t>Easytrim EZ4 Horizontal Trim Clear</t>
  </si>
  <si>
    <t>27MIETEZ4U</t>
  </si>
  <si>
    <t>Easytrim EZ4  Z Trim Custom</t>
  </si>
  <si>
    <t>27MIETEZ4W</t>
  </si>
  <si>
    <t>Easytrim EZ4  Z Trim Stock White</t>
  </si>
  <si>
    <t>27MIETEZ5</t>
  </si>
  <si>
    <t>EASYTRIM EZ5  HORIZONTAL TRIM PRIME</t>
  </si>
  <si>
    <t>27MIETEZ5A</t>
  </si>
  <si>
    <t>Easytrim EZ5  Horizontal Trim ArWht</t>
  </si>
  <si>
    <t>27MIETEZ5B</t>
  </si>
  <si>
    <t>Easytrim EZ5  Horizontal Trim Black</t>
  </si>
  <si>
    <t>27MIETEZ5C</t>
  </si>
  <si>
    <t>Easytrim EZ5 Horizontal Trim Clear</t>
  </si>
  <si>
    <t>27MIETEZ5I</t>
  </si>
  <si>
    <t>Easytrim EZ5 Horizontal Trim IrnGy</t>
  </si>
  <si>
    <t>27MIETEZ5S</t>
  </si>
  <si>
    <t>Easytrim EZ5 Horizontal Trim GySlt</t>
  </si>
  <si>
    <t>27MIETEZ5U</t>
  </si>
  <si>
    <t>EASYTRIM EZ5 HORIZONTAL TRIM CUSTOM</t>
  </si>
  <si>
    <t>27MIETEZ5W</t>
  </si>
  <si>
    <t>Easytrim EZ5 Horizontal Trim Stock White</t>
  </si>
  <si>
    <t>27MIETEZ60</t>
  </si>
  <si>
    <t>Easytrim EZ60 Perf Vent Lap Starter</t>
  </si>
  <si>
    <t>27MIETEZ7</t>
  </si>
  <si>
    <t>Easytrim EZ7  Vert Top Cap Primed</t>
  </si>
  <si>
    <t>27MIETEZ7C</t>
  </si>
  <si>
    <t>Easytrim EZ7  Vert Top Cap Clear</t>
  </si>
  <si>
    <t>27MIETEZ8</t>
  </si>
  <si>
    <t>EASYTRIM EZ8 VERT J TRIM PRIMED</t>
  </si>
  <si>
    <t>27MIETEZ8B</t>
  </si>
  <si>
    <t>Easytrim EZ8 General J Trim BlkAnod</t>
  </si>
  <si>
    <t>27MIETEZ8C</t>
  </si>
  <si>
    <t>Easytrim EZ8 Vert J Trim Clear</t>
  </si>
  <si>
    <t>27MIETEZ8I</t>
  </si>
  <si>
    <t>Easytrim EZ8 Vert J Trim Iron Gray</t>
  </si>
  <si>
    <t>27MIETEZ8S</t>
  </si>
  <si>
    <t>Easytrim EZ8 Vert J Trim Gray Slate</t>
  </si>
  <si>
    <t>27MIETEZ8U</t>
  </si>
  <si>
    <t>EASYTRIM EZ8 VERT J TRIM CUSTOM</t>
  </si>
  <si>
    <t>27MIETEZ8W</t>
  </si>
  <si>
    <t>Easytrim EZ8 Vert J Trim Stock Wht</t>
  </si>
  <si>
    <t>27MIETEZ9</t>
  </si>
  <si>
    <t>EASYTRIM EZ9  SOFFIT J PRIMED</t>
  </si>
  <si>
    <t>27MIETEZ9B</t>
  </si>
  <si>
    <t>Easytrim EZ9  Soffit J Black Anodiz</t>
  </si>
  <si>
    <t>27MIETEZ9C</t>
  </si>
  <si>
    <t>Easytrim EZ9 Soffit J Clear</t>
  </si>
  <si>
    <t>27MIETEZ9W</t>
  </si>
  <si>
    <t>Easytrim EZ9 Soffit J Stock White</t>
  </si>
  <si>
    <t>27MIETF06B</t>
  </si>
  <si>
    <t>Easytrim F06B Vert U Reveal Primed</t>
  </si>
  <si>
    <t>27MITBC2AB</t>
  </si>
  <si>
    <t>TRIMET 2" BASEMENT DRIP CAP ANT BRN</t>
  </si>
  <si>
    <t>27MITBC2BK</t>
  </si>
  <si>
    <t>TRIMET 2" BASEMENT DRIP CAP BLACK</t>
  </si>
  <si>
    <t>27MITBC2BS</t>
  </si>
  <si>
    <t>TRIMET 2" BASEMENT DRIP CAP BROWNST</t>
  </si>
  <si>
    <t>27MITBC2CA</t>
  </si>
  <si>
    <t>TRIMET 2" BASEMENT DRIP CAP CACTUS</t>
  </si>
  <si>
    <t>27MITBC2CH</t>
  </si>
  <si>
    <t>TRIMET 2" BASEMENT DRIP CAP CHARCOL</t>
  </si>
  <si>
    <t>27MITBC2CL</t>
  </si>
  <si>
    <t>TRIMET 2" BASEMENT DRIP CAP CLAY</t>
  </si>
  <si>
    <t>27MITBC2CM</t>
  </si>
  <si>
    <t>TRIMET 2" BASEMENT DRIP CAP CASHMER</t>
  </si>
  <si>
    <t>27MITBC2CN</t>
  </si>
  <si>
    <t>TRIMET 2" BASEMENT DRIP CAP COM BRN</t>
  </si>
  <si>
    <t>27MITBC2CO</t>
  </si>
  <si>
    <t>TRIMET 2" BASEMENT DRIP CAP CHOCOLA</t>
  </si>
  <si>
    <t>27MITBC2CS</t>
  </si>
  <si>
    <t>TRIMET 2" BASEMENT DRIP CAP COBBLST</t>
  </si>
  <si>
    <t>27MITBC2GR</t>
  </si>
  <si>
    <t>TRIMET 2" BASEMENT DRIP CAP GRANITE</t>
  </si>
  <si>
    <t>27MITBC2GY</t>
  </si>
  <si>
    <t>TRIMET 2" BASEMENT DRIP CAP GREY</t>
  </si>
  <si>
    <t>27MITBC2HS</t>
  </si>
  <si>
    <t>TRIMET 2" BASEMENT DRIP CAP HARVSLT</t>
  </si>
  <si>
    <t>27MITBC2IS</t>
  </si>
  <si>
    <t>TRIMET 2" BASEMENT DRIP CAP IRONSTN</t>
  </si>
  <si>
    <t>27MITBC2LI</t>
  </si>
  <si>
    <t>TRIMET 2" BASEMENT DRIP CAP LINEN</t>
  </si>
  <si>
    <t>27MITBC2PC</t>
  </si>
  <si>
    <t>Trimet 2" Basement Drip Cap Peb Cly</t>
  </si>
  <si>
    <t>27MITBC2SD</t>
  </si>
  <si>
    <t>TRIMET 2" BASEMENT DRIP CAP SAND</t>
  </si>
  <si>
    <t>27MITBC2UB</t>
  </si>
  <si>
    <t>TRIMET 2" BASEMENT DRIP CAP UNI BRN</t>
  </si>
  <si>
    <t>27MITBC2WH</t>
  </si>
  <si>
    <t>TRIMET 2" BASEMENT DRIP CAP WHITE</t>
  </si>
  <si>
    <t>27MITBC2WI</t>
  </si>
  <si>
    <t>TRIMET 2" BASEMENT DRIP CAP WICKER</t>
  </si>
  <si>
    <t>27MITBR2AB</t>
  </si>
  <si>
    <t>TRIMET 2" REV BASE DRIP CAP ANT BRN</t>
  </si>
  <si>
    <t>27MITBR2BK</t>
  </si>
  <si>
    <t>TRIMET 2" REV BASE DRIP CAP BLACK</t>
  </si>
  <si>
    <t>27MITBR2BS</t>
  </si>
  <si>
    <t>TRIMET 2" REV BASE DRIP CAP BROWNST</t>
  </si>
  <si>
    <t>27MITBR2CA</t>
  </si>
  <si>
    <t>TRIMET 2" REV BASE DRIP CAP CACTUS</t>
  </si>
  <si>
    <t>27MITBR2CH</t>
  </si>
  <si>
    <t>TRIMET 2" REV BASE DRIP CAP CHARCOL</t>
  </si>
  <si>
    <t>27MITBR2CL</t>
  </si>
  <si>
    <t>TRIMET 2" REV BASE DRIP CAP CLAY</t>
  </si>
  <si>
    <t>27MITBR2CM</t>
  </si>
  <si>
    <t>TRIMET 2" REV BASE DRIP CAP CASHMER</t>
  </si>
  <si>
    <t>27MITBR2CN</t>
  </si>
  <si>
    <t>TRIMET 2" REV BASE DRIP CAP COM BRN</t>
  </si>
  <si>
    <t>27MITBR2CO</t>
  </si>
  <si>
    <t>TRIMET 2" REV BASE DRIP CAP CHOCOLA</t>
  </si>
  <si>
    <t>27MITBR2CS</t>
  </si>
  <si>
    <t>TRIMET 2" REV BASE DRIP CAP COBBLES</t>
  </si>
  <si>
    <t>27MITBR2GR</t>
  </si>
  <si>
    <t>TRIMET 2" REV BASE DRIP CAP GRANITE</t>
  </si>
  <si>
    <t>27MITBR2GY</t>
  </si>
  <si>
    <t>TRIMET 2" REV BASE DRIP CAP GREY</t>
  </si>
  <si>
    <t>27MITBR2HS</t>
  </si>
  <si>
    <t>TRIMET 2" REV BASE DRIP CAP HAR SLT</t>
  </si>
  <si>
    <t>27MITBR2IS</t>
  </si>
  <si>
    <t>TRIMET 2" REV BASE DRIP CAP IRONSTN</t>
  </si>
  <si>
    <t>27MITBR2LI</t>
  </si>
  <si>
    <t>TRIMET 2" REV BASE DRIP CAP LINEN</t>
  </si>
  <si>
    <t>27MITBR2PC</t>
  </si>
  <si>
    <t>TRIMET 2" REV BASE DRIP CAP PEB CLY</t>
  </si>
  <si>
    <t>27MITBR2SD</t>
  </si>
  <si>
    <t>TRIMET 2" REV BASE DRIP CAP SAND</t>
  </si>
  <si>
    <t>27MITBR2UB</t>
  </si>
  <si>
    <t>TRIMET 2" REV BASE DRIP CAP UNI BRN</t>
  </si>
  <si>
    <t>27MITBR2WH</t>
  </si>
  <si>
    <t>TRIMET 2" REV BASE DRIP CAP WHITE</t>
  </si>
  <si>
    <t>27MITBR2WI</t>
  </si>
  <si>
    <t>TRIMET 2" REV BASE DRIP CAP WICKER</t>
  </si>
  <si>
    <t>27MITPFSS</t>
  </si>
  <si>
    <t>Trimet Perimeter Flash Starter</t>
  </si>
  <si>
    <t>27RGCRS1AW</t>
  </si>
  <si>
    <t>RG Cdr Rend 1" Starter Ambrwd 1358S</t>
  </si>
  <si>
    <t>27RGCRS1CB</t>
  </si>
  <si>
    <t>RG Cdr Rend 1" Starter CedBrk 1358S</t>
  </si>
  <si>
    <t>27RGCRS1CW</t>
  </si>
  <si>
    <t>RG Cdr Rend 1" Starter Charwd 1358S</t>
  </si>
  <si>
    <t>27RGDCBK</t>
  </si>
  <si>
    <t>RG Drip Cap Black #13545</t>
  </si>
  <si>
    <t>27RGDCGY</t>
  </si>
  <si>
    <t>RG Drip Cap Grey #13545</t>
  </si>
  <si>
    <t>27RGDCIS</t>
  </si>
  <si>
    <t>RG Drip Cap Ironstone #13545</t>
  </si>
  <si>
    <t>27RGDCWH</t>
  </si>
  <si>
    <t>RG Drip Cap White #13545</t>
  </si>
  <si>
    <t>27RGJ12AB</t>
  </si>
  <si>
    <t>RG 1/2" Alum J-Chan Antique Brown</t>
  </si>
  <si>
    <t>27RGJ12AW</t>
  </si>
  <si>
    <t>RG CDR REND 1/2" J-TRIM AMBWD 13715</t>
  </si>
  <si>
    <t>27RGJ12BK</t>
  </si>
  <si>
    <t>RG 1/2" Alum J-Chan Black 13715</t>
  </si>
  <si>
    <t>27RGJ12BS</t>
  </si>
  <si>
    <t>RG 1/2" Alum J-Chan Brownstne 13715</t>
  </si>
  <si>
    <t>27RGJ12CA</t>
  </si>
  <si>
    <t>RG 1/2" Alum J-Chan Cactus 13715</t>
  </si>
  <si>
    <t>27RGJ12CB</t>
  </si>
  <si>
    <t>RG CDR REND 1/2" J-TRIM CDBRK 13715</t>
  </si>
  <si>
    <t>27RGJ12CH</t>
  </si>
  <si>
    <t>RG 1/2" Alum J-Chan Charcoal 13715</t>
  </si>
  <si>
    <t>27RGJ12CL</t>
  </si>
  <si>
    <t>RG 1/2" Alum J-Chan Clay 13715</t>
  </si>
  <si>
    <t>27RGJ12CM</t>
  </si>
  <si>
    <t>RG 1/2" Alum J-Chan Cashmere 13715</t>
  </si>
  <si>
    <t>27RGJ12CN</t>
  </si>
  <si>
    <t>RG 1/2" Alum J-Chan Com Brown 13715</t>
  </si>
  <si>
    <t>27RGJ12CO</t>
  </si>
  <si>
    <t>RG 1/2" Alum J-Chan Chocolate 13715</t>
  </si>
  <si>
    <t>27RGJ12CS</t>
  </si>
  <si>
    <t>RG 1/2" Alum J-Chan Cobblestn 13715</t>
  </si>
  <si>
    <t>27RGJ12CW</t>
  </si>
  <si>
    <t>RG CDR REND 1/2" J-TRIM CHRWD 13715</t>
  </si>
  <si>
    <t>27RGJ12GR</t>
  </si>
  <si>
    <t>RG 1/2" Alum J-Chan Granite 13715</t>
  </si>
  <si>
    <t>27RGJ12GY</t>
  </si>
  <si>
    <t>RG 1/2" Alum J-Chan Grey 13715</t>
  </si>
  <si>
    <t>27RGJ12HS</t>
  </si>
  <si>
    <t>RG 1/2" Alum J-Chan Harv Slt 13715</t>
  </si>
  <si>
    <t>27RGJ12IS</t>
  </si>
  <si>
    <t>RG 1/2" Alum J-Chan Ironstone 13715</t>
  </si>
  <si>
    <t>27RGJ12LI</t>
  </si>
  <si>
    <t>RG 1/2" Alum J-Chan Linen 13715</t>
  </si>
  <si>
    <t>27RGJ12PC</t>
  </si>
  <si>
    <t>RG 1/2" Alum J-Chan Peb Clay 13715</t>
  </si>
  <si>
    <t>27RGJ12RW</t>
  </si>
  <si>
    <t>RG CDR REND 1/2" J-TRIM RVRWD 13715</t>
  </si>
  <si>
    <t>27RGJ12SD</t>
  </si>
  <si>
    <t>RG 1/2" Alum J-Chan Sand 13715</t>
  </si>
  <si>
    <t>27RGJ12SM</t>
  </si>
  <si>
    <t>RG CDR REND 1/2" J-TRIM SPAMS 13715</t>
  </si>
  <si>
    <t>27RGJ12SW</t>
  </si>
  <si>
    <t>RG CDR REND 1/2" J-TRIM Smkwd 13715</t>
  </si>
  <si>
    <t>27RGJ12SY</t>
  </si>
  <si>
    <t>RG Cdr Rend 1/2" J-Trim Sycmr 13715</t>
  </si>
  <si>
    <t>27RGJ12TL</t>
  </si>
  <si>
    <t>RG Cdr Rend 1/2" J-Trim Tmbln 13715</t>
  </si>
  <si>
    <t>27RGJ12UB</t>
  </si>
  <si>
    <t>RG 1/2" Alum J-Chan Uni Brown 13715</t>
  </si>
  <si>
    <t>27RGJ12WH</t>
  </si>
  <si>
    <t>RG 1/2" Alum J-Chan White 13715</t>
  </si>
  <si>
    <t>27RGJ12WI</t>
  </si>
  <si>
    <t>RG 1/2" Alum J-Chan Wicker 13715</t>
  </si>
  <si>
    <t>27RGJ20SHL</t>
  </si>
  <si>
    <t>RG CELECT 2"FACE J-TRIM SHALE #1352</t>
  </si>
  <si>
    <t>27RGJ58AW</t>
  </si>
  <si>
    <t>RG CDR REND 5/8" J-TRIM AMBWD 13581</t>
  </si>
  <si>
    <t>27RGJ58CB</t>
  </si>
  <si>
    <t>RG CDR REND 5/8" J-TRIM CDBRK 13581</t>
  </si>
  <si>
    <t>27RGJ58CW</t>
  </si>
  <si>
    <t>RG Cdr Rend 5/8" J-Trim Chrwd 13581</t>
  </si>
  <si>
    <t>27RGJ58GO</t>
  </si>
  <si>
    <t>RG CDR REND 5/8" J-TRIM GRYOK 13581</t>
  </si>
  <si>
    <t>27RGJ58SW</t>
  </si>
  <si>
    <t>RG Cdr Rend 5/8" J-Trim Smkwd 13581</t>
  </si>
  <si>
    <t>27RGJ58TL</t>
  </si>
  <si>
    <t>RG Cdr Rend 5/8" J-Trim Timbr 13581</t>
  </si>
  <si>
    <t>27RGLDCAB</t>
  </si>
  <si>
    <t>RG Large Drip Cap Ant Brown #13546R</t>
  </si>
  <si>
    <t>27RGLDCBK</t>
  </si>
  <si>
    <t>RG Large Drip Cap Black #13546R</t>
  </si>
  <si>
    <t>27RGLDCBS</t>
  </si>
  <si>
    <t>RG Large Drip Cap Brownston #13546R</t>
  </si>
  <si>
    <t>27RGLDCCA</t>
  </si>
  <si>
    <t>RG Large Drip Cap Cactus #13546R</t>
  </si>
  <si>
    <t>27RGLDCCH</t>
  </si>
  <si>
    <t>RG Large Drip Cap Charcoal #13546R</t>
  </si>
  <si>
    <t>27RGLDCCL</t>
  </si>
  <si>
    <t>RG Large Drip Cap Clay #13546R</t>
  </si>
  <si>
    <t>27RGLDCCM</t>
  </si>
  <si>
    <t>RG Large Drip Cap Cashmere #13546R</t>
  </si>
  <si>
    <t>27RGLDCCN</t>
  </si>
  <si>
    <t>RG Large Drip Cap Com Brown #13546R</t>
  </si>
  <si>
    <t>27RGLDCCO</t>
  </si>
  <si>
    <t>RG Large Drip Cap Chocolate #13546R</t>
  </si>
  <si>
    <t>27RGLDCCS</t>
  </si>
  <si>
    <t>RG Large Drip Cap Cobblestn #13546R</t>
  </si>
  <si>
    <t>27RGLDCGR</t>
  </si>
  <si>
    <t>RG Large Drip Cap Granite #13546R</t>
  </si>
  <si>
    <t>27RGLDCGY</t>
  </si>
  <si>
    <t>RG Large Drip Cap Grey #13546R</t>
  </si>
  <si>
    <t>27RGLDCHS</t>
  </si>
  <si>
    <t>RG Large Drip Cap Harv Slat #13546R</t>
  </si>
  <si>
    <t>27RGLDCIS</t>
  </si>
  <si>
    <t>RG Large Drip Cap Ironstone #13546R</t>
  </si>
  <si>
    <t>27RGLDCLI</t>
  </si>
  <si>
    <t>RG Large Drip Cap Linen #13546R</t>
  </si>
  <si>
    <t>27RGLDCPC</t>
  </si>
  <si>
    <t>RG Large Drip Cap Peb Clay #13546R</t>
  </si>
  <si>
    <t>27RGLDCSD</t>
  </si>
  <si>
    <t>RG Large Drip Cap Sand #13546R</t>
  </si>
  <si>
    <t>27RGLDCUB</t>
  </si>
  <si>
    <t>RG Large Drip Cap Uni Brown #13546R</t>
  </si>
  <si>
    <t>27RGLDCWH</t>
  </si>
  <si>
    <t>RG Large Drip Cap White #13546R</t>
  </si>
  <si>
    <t>27RGLDCWI</t>
  </si>
  <si>
    <t>RG Large Drip Cap Wicker #13546R</t>
  </si>
  <si>
    <t>27RGLTAB</t>
  </si>
  <si>
    <t>RG L-Trim Antique Brown #13495</t>
  </si>
  <si>
    <t>27RGLTBK</t>
  </si>
  <si>
    <t>RG L-Trim Black #13495</t>
  </si>
  <si>
    <t>27RGLTBS</t>
  </si>
  <si>
    <t>RG L-Trim Brownstone #13495</t>
  </si>
  <si>
    <t>27RGLTCA</t>
  </si>
  <si>
    <t>RG L-Trim Cactus #13495</t>
  </si>
  <si>
    <t>27RGLTCH</t>
  </si>
  <si>
    <t>RG L-Trim Charcoal #13495</t>
  </si>
  <si>
    <t>27RGLTCL</t>
  </si>
  <si>
    <t>RG L-Trim Clay #13495</t>
  </si>
  <si>
    <t>27RGLTCM</t>
  </si>
  <si>
    <t>RG L-Trim Cashmere #13495</t>
  </si>
  <si>
    <t>27RGLTCN</t>
  </si>
  <si>
    <t>RG L-Trim Commercial Brown #13495</t>
  </si>
  <si>
    <t>27RGLTCO</t>
  </si>
  <si>
    <t>RG L-Trim Chocolate #13495</t>
  </si>
  <si>
    <t>27RGLTCS</t>
  </si>
  <si>
    <t>RG L-Trim Cobblestone #13495</t>
  </si>
  <si>
    <t>27RGLTGR</t>
  </si>
  <si>
    <t>RG L-Trim Granite #13495</t>
  </si>
  <si>
    <t>27RGLTGY</t>
  </si>
  <si>
    <t>RG L-Trim Grey #13495</t>
  </si>
  <si>
    <t>27RGLTHS</t>
  </si>
  <si>
    <t>RG L-Trim Harvard Slate #13495</t>
  </si>
  <si>
    <t>27RGLTIS</t>
  </si>
  <si>
    <t>RG L-Trim Ironstone #13495</t>
  </si>
  <si>
    <t>27RGLTLI</t>
  </si>
  <si>
    <t>RG L-Trim Linen #13495</t>
  </si>
  <si>
    <t>27RGLTPC</t>
  </si>
  <si>
    <t>RG L-Trim Pebble Clay #13495</t>
  </si>
  <si>
    <t>27RGLTSD</t>
  </si>
  <si>
    <t>RG L-Trim Sand #13495</t>
  </si>
  <si>
    <t>27RGLTUB</t>
  </si>
  <si>
    <t>RG L-Trim Universal Brown #13495</t>
  </si>
  <si>
    <t>27RGLTWH</t>
  </si>
  <si>
    <t>RG L-Trim White #13495</t>
  </si>
  <si>
    <t>27RGLTWI</t>
  </si>
  <si>
    <t>RG L-Trim Wicker #13495</t>
  </si>
  <si>
    <t>27RGPFSS</t>
  </si>
  <si>
    <t>RG Perimeter Flash Starter #912701</t>
  </si>
  <si>
    <t>27RGRDCAB</t>
  </si>
  <si>
    <t>RG Reverse Drip Cap Ant Brn #13547</t>
  </si>
  <si>
    <t>27RGRDCBK</t>
  </si>
  <si>
    <t>RG Reverse Drip Cap Black #13547</t>
  </si>
  <si>
    <t>27RGRDCBS</t>
  </si>
  <si>
    <t>RG Reverse Drip Cap Brownst #13547</t>
  </si>
  <si>
    <t>27RGRDCCA</t>
  </si>
  <si>
    <t>RG Reverse Drip Cap Cactus #13547</t>
  </si>
  <si>
    <t>27RGRDCCH</t>
  </si>
  <si>
    <t>RG Reverse Drip Cap Charcol #13547</t>
  </si>
  <si>
    <t>27RGRDCCL</t>
  </si>
  <si>
    <t>RG Reverse Drip Cap Clay #13547</t>
  </si>
  <si>
    <t>27RGRDCCM</t>
  </si>
  <si>
    <t>RG Reverse Drip Cap Cashmer #13547</t>
  </si>
  <si>
    <t>27RGRDCCN</t>
  </si>
  <si>
    <t>RG Reverse Drip Cap Com Brn #13547</t>
  </si>
  <si>
    <t>27RGRDCCO</t>
  </si>
  <si>
    <t>RG Reverse Drip Cap Chocolt #13547</t>
  </si>
  <si>
    <t>27RGRDCCS</t>
  </si>
  <si>
    <t>RG Reverse Drip Cap Cobbles #13547</t>
  </si>
  <si>
    <t>27RGRDCGR</t>
  </si>
  <si>
    <t>RG Reverse Drip Cap Granite #13547</t>
  </si>
  <si>
    <t>27RGRDCGY</t>
  </si>
  <si>
    <t>RG Reverse Drip Cap Grey #13547</t>
  </si>
  <si>
    <t>27RGRDCHS</t>
  </si>
  <si>
    <t>RG Reverse Drip Cap Har Slt #13547</t>
  </si>
  <si>
    <t>27RGRDCIS</t>
  </si>
  <si>
    <t>RG Reverse Drip Cap Ironstn #13547</t>
  </si>
  <si>
    <t>27RGRDCLI</t>
  </si>
  <si>
    <t>RG Reverse Drip Cap Linen #13547</t>
  </si>
  <si>
    <t>27RGRDCPC</t>
  </si>
  <si>
    <t>RG Reverse Drip Cap Peb Cly #13547</t>
  </si>
  <si>
    <t>27RGRDCSD</t>
  </si>
  <si>
    <t>RG Reverse Drip Cap Sand #13547</t>
  </si>
  <si>
    <t>27RGRDCUB</t>
  </si>
  <si>
    <t>RG Reverse Drip Cap Uni Brn #13547</t>
  </si>
  <si>
    <t>27RGRDCWH</t>
  </si>
  <si>
    <t>RG Reverse Drip Cap White #13547</t>
  </si>
  <si>
    <t>27RGRDCWI</t>
  </si>
  <si>
    <t>RG Reverse Drip Cap Wicker #13547</t>
  </si>
  <si>
    <t>27SPASS12</t>
  </si>
  <si>
    <t>Sagiper Sagiwall Alum Starter 12'</t>
  </si>
  <si>
    <t>27SPASS19</t>
  </si>
  <si>
    <t>Sagiper Sagiwall Alum Starter 19'</t>
  </si>
  <si>
    <t>27WBLTBK</t>
  </si>
  <si>
    <t>WAYNE'S L-TRIM BLACK</t>
  </si>
  <si>
    <t>27WBLTHB</t>
  </si>
  <si>
    <t>WAYNE'S L-TRIM HERRINGBONE</t>
  </si>
  <si>
    <t>27WBLTWI</t>
  </si>
  <si>
    <t>WAYNE'S L-TRIM WICKER</t>
  </si>
  <si>
    <t>2820460008</t>
  </si>
  <si>
    <t>Norske 6-1/2" 40T Thin Ke #NCSBT008</t>
  </si>
  <si>
    <t>2820460208</t>
  </si>
  <si>
    <t>Norske 5-3/8" 50T Mtl Bld #NCSBP208</t>
  </si>
  <si>
    <t>2820460210</t>
  </si>
  <si>
    <t>Norske 6-1/2" 48T Mtl Bld #NCSBP210</t>
  </si>
  <si>
    <t>2820460212</t>
  </si>
  <si>
    <t>Norske 7-1/4" 48T Mtl Bld #NCSBP212</t>
  </si>
  <si>
    <t>2820460216</t>
  </si>
  <si>
    <t>Norske 10" 72T Mtl Blade #NCSBP216</t>
  </si>
  <si>
    <t>2820460218</t>
  </si>
  <si>
    <t>Norske 12" 80T Mtl Blade #NCSBP218</t>
  </si>
  <si>
    <t>2820460226</t>
  </si>
  <si>
    <t>Norske 7.25 48T Cmp Dk Bld NCSBP226</t>
  </si>
  <si>
    <t>2820460228</t>
  </si>
  <si>
    <t>Norske 10"  64T Cmp Dk Bld NCSBP228</t>
  </si>
  <si>
    <t>2820460253</t>
  </si>
  <si>
    <t>Norske 7-1/4 60T Mitr Bld #NCSBP253</t>
  </si>
  <si>
    <t>2820460257</t>
  </si>
  <si>
    <t>Norske 10" 100T Miter Bld #NCSBP257</t>
  </si>
  <si>
    <t>2820460259</t>
  </si>
  <si>
    <t>Norske 12" 100T Miter Bld #NCSBP259</t>
  </si>
  <si>
    <t>2820460280</t>
  </si>
  <si>
    <t>Norske 5-3/8" Fiber Cement Blade</t>
  </si>
  <si>
    <t>2820460281</t>
  </si>
  <si>
    <t>Norske 6.5" Fiber Cement Blade</t>
  </si>
  <si>
    <t>2820460282</t>
  </si>
  <si>
    <t>Norske 7.25 Poly Diamd Bld NCSBP282</t>
  </si>
  <si>
    <t>2820460283</t>
  </si>
  <si>
    <t>Norske 10"  Poly Diamd Bld NCSBP283</t>
  </si>
  <si>
    <t>2820460284</t>
  </si>
  <si>
    <t>Norske 12"  Poly Diamd Bld NCSBP284</t>
  </si>
  <si>
    <t>2820460425</t>
  </si>
  <si>
    <t>Norske 10" 40T Sock-Tooth #NCSBS425</t>
  </si>
  <si>
    <t>2820460451</t>
  </si>
  <si>
    <t>Norske 7-1/4" 24T Thin #NCSBP290MP</t>
  </si>
  <si>
    <t>2820460933</t>
  </si>
  <si>
    <t>Norske 7" Segmented Blade #NDBP233</t>
  </si>
  <si>
    <t>2820460936</t>
  </si>
  <si>
    <t>Norske 10" Segmented Blade #NDBP236</t>
  </si>
  <si>
    <t>2820460937</t>
  </si>
  <si>
    <t>Norske 12" Segmented Blade #NDBP237</t>
  </si>
  <si>
    <t>2820461034</t>
  </si>
  <si>
    <t>Norske 4" Diam Cutoff Wheel NDBS334</t>
  </si>
  <si>
    <t>2820461035</t>
  </si>
  <si>
    <t>Norske 4.5" Diam CutOff Whl NDBS335</t>
  </si>
  <si>
    <t>2820461038</t>
  </si>
  <si>
    <t>Norske   7" Diam CutOff Whl NDBS338</t>
  </si>
  <si>
    <t>2820462435</t>
  </si>
  <si>
    <t>Norske 3" Mag Bit Holder   NIBBI235</t>
  </si>
  <si>
    <t>2820462436</t>
  </si>
  <si>
    <t>Norske 6" Mag Bit Holder   NIBBI236</t>
  </si>
  <si>
    <t>2820462518</t>
  </si>
  <si>
    <t>Norske 2" Sqr Bit #2 2P #NIBCI318</t>
  </si>
  <si>
    <t>2820462607</t>
  </si>
  <si>
    <t>Norske 2" Sqr Bit #2 2P #NIBCI407</t>
  </si>
  <si>
    <t>2820462616</t>
  </si>
  <si>
    <t>Norske 3-1/2" Sqr #2 Bit #NIBCI416</t>
  </si>
  <si>
    <t>2820462641</t>
  </si>
  <si>
    <t>Norske 6" Sqr Rec #2 Bit #NIBCI441</t>
  </si>
  <si>
    <t>2820462659</t>
  </si>
  <si>
    <t>Norske 2" Phillips Bit #2  NIBCI459</t>
  </si>
  <si>
    <t>2820462669</t>
  </si>
  <si>
    <t>Norske 3-1/2" Phil #2 Bit #NIBCI469</t>
  </si>
  <si>
    <t>2820462677</t>
  </si>
  <si>
    <t>Norske 6" Phil #2 Bit #NIBCI477</t>
  </si>
  <si>
    <t>2820462711</t>
  </si>
  <si>
    <t>Norske 2" T10 Bit 2pc #NIBCI511</t>
  </si>
  <si>
    <t>2820462712</t>
  </si>
  <si>
    <t>Norske 2" T15 Bit 2pc #NIBCI512</t>
  </si>
  <si>
    <t>2820462713</t>
  </si>
  <si>
    <t>Norske 2" T20 Bit 2pc #NIBCI513</t>
  </si>
  <si>
    <t>2820462714</t>
  </si>
  <si>
    <t>Norske 2" T-25 Bit Crd 2P  NIBCI514</t>
  </si>
  <si>
    <t>2820462715</t>
  </si>
  <si>
    <t>Norske 2" T30 Bit 2pc #NIBCI515</t>
  </si>
  <si>
    <t>2820462716</t>
  </si>
  <si>
    <t>Norske 2" T40 Bit 2pc #NIBCI516</t>
  </si>
  <si>
    <t>2820462760</t>
  </si>
  <si>
    <t>Norske 2-9/16X1/4 Nut Set #NIBCI560</t>
  </si>
  <si>
    <t>2820462761</t>
  </si>
  <si>
    <t>Norske 2-9/16X5/16 NutSet #NIBCI561</t>
  </si>
  <si>
    <t>2820462762</t>
  </si>
  <si>
    <t>Norske 2-9/16X3/8 Nut Set #NIBCI562</t>
  </si>
  <si>
    <t>2820462763</t>
  </si>
  <si>
    <t>Norske 2-9/16X7/16 NutSet #NIBCI563</t>
  </si>
  <si>
    <t>2820462764</t>
  </si>
  <si>
    <t>Norske 2-9/16X1/2 Nut Set #NIBCI564</t>
  </si>
  <si>
    <t>2820462805</t>
  </si>
  <si>
    <t>Norske 2" Sqr Bit 10P #2 #NIBPI605</t>
  </si>
  <si>
    <t>2820462806</t>
  </si>
  <si>
    <t>Norske 2" Sqr Bit 10P #2 #NIBPI606</t>
  </si>
  <si>
    <t>2820462807</t>
  </si>
  <si>
    <t>Norske 2" Sqr Bit 10P #2 #NIBPI607</t>
  </si>
  <si>
    <t>2820462818</t>
  </si>
  <si>
    <t>Norske 2" Asst Bit 10P #2 #NIBPI618</t>
  </si>
  <si>
    <t>2820462850</t>
  </si>
  <si>
    <t>Norske Nutsettr Bit 5P #2 #NIBPI650</t>
  </si>
  <si>
    <t>2820462903</t>
  </si>
  <si>
    <t>Norske 42PC Imp Bit Set #NIBPI703</t>
  </si>
  <si>
    <t>2820462908</t>
  </si>
  <si>
    <t>Norske Ultramax Imp Set NIBPI708</t>
  </si>
  <si>
    <t>2820464200</t>
  </si>
  <si>
    <t>Norske 1/16 Titan Bit 2pk NIDBP200</t>
  </si>
  <si>
    <t>2820464202</t>
  </si>
  <si>
    <t>Norske 3/32" Impact Bit #NIDBP202</t>
  </si>
  <si>
    <t>2820464204</t>
  </si>
  <si>
    <t>Norske 1/8" Titan Bit NIDBP204</t>
  </si>
  <si>
    <t>2820464206</t>
  </si>
  <si>
    <t>Norske 5/32" Impact Bit #NIDBP206</t>
  </si>
  <si>
    <t>2820464208</t>
  </si>
  <si>
    <t>Norske 3/16" Impact Bit #NIDBP208</t>
  </si>
  <si>
    <t>2820464210</t>
  </si>
  <si>
    <t>Norske 7/32" Impact Bit #NIDBP210</t>
  </si>
  <si>
    <t>2820464212</t>
  </si>
  <si>
    <t>Norske 1/4" Titan Bit NIDBP212</t>
  </si>
  <si>
    <t>2820464216</t>
  </si>
  <si>
    <t>Norske 5/16" Titan Bit NIDBP216</t>
  </si>
  <si>
    <t>2820464220</t>
  </si>
  <si>
    <t>Norske 3/8" Impact Bit #NIDBP220</t>
  </si>
  <si>
    <t>2820464227</t>
  </si>
  <si>
    <t>Norske 1/2" Titan Bit NIDBP227</t>
  </si>
  <si>
    <t>2820464280</t>
  </si>
  <si>
    <t>Norske 12PC Titan Bit Set #NIDBP280</t>
  </si>
  <si>
    <t>2820464402</t>
  </si>
  <si>
    <t>Norske 13" Cutter Rep Blade NMAP002</t>
  </si>
  <si>
    <t>2820464406</t>
  </si>
  <si>
    <t>Norske 13" Cutter W/ Clamp  NMAP006</t>
  </si>
  <si>
    <t>2820464409</t>
  </si>
  <si>
    <t>Norske Flr Install KneePad #NMAP009</t>
  </si>
  <si>
    <t>2820464451</t>
  </si>
  <si>
    <t>Norske Twin Bld Retractble #NMCP051</t>
  </si>
  <si>
    <t>2820464452</t>
  </si>
  <si>
    <t>Norske HD Gel Knee Pads     NMCP052</t>
  </si>
  <si>
    <t>2875628582</t>
  </si>
  <si>
    <t>SEALANT VOC QUAD #268 BROWN    10OZ</t>
  </si>
  <si>
    <t>2875695447</t>
  </si>
  <si>
    <t>Osi Quad Max 9.5OZ #288 Brown</t>
  </si>
  <si>
    <t>2875695464</t>
  </si>
  <si>
    <t>Osi Quad Foam Clean 12OZ #2874891</t>
  </si>
  <si>
    <t>2875695500</t>
  </si>
  <si>
    <t>Osi Quad Max 9.5oz #572 Gray</t>
  </si>
  <si>
    <t>2875695506</t>
  </si>
  <si>
    <t>Osi Quad Max 9.5oz #458 Beige</t>
  </si>
  <si>
    <t>2875695563</t>
  </si>
  <si>
    <t>OSI QUAD MAX 9.5OZ #009 BLACK</t>
  </si>
  <si>
    <t>2875695804</t>
  </si>
  <si>
    <t>Osi Quad Max 9.5OZ #864 Blue</t>
  </si>
  <si>
    <t>2875695832</t>
  </si>
  <si>
    <t>Osi Quad Max 9.5OZ #581 Gray</t>
  </si>
  <si>
    <t>2875695839</t>
  </si>
  <si>
    <t>OSI QUAD MAX 9.5 OZ  #000 CLEAR</t>
  </si>
  <si>
    <t>2875695845</t>
  </si>
  <si>
    <t>OSI Quad Max #563 Gray 9.5Oz</t>
  </si>
  <si>
    <t>2875695880</t>
  </si>
  <si>
    <t>Osi Quad Max 9.5OZ #573 Gray</t>
  </si>
  <si>
    <t>2875695969</t>
  </si>
  <si>
    <t>Osi Quad Win/Dor Foam Gun/Strw 16OZ</t>
  </si>
  <si>
    <t>2875695973</t>
  </si>
  <si>
    <t>OSI QUAD MAX 9.5OZ #567 GRAY</t>
  </si>
  <si>
    <t>2875695975</t>
  </si>
  <si>
    <t>OSI QUAD MAX 9.5OZ #569 GRAY</t>
  </si>
  <si>
    <t>2875695983</t>
  </si>
  <si>
    <t>OSI QUAD MAX 9.5OZ #296 BROWN</t>
  </si>
  <si>
    <t>2875695999</t>
  </si>
  <si>
    <t>OSI QUAD MAX 9.5OZ #861 BLUE</t>
  </si>
  <si>
    <t>2875696009</t>
  </si>
  <si>
    <t>SEALANT VOC QUAD #567 GRAY     10OZ</t>
  </si>
  <si>
    <t>2875696017</t>
  </si>
  <si>
    <t>SEALANT VOC QUAD #569 GRAY    10OZ</t>
  </si>
  <si>
    <t>2875696062</t>
  </si>
  <si>
    <t>Osi Quad Window &amp; Door Foam 21.2 OZ</t>
  </si>
  <si>
    <t>2875696453</t>
  </si>
  <si>
    <t>OSI QUAD MAX 9.5OZ #947 RED</t>
  </si>
  <si>
    <t>2875696477</t>
  </si>
  <si>
    <t>OSI QUAD MAX 9.5OZ #896 BLUE</t>
  </si>
  <si>
    <t>2875696503</t>
  </si>
  <si>
    <t>OSI QUAD MAX 9.5OZ #827 BLUE</t>
  </si>
  <si>
    <t>2875696551</t>
  </si>
  <si>
    <t>OSI QUAD MAX 9.5OZ #750 GREEN</t>
  </si>
  <si>
    <t>2875696553</t>
  </si>
  <si>
    <t>OSI QUAD MAX 9.5OZ #739 GREEN</t>
  </si>
  <si>
    <t>2875696558</t>
  </si>
  <si>
    <t>OSI QUAD MAX 9.5OZ #727 GREEN</t>
  </si>
  <si>
    <t>2875696589</t>
  </si>
  <si>
    <t>Osi Quad Max 9.5OZ #606 Yellow</t>
  </si>
  <si>
    <t>2875696594</t>
  </si>
  <si>
    <t>OSI QUAD MAX 9.5OZ #589 GRAY</t>
  </si>
  <si>
    <t>2875696605</t>
  </si>
  <si>
    <t>OSI QUAD MAX 9.5OZ #551 GRAY</t>
  </si>
  <si>
    <t>2875696607</t>
  </si>
  <si>
    <t>Osi Quad Max 9.5OZ #545 Gray</t>
  </si>
  <si>
    <t>2875696610</t>
  </si>
  <si>
    <t>OSI QUAD MAX 9.5OZ #541 GRAY</t>
  </si>
  <si>
    <t>2875696622</t>
  </si>
  <si>
    <t>OSI QUAD MAX 9.5OZ #517 GRAY</t>
  </si>
  <si>
    <t>2875696626</t>
  </si>
  <si>
    <t>Osi Quad Max 9.5OZ #513 Gray</t>
  </si>
  <si>
    <t>2875696627</t>
  </si>
  <si>
    <t>OSI QUAD MAX 9.5OZ #512 GRAY</t>
  </si>
  <si>
    <t>2875696637</t>
  </si>
  <si>
    <t>OSI QUAD MAX 9.5OZ #497 BEIGE</t>
  </si>
  <si>
    <t>2875696653</t>
  </si>
  <si>
    <t>OSI QUAD MAX 9.5OZ #465 BEIGE</t>
  </si>
  <si>
    <t>2875696658</t>
  </si>
  <si>
    <t>OSI QUAD MAX 9.5OZ #456 BEIGE</t>
  </si>
  <si>
    <t>2875696699</t>
  </si>
  <si>
    <t>OSI QUAD MAX 9.5OZ #406 BEIGE</t>
  </si>
  <si>
    <t>2875696701</t>
  </si>
  <si>
    <t>OSI QUAD MAX 9.5OZ #404 BEIGE</t>
  </si>
  <si>
    <t>2875696709</t>
  </si>
  <si>
    <t>OSI QUAD MAX 9.5OZ #335 CLAY</t>
  </si>
  <si>
    <t>2875696745</t>
  </si>
  <si>
    <t>OSI QUAD MAX 9.5OZ #279 BROWN</t>
  </si>
  <si>
    <t>2875696751</t>
  </si>
  <si>
    <t>OSI QUAD MAX 9.5OZ #267 BROWN</t>
  </si>
  <si>
    <t>2875696758</t>
  </si>
  <si>
    <t>OSI QUAD MAX 9.5OZ #259 BROWN</t>
  </si>
  <si>
    <t>2875696761</t>
  </si>
  <si>
    <t>OSI QUAD MAX 9.5OZ #253 BROWN</t>
  </si>
  <si>
    <t>2875696764</t>
  </si>
  <si>
    <t>OSI QUAD MAX 9.5OZ #245 BROWN</t>
  </si>
  <si>
    <t>2875696767</t>
  </si>
  <si>
    <t>Osi Quad Max 9.5OZ #236 Brown</t>
  </si>
  <si>
    <t>2875696771</t>
  </si>
  <si>
    <t>Osi Quad Max 9.5OZ #224 Brown</t>
  </si>
  <si>
    <t>2875696775</t>
  </si>
  <si>
    <t>Osi Quad Max 9.5OZ #219 Brown</t>
  </si>
  <si>
    <t>2875696780</t>
  </si>
  <si>
    <t>Osi Quad Max 9.5OZ #211</t>
  </si>
  <si>
    <t>2875696785</t>
  </si>
  <si>
    <t>Osi Quad Max 9.5OZ #201 Bronze</t>
  </si>
  <si>
    <t>2875696787</t>
  </si>
  <si>
    <t>OSI QUAD MAX 9.5OZ #004 GRY / WHT</t>
  </si>
  <si>
    <t>2875696788</t>
  </si>
  <si>
    <t>OSI QUAD MAX 9.5OZ #003 BLACK</t>
  </si>
  <si>
    <t>2875697254</t>
  </si>
  <si>
    <t>SEALANT VOC QUAD #943 RED      10OZ</t>
  </si>
  <si>
    <t>2875697255</t>
  </si>
  <si>
    <t>SEALANT VOC QUAD #947 RED      10OZ</t>
  </si>
  <si>
    <t>2875697257</t>
  </si>
  <si>
    <t>SEALANT VOC QUAD #311 CLAY     10OZ</t>
  </si>
  <si>
    <t>2875697260</t>
  </si>
  <si>
    <t>SEALANT VOC QUAD #896 BLUE     10OZ</t>
  </si>
  <si>
    <t>2875697263</t>
  </si>
  <si>
    <t>SEALANT VOC QUAD #827 BLUE     10OZ</t>
  </si>
  <si>
    <t>2875697283</t>
  </si>
  <si>
    <t>SEALANT VOC QUAD #551 GRAY     10OZ</t>
  </si>
  <si>
    <t>2875697289</t>
  </si>
  <si>
    <t>SEALANT VOC QUAD #706 GREEN    10OZ</t>
  </si>
  <si>
    <t>2875697300</t>
  </si>
  <si>
    <t>SEALANT VOC QUAD #496 BEIGE    10OZ</t>
  </si>
  <si>
    <t>2875697307</t>
  </si>
  <si>
    <t>SEALANT VOC QUAD #465 BEIGE    10OZ</t>
  </si>
  <si>
    <t>2875697308</t>
  </si>
  <si>
    <t>SEALANT VOC QUAD #461 BEIGE    10OZ</t>
  </si>
  <si>
    <t>2875697311</t>
  </si>
  <si>
    <t>SEALANT VOC QUAD #456 BEIGE    10OZ</t>
  </si>
  <si>
    <t>2875697312</t>
  </si>
  <si>
    <t>SEALANT VOC QUAD #455 BEIGE    10OZ</t>
  </si>
  <si>
    <t>2875697332</t>
  </si>
  <si>
    <t>SEALANT VOC QUAD #404 BEIGE    10OZ</t>
  </si>
  <si>
    <t>2875697334</t>
  </si>
  <si>
    <t>SEALANT VOC QUAD #303 CLAY     10OZ</t>
  </si>
  <si>
    <t>2875697336</t>
  </si>
  <si>
    <t>SEALANT VOC QUAD #259 BROWN    10OZ</t>
  </si>
  <si>
    <t>2875697337</t>
  </si>
  <si>
    <t>SEALANT VOC QUAD #267 BROWN    10OZ</t>
  </si>
  <si>
    <t>2875697342</t>
  </si>
  <si>
    <t>SEALANT VOC QUAD #333 CLAY     10OZ</t>
  </si>
  <si>
    <t>2875697343</t>
  </si>
  <si>
    <t>SEALANT VOC QUAD #335 CLAY     10OZ</t>
  </si>
  <si>
    <t>2875697347</t>
  </si>
  <si>
    <t>SEALANT VOC QUAD #211 BROWN    10OZ</t>
  </si>
  <si>
    <t>2875697350</t>
  </si>
  <si>
    <t>SEALANT VOC QUAD #201 BRONZE   10OZ</t>
  </si>
  <si>
    <t>2875697352</t>
  </si>
  <si>
    <t>SEALANT VOC QUAD #003 BLACK    10OZ</t>
  </si>
  <si>
    <t>2875697354</t>
  </si>
  <si>
    <t>SEALANT VOC QUAD #426 BEIGE    10OZ</t>
  </si>
  <si>
    <t>2875697384</t>
  </si>
  <si>
    <t>SEALANT VOC QUAD #545 GRAY     10OZ</t>
  </si>
  <si>
    <t>2875697394</t>
  </si>
  <si>
    <t>SEALANT VOC QUAD #846 BLUE     10OZ</t>
  </si>
  <si>
    <t>2875697405</t>
  </si>
  <si>
    <t>SEALANT VOC QUAD #274 BROWN    10OZ</t>
  </si>
  <si>
    <t>2875697415</t>
  </si>
  <si>
    <t>SEALANT VOC QUAD #338 CLAY     10OZ</t>
  </si>
  <si>
    <t>2875697416</t>
  </si>
  <si>
    <t>SEALANT VOC QUAD #587 GRAY     10OZ</t>
  </si>
  <si>
    <t>2875697417</t>
  </si>
  <si>
    <t>SEALANT VOC QUAD #589 GRAY     10OZ</t>
  </si>
  <si>
    <t>2875697438</t>
  </si>
  <si>
    <t>SEALANT VOC QUAD #541 GRAY     10OZ</t>
  </si>
  <si>
    <t>2875697447</t>
  </si>
  <si>
    <t>SEALANT VOC QUAD #810 BLUE     10OZ</t>
  </si>
  <si>
    <t>2875697499</t>
  </si>
  <si>
    <t>SEALANT VOC QUAD #288 BROWN    10OZ</t>
  </si>
  <si>
    <t>2875697506</t>
  </si>
  <si>
    <t>SEALANT VOC QUAD #266 BROWN    10OZ</t>
  </si>
  <si>
    <t>2875697507</t>
  </si>
  <si>
    <t>SEALANT VOC QUAD #264 BROWN    10OZ</t>
  </si>
  <si>
    <t>2875697518</t>
  </si>
  <si>
    <t>SEALANT VOC QUAD #517 GRAY     10OZ</t>
  </si>
  <si>
    <t>2875697523</t>
  </si>
  <si>
    <t>SEALANT VOC QUAD #519 GRAY     10OZ</t>
  </si>
  <si>
    <t>2875697527</t>
  </si>
  <si>
    <t>SEALANT VOC QUAD #595 GRAY     10OZ</t>
  </si>
  <si>
    <t>2875697532</t>
  </si>
  <si>
    <t>SEALANT VOC QUAD #815 BLUE     10OZ</t>
  </si>
  <si>
    <t>2875697537</t>
  </si>
  <si>
    <t>Sealant Voc Quad #265 Brown    10OZ</t>
  </si>
  <si>
    <t>2875697538</t>
  </si>
  <si>
    <t>SEALANT VOC QUAD #565 GRAY     10OZ</t>
  </si>
  <si>
    <t>2875697541</t>
  </si>
  <si>
    <t>SEALANT VOC QUAD #423 BEIGE    10OZ</t>
  </si>
  <si>
    <t>2875697543</t>
  </si>
  <si>
    <t>Sealant Voc Quad #559 Gray     10OZ</t>
  </si>
  <si>
    <t>2875697569</t>
  </si>
  <si>
    <t>SEALANT VOC QUAD #207 BROWN    10OZ</t>
  </si>
  <si>
    <t>2875697911</t>
  </si>
  <si>
    <t>Osi Foam Applicator Gun</t>
  </si>
  <si>
    <t>2875698105</t>
  </si>
  <si>
    <t>SEALANT VOC QUAD #406 BEIGE    10OZ</t>
  </si>
  <si>
    <t>2875698139</t>
  </si>
  <si>
    <t>SEALANT VOC QUAD #253 BROWN    10OZ</t>
  </si>
  <si>
    <t>2875698153</t>
  </si>
  <si>
    <t>SEALANT VOC QUAD #004 GRAY WHT 10OZ</t>
  </si>
  <si>
    <t>2875699030</t>
  </si>
  <si>
    <t>SEALANT VOC QUAD #727 GREEN    10OZ</t>
  </si>
  <si>
    <t>2875699362</t>
  </si>
  <si>
    <t>SEALANT VOC QUAD #219 T BRONZE 10OZ</t>
  </si>
  <si>
    <t>2875699500</t>
  </si>
  <si>
    <t>SEALANT VOC QUAD #001 WHITE    10OZ</t>
  </si>
  <si>
    <t>2875699620</t>
  </si>
  <si>
    <t>Osi Quad Max 9.5OZ #519 Gray</t>
  </si>
  <si>
    <t>28AFCN1372</t>
  </si>
  <si>
    <t>Airfast 1-3/4" Coil Nails 7.2M/Bx</t>
  </si>
  <si>
    <t>28AFCN2045</t>
  </si>
  <si>
    <t>AIRFAST 2" COIL NAILS 4.5M/BX</t>
  </si>
  <si>
    <t>28AFCN2245</t>
  </si>
  <si>
    <t>AIRFAST 2-1/4" COIL NAILS 4.5M/BX</t>
  </si>
  <si>
    <t>28AFCN3040</t>
  </si>
  <si>
    <t>AIRFAST 3" COIL NAILS 4M/BX</t>
  </si>
  <si>
    <t>28MITR17AB</t>
  </si>
  <si>
    <t>RINGED STL NAIL 1.75" 1/4LB ANTBRWN</t>
  </si>
  <si>
    <t>28MITR17BK</t>
  </si>
  <si>
    <t>RINGED STL NAIL 1.75" 1/4LB BLACK</t>
  </si>
  <si>
    <t>28MITR17CA</t>
  </si>
  <si>
    <t>RINGED STL NAIL 1.75" 1/4LB CACTUS</t>
  </si>
  <si>
    <t>28MITR17CH</t>
  </si>
  <si>
    <t>RINGED STL NAIL 1.75" 1/4LB CHARCOL</t>
  </si>
  <si>
    <t>28MITR17CL</t>
  </si>
  <si>
    <t>RINGED STL NAIL 1.75" 1/4LB CLAY</t>
  </si>
  <si>
    <t>28MITR17CN</t>
  </si>
  <si>
    <t>RINGED STL NAIL 1.75" 1/4LB COMBRWN</t>
  </si>
  <si>
    <t>28MITR17CO</t>
  </si>
  <si>
    <t>RINGED STL NAIL 1.75" 1/4LB CHOCOL</t>
  </si>
  <si>
    <t>28MITR17CS</t>
  </si>
  <si>
    <t>RINGED STL NAIL 1.75" 1/4LB COBBLES</t>
  </si>
  <si>
    <t>28MITR17GR</t>
  </si>
  <si>
    <t>RINGED STL NAIL 1.75" 1/4LB GRANITE</t>
  </si>
  <si>
    <t>28MITR17GY</t>
  </si>
  <si>
    <t>RINGED STL NAIL 1.75" 1/4LB GREY</t>
  </si>
  <si>
    <t>28MITR17HS</t>
  </si>
  <si>
    <t>RINGED STL NAIL 1.75" 1/4LB HARVSLT</t>
  </si>
  <si>
    <t>28MITR17IS</t>
  </si>
  <si>
    <t>RINGED STL NAIL 1.75" 1/4LB IRONSTN</t>
  </si>
  <si>
    <t>28MITR17IV</t>
  </si>
  <si>
    <t>RINGED STL NAIL 1.75" 1/4LB IVORY</t>
  </si>
  <si>
    <t>28MITR17LI</t>
  </si>
  <si>
    <t>RINGED STL NAIL 1.75" 1/4LB LINEN</t>
  </si>
  <si>
    <t>28MITR17PC</t>
  </si>
  <si>
    <t>RINGED STL NAIL 1.75" 1/4LB PEBCLAY</t>
  </si>
  <si>
    <t>28MITR17SD</t>
  </si>
  <si>
    <t>RINGED STL NAIL 1.75" 1/4LB SAND</t>
  </si>
  <si>
    <t>28MITR17WH</t>
  </si>
  <si>
    <t>RINGED STL NAIL 1.75" 1/4LB WHITE</t>
  </si>
  <si>
    <t>28MITR17WI</t>
  </si>
  <si>
    <t>RINGED STL NAIL 1.75" 1/4LB WICKER</t>
  </si>
  <si>
    <t>28PFCN2245</t>
  </si>
  <si>
    <t>PRIME 2-1/4" COIL NAILS 4.5M/BX</t>
  </si>
  <si>
    <t>29AEES2048</t>
  </si>
  <si>
    <t>ATLAS EN 2    ENERGYSHIELD   4'X8'</t>
  </si>
  <si>
    <t>29AMDC14</t>
  </si>
  <si>
    <t>KING GREENGRD DC14 4'X48' FANFOLD</t>
  </si>
  <si>
    <t>29AMXP38</t>
  </si>
  <si>
    <t>KING GREENGRD XP38 3/8" FF 2SQ/BD</t>
  </si>
  <si>
    <t>29HGHW9100</t>
  </si>
  <si>
    <t>HOMEGUARD HOUSEWRAP 9'X100'</t>
  </si>
  <si>
    <t>29IKEA1048</t>
  </si>
  <si>
    <t>IKO Ener-Air Sheathing 1" 4'X8'</t>
  </si>
  <si>
    <t>29IKEA1248</t>
  </si>
  <si>
    <t>IKO Ener-Air Sheathing 1/2" 4'X8'</t>
  </si>
  <si>
    <t>29IKEA2048</t>
  </si>
  <si>
    <t>IKO Ener-Air Sheathing 2" 4'X8'</t>
  </si>
  <si>
    <t>29IKEA3448</t>
  </si>
  <si>
    <t>IKO Ener-Air Sheathing 3/4" 4'X8'</t>
  </si>
  <si>
    <t>29IKEF1048</t>
  </si>
  <si>
    <t>IKO Enerfoil Sheathing 1" 4'X8'</t>
  </si>
  <si>
    <t>29IKEF1248</t>
  </si>
  <si>
    <t>IKO Enerfoil Sheathing 1/2" 4'X8'</t>
  </si>
  <si>
    <t>29IKEF1548</t>
  </si>
  <si>
    <t>IKO Enerfoil Sheathing 1.5" 4'X8'</t>
  </si>
  <si>
    <t>29IKEF2048</t>
  </si>
  <si>
    <t>IKO Enerfoil Sheathing 2" 4'X8'</t>
  </si>
  <si>
    <t>29IKEF3048</t>
  </si>
  <si>
    <t>IKO Enerfoil Sheathing 3" 4'X8'</t>
  </si>
  <si>
    <t>29IKEF3448</t>
  </si>
  <si>
    <t>IKO Enerfoil Sheathing 3/4" 4'X8'</t>
  </si>
  <si>
    <t>29IKEF4048</t>
  </si>
  <si>
    <t>IKO Enerfoil Sheathing 4" 4'X8'</t>
  </si>
  <si>
    <t>29MIFWN975</t>
  </si>
  <si>
    <t>DuPont Tyvek Flexwrap NF 9"X75'</t>
  </si>
  <si>
    <t>29MIINA910</t>
  </si>
  <si>
    <t>NOVA ASPIRE HOUSE WRAP 9'X100'</t>
  </si>
  <si>
    <t>29MIINF475</t>
  </si>
  <si>
    <t>NOVA FLASH WINDOW&amp;DOOR FLASH 4"X75'</t>
  </si>
  <si>
    <t>29MIINF675</t>
  </si>
  <si>
    <t>NOVA FLASH WINDOW&amp;DOOR FLASH 6"X75'</t>
  </si>
  <si>
    <t>29MIINF975</t>
  </si>
  <si>
    <t>NOVA FLASH WINDOW&amp;DOOR FLASH 9"X75'</t>
  </si>
  <si>
    <t>29MITCW125</t>
  </si>
  <si>
    <t>TYVEK COMMERCIAL WRAP 10'X125'</t>
  </si>
  <si>
    <t>29MITDW125</t>
  </si>
  <si>
    <t>TYVEK DRAIN WRAP 10'X125'</t>
  </si>
  <si>
    <t>29MITFT475</t>
  </si>
  <si>
    <t>TYVEK FLASHING TAPE 4"X75'</t>
  </si>
  <si>
    <t>29MITFT610</t>
  </si>
  <si>
    <t>Tyvek Flashing Tape 6"X100'</t>
  </si>
  <si>
    <t>29MITFT675</t>
  </si>
  <si>
    <t>TYVEK FLASHING TAPE 6"X75'</t>
  </si>
  <si>
    <t>29MITFT910</t>
  </si>
  <si>
    <t>TYVEK FLASHING TAPE 9"X100'</t>
  </si>
  <si>
    <t>29MITHW181</t>
  </si>
  <si>
    <t>TYVEK HOME WRAP 18"X100'</t>
  </si>
  <si>
    <t>29MITHW910</t>
  </si>
  <si>
    <t>TYVEK HOME WRAP  9'X100'</t>
  </si>
  <si>
    <t>29MITP9100</t>
  </si>
  <si>
    <t>TYPAR HOUSE WRAP 9'X100'       ROLL</t>
  </si>
  <si>
    <t>29MITSF415</t>
  </si>
  <si>
    <t>TYVEK STRAIGHTFLASH 4"X150'</t>
  </si>
  <si>
    <t>29MITSF912</t>
  </si>
  <si>
    <t>TYVEK STRAIGHTFLASH 9"X125'</t>
  </si>
  <si>
    <t>29MITT2216</t>
  </si>
  <si>
    <t>TYVEK TAPE 2"X216' WHITE</t>
  </si>
  <si>
    <t>29TYHW91BV</t>
  </si>
  <si>
    <t>TYVEK HOME WRAP 9'X100' BOW VALLEY</t>
  </si>
  <si>
    <t>29TYHW91DE</t>
  </si>
  <si>
    <t>TYVEK HOME WRAP 9'X100' DELTA</t>
  </si>
  <si>
    <t>29TYHW91SG</t>
  </si>
  <si>
    <t>TYVEK HOME WRAP 9'X100' SEC GENERAT</t>
  </si>
  <si>
    <t>29TYHW91SH</t>
  </si>
  <si>
    <t>TYVEK HOME WRAP 9'X100' SHANE HOMES</t>
  </si>
  <si>
    <t>29TYHW91SU</t>
  </si>
  <si>
    <t>TYVEK HOME WRAP 9'X100' SUNSHINE</t>
  </si>
  <si>
    <t>30AD19422</t>
  </si>
  <si>
    <t>Adfast Adseal 1940 #194-22 10.1</t>
  </si>
  <si>
    <t>30AD19433</t>
  </si>
  <si>
    <t>Adfast Adseal 1940 #194-33 10.1</t>
  </si>
  <si>
    <t>30AD19437</t>
  </si>
  <si>
    <t>Adfast Adseal 1940 #194-37 10.1</t>
  </si>
  <si>
    <t>30AD19488</t>
  </si>
  <si>
    <t>Adfast Adseal 1940 #194-88 10.1</t>
  </si>
  <si>
    <t>30AD19498</t>
  </si>
  <si>
    <t>Adfast Adseal 1940 #194-98 10.1</t>
  </si>
  <si>
    <t>30AD602004</t>
  </si>
  <si>
    <t>Adfast Adseal 1940 #602-00004 10.1</t>
  </si>
  <si>
    <t>30AD602007</t>
  </si>
  <si>
    <t>Adfast Adseal 1940 #602-00007 10.1</t>
  </si>
  <si>
    <t>30AD602025</t>
  </si>
  <si>
    <t>Adfast Adseal 1940 #602-00025 10.1</t>
  </si>
  <si>
    <t>30AD602050</t>
  </si>
  <si>
    <t>Adfast Adseal 1940 #602-00050 10.1</t>
  </si>
  <si>
    <t>30AD602055</t>
  </si>
  <si>
    <t>Adfast Adseal 1940 #602-00055 10.1</t>
  </si>
  <si>
    <t>30AD602079</t>
  </si>
  <si>
    <t>Adfast Adseal 1940 #602-00079 10.1</t>
  </si>
  <si>
    <t>30BOVSTACH</t>
  </si>
  <si>
    <t>VERSETTA STONE TXT ADH CHARC 10.1OZ</t>
  </si>
  <si>
    <t>30BOVSTATA</t>
  </si>
  <si>
    <t>VERSETTA STONE TXT ADH TAUPE 10.1OZ</t>
  </si>
  <si>
    <t>30CHF1110</t>
  </si>
  <si>
    <t>CHEM NOVALINK FP F1110 BLACK   10.1</t>
  </si>
  <si>
    <t>30CHM11270</t>
  </si>
  <si>
    <t>CHEM-LINK M-1 F1270 24/PK WHT  10OZ</t>
  </si>
  <si>
    <t>30CHM1127G</t>
  </si>
  <si>
    <t>CHEM-LINK M-1 F1270 24/PK GRY  10OZ</t>
  </si>
  <si>
    <t>30CHM1127K</t>
  </si>
  <si>
    <t>CHEM-LINK M-1 F1270 24/PK BLK  10OZ</t>
  </si>
  <si>
    <t>30MIDGSCL</t>
  </si>
  <si>
    <t>DOW CORNING GLAZING 1199 CLR 10.3OZ</t>
  </si>
  <si>
    <t>30MIDGSWH</t>
  </si>
  <si>
    <t>DOW CORNING GLAZING 1199 WHT 10.3OZ</t>
  </si>
  <si>
    <t>30MIM110GY</t>
  </si>
  <si>
    <t>CHEM-LINK M-1 GRAY             10OZ</t>
  </si>
  <si>
    <t>30MIQM252</t>
  </si>
  <si>
    <t>OSI QUAD MAX 9.5OZ #252</t>
  </si>
  <si>
    <t>30MIQM264</t>
  </si>
  <si>
    <t>OSI Quad Max #264 9.5Oz</t>
  </si>
  <si>
    <t>30MIQM283</t>
  </si>
  <si>
    <t>OSI Quad Max #283 9.5Oz</t>
  </si>
  <si>
    <t>30MUSEL020</t>
  </si>
  <si>
    <t>Mulco Supra Elite Slnt #020 Translu</t>
  </si>
  <si>
    <t>30MUSEL703</t>
  </si>
  <si>
    <t>Mulco Supra Elite Slnt #703 Iron Gy</t>
  </si>
  <si>
    <t>30MUSEL705</t>
  </si>
  <si>
    <t>Mulco Supra Elite Slnt #705 CountRd</t>
  </si>
  <si>
    <t>30MUSEL719</t>
  </si>
  <si>
    <t>Mulco Supra Elite Slnt #719 Woodstk</t>
  </si>
  <si>
    <t>30MUSEL720</t>
  </si>
  <si>
    <t>Mulco Supra Elite Slnt #720 EveBlue</t>
  </si>
  <si>
    <t>30MUSEL725</t>
  </si>
  <si>
    <t>Mulco Supra Elite Slnt #725 Aged Pw</t>
  </si>
  <si>
    <t>30MUSEL727</t>
  </si>
  <si>
    <t>Mulco Supra Elite Slnt #727 Gry Slt</t>
  </si>
  <si>
    <t>30MUSEX000</t>
  </si>
  <si>
    <t>Mulco Supra Expert Slnt #000 Clear</t>
  </si>
  <si>
    <t>30MUSEX010</t>
  </si>
  <si>
    <t>Mulco Supra Expert Slnt #010 White</t>
  </si>
  <si>
    <t>30MUSEX020</t>
  </si>
  <si>
    <t>Mulco Supra Expert Slnt #020 Transl</t>
  </si>
  <si>
    <t>30MUSEX330</t>
  </si>
  <si>
    <t>Mulco Supra Expert Slnt #330 Chocol</t>
  </si>
  <si>
    <t>30NS900</t>
  </si>
  <si>
    <t>NPC #900 SOLAR SEAL #000 CLEAR 10.3</t>
  </si>
  <si>
    <t>30NS9101</t>
  </si>
  <si>
    <t>Npc #900 Solar Seal Color 101  10.3</t>
  </si>
  <si>
    <t>30NS9236</t>
  </si>
  <si>
    <t>Npc #900 Solar Seal Color 236 10.3</t>
  </si>
  <si>
    <t>30NS931</t>
  </si>
  <si>
    <t>NPC #900 SOLAR SEAL #031 BLACK 10.3</t>
  </si>
  <si>
    <t>30NS953</t>
  </si>
  <si>
    <t>NPC #900 SOLAR SEAL #053 WHITE 10.3</t>
  </si>
  <si>
    <t>30QSSC10BK</t>
  </si>
  <si>
    <t>QSP STONE FINISH CAULK 10.3 BLACK</t>
  </si>
  <si>
    <t>30QSSC10DB</t>
  </si>
  <si>
    <t>QSP STONE FINISH CAULK 10.3 DK BROWN</t>
  </si>
  <si>
    <t>30QSSC10DG</t>
  </si>
  <si>
    <t>QSP STONE FINISH CAULK 10.3 DK GREY</t>
  </si>
  <si>
    <t>30QSSC10LB</t>
  </si>
  <si>
    <t>QSP STONE FINISH CAULK 10.3 LT BRWN</t>
  </si>
  <si>
    <t>30QSSC10MG</t>
  </si>
  <si>
    <t>QSP STONE FINISH CAULK 10.3 MD GREY</t>
  </si>
  <si>
    <t>30QSSC10RT</t>
  </si>
  <si>
    <t>QSP STONE FINISH CAULK 10.3 RUSTTAN</t>
  </si>
  <si>
    <t>30RE53003</t>
  </si>
  <si>
    <t>RESISTO RF REPAIR CEM 10.5OZ #53003</t>
  </si>
  <si>
    <t>31ALTR42PR</t>
  </si>
  <si>
    <t>Allura Trim 4/4X2X12 Rev Primed</t>
  </si>
  <si>
    <t>31ALTR43PR</t>
  </si>
  <si>
    <t>ALLURA TRIM 4/4X3X12 REV PRIMED</t>
  </si>
  <si>
    <t>31ALTR50</t>
  </si>
  <si>
    <t>ALLURA FC TRIM 5/4X10X12 REV PRIMED</t>
  </si>
  <si>
    <t>31ALTR52</t>
  </si>
  <si>
    <t>ALLURA FC TRIM 5/4X12X12 REV PRIMED</t>
  </si>
  <si>
    <t>31ALTR54</t>
  </si>
  <si>
    <t>ALLURA FC TRIM 5/4X4X12' REV PRIMED</t>
  </si>
  <si>
    <t>31ALTR56</t>
  </si>
  <si>
    <t>ALLURA FC TRIM 5/4X6X12' REV PRIMED</t>
  </si>
  <si>
    <t>31ALTR58</t>
  </si>
  <si>
    <t>ALLURA FC TRIM 5/4X8X12' REV PRIMED</t>
  </si>
  <si>
    <t>31ALTUKPB1</t>
  </si>
  <si>
    <t>Allura Touch Up Kit Pac Blue 1QT</t>
  </si>
  <si>
    <t>31ALTUKUB1</t>
  </si>
  <si>
    <t>Allura Touch UP Kit Urbane Brnz 1QT</t>
  </si>
  <si>
    <t>31BGHR2000</t>
  </si>
  <si>
    <t>RG HALF RND 32X20 COL 000</t>
  </si>
  <si>
    <t>31FCTGL8AU</t>
  </si>
  <si>
    <t>Fisher TrueGrain 8.25" Lap Autumn</t>
  </si>
  <si>
    <t>31FCTGL8CC</t>
  </si>
  <si>
    <t>Fisher TrueGrain 8.25" Lap ChrisCrf</t>
  </si>
  <si>
    <t>31FCTGL8CH</t>
  </si>
  <si>
    <t>Fisher TrueGrain 8.25" Lap Cherry</t>
  </si>
  <si>
    <t>31FCTGL8CT</t>
  </si>
  <si>
    <t>Fisher TrueGrain 8.25" Lap Cedarton</t>
  </si>
  <si>
    <t>31FCTGL8EG</t>
  </si>
  <si>
    <t>Fisher TrueGrain 8.25" Lap Emp Grey</t>
  </si>
  <si>
    <t>31FCTGL8GR</t>
  </si>
  <si>
    <t>Fisher TrueGrain 8.25" Lap Gold Rsh</t>
  </si>
  <si>
    <t>31FCTGL8HA</t>
  </si>
  <si>
    <t>Fisher TrueGrain 8.25" Lap Harvest</t>
  </si>
  <si>
    <t>31FCTGL8NR</t>
  </si>
  <si>
    <t>Fisher TrueGrain 8.25" Lap Night Ri</t>
  </si>
  <si>
    <t>31FCTGL8OK</t>
  </si>
  <si>
    <t>Fisher TrueGrain 8.25" Lap Oak</t>
  </si>
  <si>
    <t>31FCTGL8SE</t>
  </si>
  <si>
    <t>Fisher TrueGrain 8.25" Lap Sepia</t>
  </si>
  <si>
    <t>31FCTGL8SS</t>
  </si>
  <si>
    <t>Fisher TrueGrain 8.25" Lap Shou Sugi Ban</t>
  </si>
  <si>
    <t>31FCTGL8WC</t>
  </si>
  <si>
    <t>Fisher TrueGrain 8.25" Lap West Cst</t>
  </si>
  <si>
    <t>31FCTGL8WW</t>
  </si>
  <si>
    <t>Fisher TrueGrain 8.25" Lap Wethr Wd</t>
  </si>
  <si>
    <t>31FCTGTGSE</t>
  </si>
  <si>
    <t>Fisher TrueGrain TouchUP Sepia 1G</t>
  </si>
  <si>
    <t>31FCTGTGWC</t>
  </si>
  <si>
    <t>Fisher TrueGrain TouchUP Wst Cst 1G</t>
  </si>
  <si>
    <t>31FCTGTQAU</t>
  </si>
  <si>
    <t>Fisher TrueGrain TouchUP Autumn 1Q</t>
  </si>
  <si>
    <t>31FCTGTQCE</t>
  </si>
  <si>
    <t>Fisher TrueGrain TouchUP Cedartn 1Q</t>
  </si>
  <si>
    <t>31FCTGTQEG</t>
  </si>
  <si>
    <t>Fisher TrueGrain TouchUP Empire Grey 1Q</t>
  </si>
  <si>
    <t>31FCTGTQNR</t>
  </si>
  <si>
    <t>Fisher TrueGrain TouchUP Night R 1Q</t>
  </si>
  <si>
    <t>31FCTGTQSE</t>
  </si>
  <si>
    <t>Fisher TrueGrain TouchUP Sepia 1QT</t>
  </si>
  <si>
    <t>31FCTGTQSS</t>
  </si>
  <si>
    <t>Fisher TrueGrain TouchUP Shou Sugi Ba 1Q</t>
  </si>
  <si>
    <t>31FCTGTQWC</t>
  </si>
  <si>
    <t>Fisher TrueGrain TouchUP Wst Cst 1Q</t>
  </si>
  <si>
    <t>31FCTGTQWW</t>
  </si>
  <si>
    <t>Fisher TrueGrain TouchUP Wthr Wd 1Q</t>
  </si>
  <si>
    <t>31JHHS610</t>
  </si>
  <si>
    <t>HARDIE STRIPS 6" X 10"</t>
  </si>
  <si>
    <t>31LP41731</t>
  </si>
  <si>
    <t>LP ExpFin 5/4 10X16 Trm Cdr Snow Wh</t>
  </si>
  <si>
    <t>31LP41732</t>
  </si>
  <si>
    <t>LP ExpFin 5/4 12X16 Trm Cdr Snow Wh</t>
  </si>
  <si>
    <t>31LP41733</t>
  </si>
  <si>
    <t>LP ExpFin 5/4  2X16 Trm Cdr Snow Wh</t>
  </si>
  <si>
    <t>31LP41760</t>
  </si>
  <si>
    <t>LP ExpFin 5/4 12X16 Trm Cdr Abys Bk</t>
  </si>
  <si>
    <t>31LP41761</t>
  </si>
  <si>
    <t>LP ExpFin 5/4 10X16 Trm Cdr Abys Bk</t>
  </si>
  <si>
    <t>31LP41828</t>
  </si>
  <si>
    <t>LP ExpFin 5/4 6X16 Trm Cdr Abys Bk</t>
  </si>
  <si>
    <t>31LP41830</t>
  </si>
  <si>
    <t>LP ExpFin 5/4 4X16 Trm Cdr Abys Bk</t>
  </si>
  <si>
    <t>31LP42005</t>
  </si>
  <si>
    <t>LP EXPFIN 5/4 4X10 OSC CED SNOW WHT</t>
  </si>
  <si>
    <t>31LP42016</t>
  </si>
  <si>
    <t>LP ExpFin 5/4 6X10 OSC Ced Abyss Bk</t>
  </si>
  <si>
    <t>31LP42043</t>
  </si>
  <si>
    <t>LP EXPFIN TOUCH UP PAINT SNW WHT QT</t>
  </si>
  <si>
    <t>QT</t>
  </si>
  <si>
    <t>31LP42045</t>
  </si>
  <si>
    <t>LP EXPFIN TOUCH UP PAINT ABYS BK QT</t>
  </si>
  <si>
    <t>31LP42046</t>
  </si>
  <si>
    <t>LP ExpFin Touch Up Paint Terr Bn Qt</t>
  </si>
  <si>
    <t>31LP42048</t>
  </si>
  <si>
    <t>LP ExpFin Touch Up Paint Cav Stl Qt</t>
  </si>
  <si>
    <t>31LP42052</t>
  </si>
  <si>
    <t>LP ExpFin Touch Up Paint Quarry Qt</t>
  </si>
  <si>
    <t>31LP42053</t>
  </si>
  <si>
    <t>LP ExpFin Touch Up Paint Rapd Bl Qt</t>
  </si>
  <si>
    <t>31LP42055</t>
  </si>
  <si>
    <t>LP ExpFin Touch Up Paint Snd Dun Qt</t>
  </si>
  <si>
    <t>31LP42057</t>
  </si>
  <si>
    <t>LP ExpFin Touch Up Paint Summ Bl Qt</t>
  </si>
  <si>
    <t>31LP42311</t>
  </si>
  <si>
    <t>LP ExpFin 19/32 3X16 Trm Cdr Snow Wh</t>
  </si>
  <si>
    <t>31LP42312</t>
  </si>
  <si>
    <t>LP ExpFin 5/4  4X16 Trm Cdr Snow Wh</t>
  </si>
  <si>
    <t>31LP42316</t>
  </si>
  <si>
    <t>LP ExpFin 5/4  6x16 Trm Cdr Snow Wh</t>
  </si>
  <si>
    <t>31LP42319</t>
  </si>
  <si>
    <t>31LP42320</t>
  </si>
  <si>
    <t>LP ExpFin 5/4  8X16 Trm Cdr Snow Wh</t>
  </si>
  <si>
    <t>31LP42323</t>
  </si>
  <si>
    <t>LP ExpFin 5/4  8X16 Trm Cdr Aby Blk</t>
  </si>
  <si>
    <t>31LP45338</t>
  </si>
  <si>
    <t>LP ExpFin 5/4 4X16 Trm Cdr MidShad</t>
  </si>
  <si>
    <t>31LP45347</t>
  </si>
  <si>
    <t>LP ExpFin 5/4 10X16 Trm Cdr MidShad</t>
  </si>
  <si>
    <t>31LP45441</t>
  </si>
  <si>
    <t>LP ExpFin Touch Up Paint Garden Sage</t>
  </si>
  <si>
    <t>31LP45442</t>
  </si>
  <si>
    <t>LP ExpFin Touch Up Paint Mid Sha Qt</t>
  </si>
  <si>
    <t>31LPTO546P</t>
  </si>
  <si>
    <t>LP SMART TRIM OSCP 5/4X4X16 PRIME</t>
  </si>
  <si>
    <t>31LPTO566P</t>
  </si>
  <si>
    <t>LP SMART TRIM OSCP 5/4X6X16 PRIME</t>
  </si>
  <si>
    <t>31LPTS5046</t>
  </si>
  <si>
    <t>LP SMARTSIDE TRIM SM 5/4"X4"X16'</t>
  </si>
  <si>
    <t>31LPTS5066</t>
  </si>
  <si>
    <t>LP SMARTSIDE TRIM SM 5/4"X6"X16'</t>
  </si>
  <si>
    <t>31LPTS5086</t>
  </si>
  <si>
    <t>LP SMARTSIDE TRIM SM 5/4"X8"X16'</t>
  </si>
  <si>
    <t>31LPTW1936</t>
  </si>
  <si>
    <t>LP SMARTSIDE TRIM WG 19/32"X3"X16'</t>
  </si>
  <si>
    <t>31LPTW4026</t>
  </si>
  <si>
    <t>LP SMARTSIDE TRIM WG 4/4"X2"X16'</t>
  </si>
  <si>
    <t>31LPTW4036</t>
  </si>
  <si>
    <t>LP Smartside Trim WG 4/4"X3"X16'</t>
  </si>
  <si>
    <t>31LPTW5026</t>
  </si>
  <si>
    <t>LP SMARTSIDE TRIM WG 5/4"X2"X16'</t>
  </si>
  <si>
    <t>31LPTW5046</t>
  </si>
  <si>
    <t>LP SMARTSIDE TRIM WG 5/4"X4"X16'</t>
  </si>
  <si>
    <t>31LPTW5066</t>
  </si>
  <si>
    <t>LP SMARTSIDE TRIM WG 5/4"X6"X16'</t>
  </si>
  <si>
    <t>31LPTW5086</t>
  </si>
  <si>
    <t>LP SMARTSIDE TRIM WG 5/4"X8"X16'</t>
  </si>
  <si>
    <t>31LPTW5106</t>
  </si>
  <si>
    <t>LP SMARTSIDE TRIM WG 5/4"X10"X16'</t>
  </si>
  <si>
    <t>31LPTW5126</t>
  </si>
  <si>
    <t>LP SMARTSIDE TRIM WG 5/4"X12"X16'</t>
  </si>
  <si>
    <t>31LR0004TB</t>
  </si>
  <si>
    <t>Lux 1" Joiner Strip Textured Black Onyx</t>
  </si>
  <si>
    <t>31LR0200KE</t>
  </si>
  <si>
    <t>Lux D7 2-Pan Vented Soff Knot Ebony</t>
  </si>
  <si>
    <t>31LR701</t>
  </si>
  <si>
    <t>Lux Starter Strip #701</t>
  </si>
  <si>
    <t>31LR701KC</t>
  </si>
  <si>
    <t>Lux Starter Strip Knotty Chestnut #701</t>
  </si>
  <si>
    <t>31LR701KE</t>
  </si>
  <si>
    <t>Lux Starter Strip Knotty Ebony #701</t>
  </si>
  <si>
    <t>31LR701TC</t>
  </si>
  <si>
    <t>Lux Starter Strip Textured Coffee #701</t>
  </si>
  <si>
    <t>31LR702CY</t>
  </si>
  <si>
    <t>Lux Base Trim Cypress #702</t>
  </si>
  <si>
    <t>31LR702KR</t>
  </si>
  <si>
    <t>Lux Base Trim Knot Redwood #702</t>
  </si>
  <si>
    <t>31LR702KT</t>
  </si>
  <si>
    <t>Lux Base Trim Knot Teak #702</t>
  </si>
  <si>
    <t>31LR703BG</t>
  </si>
  <si>
    <t>Lux J-Chan Brushed Graphite #703</t>
  </si>
  <si>
    <t>31LR703BO</t>
  </si>
  <si>
    <t>Lux J-Chan Black Onyx #703</t>
  </si>
  <si>
    <t>31LR703CC</t>
  </si>
  <si>
    <t>Lux J-Chan Clas Cherry #703</t>
  </si>
  <si>
    <t>31LR703CD</t>
  </si>
  <si>
    <t>Lux J-Chan Cedar #703</t>
  </si>
  <si>
    <t>31LR703CY</t>
  </si>
  <si>
    <t>Lux J-Chan Cypress #703</t>
  </si>
  <si>
    <t>31LR703DW</t>
  </si>
  <si>
    <t>Lux J-Chan Driftwood #703</t>
  </si>
  <si>
    <t>31LR703FI</t>
  </si>
  <si>
    <t>Lux J-Chan Fir #703</t>
  </si>
  <si>
    <t>31LR703KC</t>
  </si>
  <si>
    <t>Lux J-Chan Knotty Chestnut #703</t>
  </si>
  <si>
    <t>31LR703KE</t>
  </si>
  <si>
    <t>Lux J-Chan Knotty Ebony #703</t>
  </si>
  <si>
    <t>31LR703KO</t>
  </si>
  <si>
    <t>Lux J-Chan Kona #703</t>
  </si>
  <si>
    <t>31LR703KR</t>
  </si>
  <si>
    <t>Lux J-Chan Knotty Redwood #703</t>
  </si>
  <si>
    <t>31LR703KT</t>
  </si>
  <si>
    <t>Lux J-Chan Knotty Teak #703</t>
  </si>
  <si>
    <t>31LR703NF</t>
  </si>
  <si>
    <t>Lux J-Chan Natural Fawn #703</t>
  </si>
  <si>
    <t>31LR703NH</t>
  </si>
  <si>
    <t>Lux J-Chan Natural Heartwood #703</t>
  </si>
  <si>
    <t>31LR703PE</t>
  </si>
  <si>
    <t>Lux J-Chan Pecan #703</t>
  </si>
  <si>
    <t>31LR703TC</t>
  </si>
  <si>
    <t>Lux J-Chan Textured Coffee #703</t>
  </si>
  <si>
    <t>31LR703WA</t>
  </si>
  <si>
    <t>Lux J-Chan Walnut #703</t>
  </si>
  <si>
    <t>31LR703WO</t>
  </si>
  <si>
    <t>Lux J-Chan White Oak #703</t>
  </si>
  <si>
    <t>31LR705DW</t>
  </si>
  <si>
    <t>Lux Pocket Hidden Closure Driftwood #705</t>
  </si>
  <si>
    <t>31LR706CC</t>
  </si>
  <si>
    <t>Lux Outside Corner Clas Cherry #706</t>
  </si>
  <si>
    <t>31LR706CE</t>
  </si>
  <si>
    <t>Lux Outside Corner Cedar #706</t>
  </si>
  <si>
    <t>31LR706CY</t>
  </si>
  <si>
    <t>Lux Outside Corner Cypress #706</t>
  </si>
  <si>
    <t>31LR706DW</t>
  </si>
  <si>
    <t>Lux Outside Corner Driftwood #706</t>
  </si>
  <si>
    <t>31LR706FI</t>
  </si>
  <si>
    <t>Lux Outside Corner Fir #706</t>
  </si>
  <si>
    <t>31LR706KO</t>
  </si>
  <si>
    <t>Lux Outside Corner Kona #706</t>
  </si>
  <si>
    <t>31LR706KR</t>
  </si>
  <si>
    <t>Lux Outside Corner Knot Redwd #706</t>
  </si>
  <si>
    <t>31LR706KT</t>
  </si>
  <si>
    <t>Lux Outside Corner Knot Teak #706</t>
  </si>
  <si>
    <t>31LR706NF</t>
  </si>
  <si>
    <t>Lux Outside Corner Natural Fawn #706</t>
  </si>
  <si>
    <t>31LR707FI</t>
  </si>
  <si>
    <t>Lux Inside Corner Fir #707</t>
  </si>
  <si>
    <t>31LR707KE</t>
  </si>
  <si>
    <t>Lux Inside Corner Knotty Ebony #707</t>
  </si>
  <si>
    <t>31LR708CC</t>
  </si>
  <si>
    <t>Lux Joiner J Classic Cherry #708</t>
  </si>
  <si>
    <t>31LR708FI</t>
  </si>
  <si>
    <t>Lux Joiner J Fir #708</t>
  </si>
  <si>
    <t>31LR708KO</t>
  </si>
  <si>
    <t>Lux Joiner J Kona #708</t>
  </si>
  <si>
    <t>31LR708TC</t>
  </si>
  <si>
    <t>Lux Joiner J Textured Coffee #708</t>
  </si>
  <si>
    <t>31LR709BG</t>
  </si>
  <si>
    <t>Lux Drip Cap Brushed Graphite #709</t>
  </si>
  <si>
    <t>31LR709CC</t>
  </si>
  <si>
    <t>Lux Drip Cap Classic Cherry #709</t>
  </si>
  <si>
    <t>31LR709CY</t>
  </si>
  <si>
    <t>Lux Drip Cap Cypress #709</t>
  </si>
  <si>
    <t>31LR709KR</t>
  </si>
  <si>
    <t>Lux Drip Cap Knot Redwood #709</t>
  </si>
  <si>
    <t>31LR711CP</t>
  </si>
  <si>
    <t>Lux Open O/S Copper Penny #711</t>
  </si>
  <si>
    <t>31LR711NH</t>
  </si>
  <si>
    <t>Lux Open O/S Nat Heartwood #711</t>
  </si>
  <si>
    <t>31LR713CY</t>
  </si>
  <si>
    <t>Lux Pocket Bottom J Insert Cypress #713</t>
  </si>
  <si>
    <t>31LR713DW</t>
  </si>
  <si>
    <t>Lux Pocket Bottom J Insert Driftwd #713</t>
  </si>
  <si>
    <t>31LR714BG</t>
  </si>
  <si>
    <t>Lux 2Pc O/S Snap-T Brush Graph #714</t>
  </si>
  <si>
    <t>31LR714BO</t>
  </si>
  <si>
    <t>Lux 2Pc O/S Snap-T Black Oak #714</t>
  </si>
  <si>
    <t>31LR714CC</t>
  </si>
  <si>
    <t>Lux 2Pc O/S Snap-T Clas Cherry #714</t>
  </si>
  <si>
    <t>31LR714CE</t>
  </si>
  <si>
    <t>Lux 2Pc O/S Snap-T Cedar #714</t>
  </si>
  <si>
    <t>31LR714CY</t>
  </si>
  <si>
    <t>Lux 2Pc O/S Snap-T Cypress #714</t>
  </si>
  <si>
    <t>31LR714FI</t>
  </si>
  <si>
    <t>Lux 2Pc O/S Snap-T Fir #714</t>
  </si>
  <si>
    <t>31LR714KD</t>
  </si>
  <si>
    <t>Lux 2Pc O/S Snap-T Knot DesOak #714</t>
  </si>
  <si>
    <t>31LR714KE</t>
  </si>
  <si>
    <t>Lux 2Pc O/S Snap-T Knotty Ebon #714</t>
  </si>
  <si>
    <t>31LR714KO</t>
  </si>
  <si>
    <t>Lux 2Pc O/S Snap-T Kona #714</t>
  </si>
  <si>
    <t>31LR714KR</t>
  </si>
  <si>
    <t>Lux 2Pc O/S Snap-T Knot Redwd #714</t>
  </si>
  <si>
    <t>31LR714KT</t>
  </si>
  <si>
    <t>Lux 2Pc O/S Snap-T Knot Teak #714</t>
  </si>
  <si>
    <t>31LR714NF</t>
  </si>
  <si>
    <t>Lux 2Pc O/S Snap-T Natural Fawn #714</t>
  </si>
  <si>
    <t>31LR714PE</t>
  </si>
  <si>
    <t>Lux 2Pc O/S Snap-T Pecan #714</t>
  </si>
  <si>
    <t>31LR714SU</t>
  </si>
  <si>
    <t>Lux 2Pc O/S Snap-T Suede #714</t>
  </si>
  <si>
    <t>31LR714WA</t>
  </si>
  <si>
    <t>Lux 2Pc O/S Snap-T Walnut #714</t>
  </si>
  <si>
    <t>31LR714WO</t>
  </si>
  <si>
    <t>Lux 2Pc O/S Snap-T White Oak #714</t>
  </si>
  <si>
    <t>31LR715BG</t>
  </si>
  <si>
    <t>Lux 2Pc J-Chan Brushed Graphit #715</t>
  </si>
  <si>
    <t>31LR715BO</t>
  </si>
  <si>
    <t>Lux 2Pc J-Chan Black Onyx #715</t>
  </si>
  <si>
    <t>31LR715CC</t>
  </si>
  <si>
    <t>Lux 2Pc J-Chan Clas Cherry #715</t>
  </si>
  <si>
    <t>31LR715CD</t>
  </si>
  <si>
    <t>Lux 2Pc J-Chan Cedar #715</t>
  </si>
  <si>
    <t>31LR715CU</t>
  </si>
  <si>
    <t>Lux 2Pc J-Chan Custom #715</t>
  </si>
  <si>
    <t>31LR715CY</t>
  </si>
  <si>
    <t>Lux 2Pc J-Chan Cypress #715</t>
  </si>
  <si>
    <t>31LR715DW</t>
  </si>
  <si>
    <t>Lux 2Pc J-Chan Driftwood #715</t>
  </si>
  <si>
    <t>31LR715ES</t>
  </si>
  <si>
    <t>Lux 2Pc J-Chan Espresso #715</t>
  </si>
  <si>
    <t>31LR715FI</t>
  </si>
  <si>
    <t>Lux 2Pc J-Chan Fir #715</t>
  </si>
  <si>
    <t>31LR715KC</t>
  </si>
  <si>
    <t>Lux 2Pc J-Chan Knotty Chestnut #715</t>
  </si>
  <si>
    <t>31LR715KE</t>
  </si>
  <si>
    <t>Lux 2Pc J-Chan Knotty Ebony #715</t>
  </si>
  <si>
    <t>31LR715KO</t>
  </si>
  <si>
    <t>Lux 2Pc J-Chan Kona #715</t>
  </si>
  <si>
    <t>31LR715KR</t>
  </si>
  <si>
    <t>Lux 2Pc J-Chan Knotty Redwood #715</t>
  </si>
  <si>
    <t>31LR715KT</t>
  </si>
  <si>
    <t>Lux 2Pc J-Chan Knot Teak #715</t>
  </si>
  <si>
    <t>31LR715NF</t>
  </si>
  <si>
    <t>Lux 2Pc J-Chan Natural Fawn #715</t>
  </si>
  <si>
    <t>31LR715NH</t>
  </si>
  <si>
    <t>Lux 2Pc J-Chan Natural Heartwood #715</t>
  </si>
  <si>
    <t>31LR715PE</t>
  </si>
  <si>
    <t>Lux 2Pc J-Chan Pecan #715</t>
  </si>
  <si>
    <t>31LR715TC</t>
  </si>
  <si>
    <t>Lux 2Pc J-Chan Textured Coffee #715</t>
  </si>
  <si>
    <t>31LR715WA</t>
  </si>
  <si>
    <t>Lux 2Pc J-Chan Walnut #715</t>
  </si>
  <si>
    <t>31LR715WO</t>
  </si>
  <si>
    <t>Lux 2Pc J-Chan White Oak #715</t>
  </si>
  <si>
    <t>31LR716CD</t>
  </si>
  <si>
    <t>Lux Joiner J Insert Cedar #716</t>
  </si>
  <si>
    <t>31LR718BG</t>
  </si>
  <si>
    <t>Lux 2Pc Joiner J Insert B Grap #718</t>
  </si>
  <si>
    <t>31LR718CY</t>
  </si>
  <si>
    <t>Lux 2Pc Joiner J Insert Cypress #718</t>
  </si>
  <si>
    <t>31LR718DW</t>
  </si>
  <si>
    <t>Lux 2Pc Joiner J Insert Driftwood #718</t>
  </si>
  <si>
    <t>31LR718FI</t>
  </si>
  <si>
    <t>Lux 2Pc Joiner J Insert Fir #718</t>
  </si>
  <si>
    <t>31LR733CC</t>
  </si>
  <si>
    <t>Lux Roll Form J-Chan Clas Cher #733</t>
  </si>
  <si>
    <t>31LR733CE</t>
  </si>
  <si>
    <t>Lux Roll Form J-Chan Cedar #733</t>
  </si>
  <si>
    <t>31LR733CY</t>
  </si>
  <si>
    <t>Lux Roll Form J-Chan Cypress #733</t>
  </si>
  <si>
    <t>31LR733FI</t>
  </si>
  <si>
    <t>Lux Roll Form J-Chan Fir #733</t>
  </si>
  <si>
    <t>31LR733KD</t>
  </si>
  <si>
    <t>Lux Roll Form J-Chan Knot Des Oak #733</t>
  </si>
  <si>
    <t>31LR733KE</t>
  </si>
  <si>
    <t>Lux Roll Form J-Chan Knotty Ebony #733</t>
  </si>
  <si>
    <t>31LR733KO</t>
  </si>
  <si>
    <t>Lux Roll Form J-Chan Kona #733</t>
  </si>
  <si>
    <t>31LR733KR</t>
  </si>
  <si>
    <t>Lux Roll Form J-Chan Knot Redw #733</t>
  </si>
  <si>
    <t>31LR733KT</t>
  </si>
  <si>
    <t>Lux Roll Form J-Chan Knot Teak #733</t>
  </si>
  <si>
    <t>31LR733NH</t>
  </si>
  <si>
    <t>Lux Roll Form J-Chan Nat Heart #733</t>
  </si>
  <si>
    <t>31LR733SU</t>
  </si>
  <si>
    <t>Lux Roll Form J-Chan Suede #733</t>
  </si>
  <si>
    <t>31LR733WA</t>
  </si>
  <si>
    <t>Lux Roll Form J-Chan Walnut #733</t>
  </si>
  <si>
    <t>31LR733WO</t>
  </si>
  <si>
    <t>Lux Roll Form J-Chan White Oak #733</t>
  </si>
  <si>
    <t>31LR797CY</t>
  </si>
  <si>
    <t>Lux J Insert Top Cap Cypress #797</t>
  </si>
  <si>
    <t>31LR797FI</t>
  </si>
  <si>
    <t>Lux J Insert Top Cap Fir #797</t>
  </si>
  <si>
    <t>31LR797PE</t>
  </si>
  <si>
    <t>Lux J Insert Top Cap Pecan #797</t>
  </si>
  <si>
    <t>31LR798CC</t>
  </si>
  <si>
    <t>Lux 2pc Base Classic Cherry #798</t>
  </si>
  <si>
    <t>31LR799CC</t>
  </si>
  <si>
    <t>Lux Roll Form 2Pc J-Ch ClasChe #799</t>
  </si>
  <si>
    <t>31LR799CE</t>
  </si>
  <si>
    <t>Lux Roll Form 2Pc J-Ch Cedar #799</t>
  </si>
  <si>
    <t>31LR799CY</t>
  </si>
  <si>
    <t>Lux Roll Form 2Pc J-Ch Cypress #799</t>
  </si>
  <si>
    <t>31LR799FI</t>
  </si>
  <si>
    <t>Lux Roll Form 2Pc J-Ch Fir #799</t>
  </si>
  <si>
    <t>31LR799KC</t>
  </si>
  <si>
    <t>Lux Roll Form 2Pc J-Ch KnotChe #799</t>
  </si>
  <si>
    <t>31LR799KD</t>
  </si>
  <si>
    <t>Lux Roll Form 2Pc J-Ch KnotDes #799</t>
  </si>
  <si>
    <t>31LR799KE</t>
  </si>
  <si>
    <t>Lux Roll Form 2Pc J-Ch Knotty Ebony #799</t>
  </si>
  <si>
    <t>31LR799KO</t>
  </si>
  <si>
    <t>Lux Roll Form 2Pc J-Ch Kona #799</t>
  </si>
  <si>
    <t>31LR799KR</t>
  </si>
  <si>
    <t>Lux Roll Form 2Pc J-Ch Knot Rd #799</t>
  </si>
  <si>
    <t>31LR799KT</t>
  </si>
  <si>
    <t>Lux Roll Form 2Pc J-Ch Knot Tk #799</t>
  </si>
  <si>
    <t>31LR799SU</t>
  </si>
  <si>
    <t>Lux Roll Form 2Pc J-Ch Suede #799</t>
  </si>
  <si>
    <t>31LR799WA</t>
  </si>
  <si>
    <t>Lux Roll Form 2Pc J-Ch Walnut #799</t>
  </si>
  <si>
    <t>31LR799WO</t>
  </si>
  <si>
    <t>Lux Roll Form 2Pc J-Ch White Oak #799</t>
  </si>
  <si>
    <t>31LR821BK</t>
  </si>
  <si>
    <t>Lux 9" Drop Fascia 8" Black #821</t>
  </si>
  <si>
    <t>31LR821FI</t>
  </si>
  <si>
    <t>Lux 9" Drop Fascia 8" Fir #821</t>
  </si>
  <si>
    <t>31LR842KC</t>
  </si>
  <si>
    <t>Lux L-Trim Knotty Chestnut #842</t>
  </si>
  <si>
    <t>31LR902KR</t>
  </si>
  <si>
    <t>Lux 1" Pocket 2Pc J-Ch Knot Rd #902</t>
  </si>
  <si>
    <t>31LR904KR</t>
  </si>
  <si>
    <t>Lux Pnl Base Trim Knot Redwood #904</t>
  </si>
  <si>
    <t>31LR9061KT</t>
  </si>
  <si>
    <t>Lux O/S Starter 10' Knot Teak #906</t>
  </si>
  <si>
    <t>31LR9061TB</t>
  </si>
  <si>
    <t>Lux O/S Starter Textured Onyx Black #906</t>
  </si>
  <si>
    <t>31LR927KT</t>
  </si>
  <si>
    <t>Lux RP Drip Cap 10' Knotty Teak #927</t>
  </si>
  <si>
    <t>31LRTUPCE</t>
  </si>
  <si>
    <t>Lux Touch Up Pen Cedar</t>
  </si>
  <si>
    <t>31LRTUPCY</t>
  </si>
  <si>
    <t>Lux Touch Up Pen Cypress</t>
  </si>
  <si>
    <t>31LRTUPFI</t>
  </si>
  <si>
    <t>Lux Touch Up Pen Fir</t>
  </si>
  <si>
    <t>31LRTUPKC</t>
  </si>
  <si>
    <t>Lux Touch Up Pen Knotty Chestnut</t>
  </si>
  <si>
    <t>31LRTUPKO</t>
  </si>
  <si>
    <t>Lux Touch Up Pen Kona</t>
  </si>
  <si>
    <t>31LRTUPKT</t>
  </si>
  <si>
    <t>Lux Touch Up Pen Knotty Teak</t>
  </si>
  <si>
    <t>31LRTUPWA</t>
  </si>
  <si>
    <t>Lux Touch Up Pen Walnut</t>
  </si>
  <si>
    <t>31LRTUPWNH</t>
  </si>
  <si>
    <t>Lux Touch Up Pen West Cst Nat Hardw</t>
  </si>
  <si>
    <t>31MACJM5MG</t>
  </si>
  <si>
    <t>Maibec Canexel Joint Mld D5 MistGry</t>
  </si>
  <si>
    <t>31MACJM5TW</t>
  </si>
  <si>
    <t>Maibec Canexel Joint Mld D5 Timberwolf</t>
  </si>
  <si>
    <t>31MACJM9AG</t>
  </si>
  <si>
    <t>Maibec Canexel Joint Mld 9" AutGold</t>
  </si>
  <si>
    <t>31MACJM9BK</t>
  </si>
  <si>
    <t>Maibec Canexel Joint Mld 9" Black</t>
  </si>
  <si>
    <t>31MACJM9CR</t>
  </si>
  <si>
    <t>Maibec Canexel Joint Mld 9" CountRd</t>
  </si>
  <si>
    <t>31MACJM9CS</t>
  </si>
  <si>
    <t>Maibec Canexel Joint Mld 9" Cliffsi</t>
  </si>
  <si>
    <t>31MACJM9GR</t>
  </si>
  <si>
    <t>Maibec Canexel Joint Mld 9" Granite</t>
  </si>
  <si>
    <t>31MACJM9MB</t>
  </si>
  <si>
    <t>Maibec Canexel Joint Mld 9" Midnight Blu</t>
  </si>
  <si>
    <t>31MACJM9SA</t>
  </si>
  <si>
    <t>Maibec Canexel Joint Mld 9" Sand</t>
  </si>
  <si>
    <t>31MACJM9SC</t>
  </si>
  <si>
    <t>Maibec Canexel Joint Mld 9" Scandinave</t>
  </si>
  <si>
    <t>31MACJM9SI</t>
  </si>
  <si>
    <t>Maibec Canexel Joint Mld 9" Sierra</t>
  </si>
  <si>
    <t>31MACJM9SW</t>
  </si>
  <si>
    <t>Maibec Canexel Joint Mld 9" Sandlwd</t>
  </si>
  <si>
    <t>31MACJM9TI</t>
  </si>
  <si>
    <t>Maibec Canexel Joint Mld 9" Tmbrwlf</t>
  </si>
  <si>
    <t>31MACJM9WA</t>
  </si>
  <si>
    <t>Maibec Canexel Joint Mld 9" Walnut</t>
  </si>
  <si>
    <t>31MACJM9WH</t>
  </si>
  <si>
    <t>Maibec Canexel Joint Mld 9" White</t>
  </si>
  <si>
    <t>31MACJM9YS</t>
  </si>
  <si>
    <t>Maibec Canexel Joint Mld 9" Yellows</t>
  </si>
  <si>
    <t>31MATUP9AC</t>
  </si>
  <si>
    <t>Maibec Touch UP Paint 9.6 OZ Acadia</t>
  </si>
  <si>
    <t>31MATUP9MG</t>
  </si>
  <si>
    <t>Maibec Touch Up Paint 9.6 OZ Mist Grey</t>
  </si>
  <si>
    <t>31MI4OD16P</t>
  </si>
  <si>
    <t>LP SMART TRIM 4" OCP 16' DADO'D PRM</t>
  </si>
  <si>
    <t>31MICLPDWP</t>
  </si>
  <si>
    <t>LP Smart Trim WG Coach Light Plate</t>
  </si>
  <si>
    <t>31MILIC16P</t>
  </si>
  <si>
    <t>LP SMART TRIM IC 1"X1"X16' PRM</t>
  </si>
  <si>
    <t>31MILIC46P</t>
  </si>
  <si>
    <t>LP SMART TRIM IC 4"X4"X16' PRM</t>
  </si>
  <si>
    <t>31MILO1508</t>
  </si>
  <si>
    <t>LP SMART TRIM 1.5"X1.5" OCP 8'</t>
  </si>
  <si>
    <t>31MILO1710</t>
  </si>
  <si>
    <t>LP SMART TRIM 1.75"X1.75" OCP 10'</t>
  </si>
  <si>
    <t>31MILPDWGP</t>
  </si>
  <si>
    <t>LP Smart Trim WG Light Plate Dado'd Prim</t>
  </si>
  <si>
    <t>31MILPSMPR</t>
  </si>
  <si>
    <t>LP Smart Trim Light Plate Smooth Primed</t>
  </si>
  <si>
    <t>31MINR16WH</t>
  </si>
  <si>
    <t>Novik Novikvent 16" Round   White</t>
  </si>
  <si>
    <t>31MIPO114P</t>
  </si>
  <si>
    <t>1-1/4" PINE PRIMED CORNER BEAD 8'</t>
  </si>
  <si>
    <t>31MIPPDWGP</t>
  </si>
  <si>
    <t>LP Smart Trim WG Plug Plate Dado'd Prime</t>
  </si>
  <si>
    <t>31MPSBM000</t>
  </si>
  <si>
    <t>Mid-AM Mini Split Block Color 000</t>
  </si>
  <si>
    <t>31MPSBM002</t>
  </si>
  <si>
    <t>Mid-AM Mini Split Block Color 002</t>
  </si>
  <si>
    <t>31NEOC1412</t>
  </si>
  <si>
    <t>NATURAL ELEM OUTSIDE CORNER 1X4X12'</t>
  </si>
  <si>
    <t>31NEUL540</t>
  </si>
  <si>
    <t>NATURAL ELEM LIGHT TRIM 5/4X10X12'</t>
  </si>
  <si>
    <t>31NEUL541</t>
  </si>
  <si>
    <t>NATURAL ELEM LIGHT TRIM 5/4X12X12'</t>
  </si>
  <si>
    <t>31NEUL544</t>
  </si>
  <si>
    <t>NATURAL ELEM LIGHT TRIM 5/4X4X12'</t>
  </si>
  <si>
    <t>31NEUL546</t>
  </si>
  <si>
    <t>NATURAL ELEM LIGHT TRIM 5/4X6X12'</t>
  </si>
  <si>
    <t>31NEUL548</t>
  </si>
  <si>
    <t>NATURAL ELEM LIGHT TRIM 5/4X8X12'</t>
  </si>
  <si>
    <t>31PV501R</t>
  </si>
  <si>
    <t>Primex Double Drip Edge Trim White 501R</t>
  </si>
  <si>
    <t>31PVWC3WH</t>
  </si>
  <si>
    <t>PRIMEX WALLCAP 3" INT/EXH WHITE WC3</t>
  </si>
  <si>
    <t>31PVWC4BK</t>
  </si>
  <si>
    <t>PRIMEX WALLCAP 4" INT/EXH BLACK WC4</t>
  </si>
  <si>
    <t>31PVWC4WH</t>
  </si>
  <si>
    <t>PRIMEX WALLCAP 4" INT/EXH WHITE WC4</t>
  </si>
  <si>
    <t>31QSPB1518</t>
  </si>
  <si>
    <t>QSP PORCH BRACKET 15"X18"</t>
  </si>
  <si>
    <t>31QSPB1824</t>
  </si>
  <si>
    <t>QSP PORCH BRACKET 18"X24"</t>
  </si>
  <si>
    <t>31RDDVBK</t>
  </si>
  <si>
    <t>Raindog Dryer Vent Black</t>
  </si>
  <si>
    <t>31RDDVWH</t>
  </si>
  <si>
    <t>Raindog Dryer Vent White</t>
  </si>
  <si>
    <t>31RDHBBK</t>
  </si>
  <si>
    <t>Raindog Hose Bib Black</t>
  </si>
  <si>
    <t>31RDHBWH</t>
  </si>
  <si>
    <t>Raindog Hose Bib White</t>
  </si>
  <si>
    <t>31RDLPBK</t>
  </si>
  <si>
    <t>Raindog Light Plate Black</t>
  </si>
  <si>
    <t>31RDLPWH</t>
  </si>
  <si>
    <t>Raindog Light Plate White</t>
  </si>
  <si>
    <t>31RDPPBK</t>
  </si>
  <si>
    <t>Raindog Plug Plate Black</t>
  </si>
  <si>
    <t>31RDPPWH</t>
  </si>
  <si>
    <t>Raindog Plug Plate White</t>
  </si>
  <si>
    <t>31RG7OCPGM</t>
  </si>
  <si>
    <t>RG D7 OCP GRAY MOSS      D7CEDAROCP</t>
  </si>
  <si>
    <t>31RG7OCPSW</t>
  </si>
  <si>
    <t>RG D7 OCP SANDALWOOD     D7CEDAROCP</t>
  </si>
  <si>
    <t>31RG7OCPYB</t>
  </si>
  <si>
    <t>RG D7 OCP YELLOW BIRCH   D7CEDAROCP</t>
  </si>
  <si>
    <t>31RGCRO5AW</t>
  </si>
  <si>
    <t>RG Cdr Rend 5/8" OCP Amberwood 1356</t>
  </si>
  <si>
    <t>31RGCRO5CB</t>
  </si>
  <si>
    <t>RG CDR REND 5/8" OCP CEDR BARK 1356</t>
  </si>
  <si>
    <t>31RGCRO5CW</t>
  </si>
  <si>
    <t>RG CDR REND 5/8" OCP CHARWOOD 1356</t>
  </si>
  <si>
    <t>31RGS7OCBS</t>
  </si>
  <si>
    <t>RG S7 OCP BROWNSTONE     S7CEDAROCP</t>
  </si>
  <si>
    <t>31RGS7OCBW</t>
  </si>
  <si>
    <t>RG S7 Ocp Black Walnut S7CEDAROCP</t>
  </si>
  <si>
    <t>31RGS7OCCC</t>
  </si>
  <si>
    <t>RG S7 OCP COCOA          S7CEDAROCP</t>
  </si>
  <si>
    <t>31RGS7OCCW</t>
  </si>
  <si>
    <t>RG S7 Ocp Cottonwood S7CEDAROCP</t>
  </si>
  <si>
    <t>31RGS7OCFS</t>
  </si>
  <si>
    <t>RG S7 Ocp Flagstone S7CEDAROCP</t>
  </si>
  <si>
    <t>31RGS7OCGM</t>
  </si>
  <si>
    <t>RG S7 Ocp Gray Moss S7CEDAROCP</t>
  </si>
  <si>
    <t>31RGS7OCGR</t>
  </si>
  <si>
    <t>RG S7 OCP Granite S7CEDAROCP</t>
  </si>
  <si>
    <t>31RGS7OCHB</t>
  </si>
  <si>
    <t>RG S7 OCP HERITAGE BLUE  S7CEDAROCP</t>
  </si>
  <si>
    <t>31RGS7OCHE</t>
  </si>
  <si>
    <t>RG S7 OCP HEATHER        S7CEDAROCP</t>
  </si>
  <si>
    <t>31RGS7OCHS</t>
  </si>
  <si>
    <t>RG S7 OCP HARVARD SLATE  S7CEDAROCP</t>
  </si>
  <si>
    <t>31RGS7OCIS</t>
  </si>
  <si>
    <t>RG S7 OCP IRONSTONE      S7CEDAROCP</t>
  </si>
  <si>
    <t>31RGS7OCLI</t>
  </si>
  <si>
    <t>RG S7 OCP LINEN          S7CEDAROCP</t>
  </si>
  <si>
    <t>31RGS7OCMA</t>
  </si>
  <si>
    <t>RG S7 OCP Mountain Ash S7CEDAROCP</t>
  </si>
  <si>
    <t>31RGS7OCMB</t>
  </si>
  <si>
    <t>RG S7 OCP MARINE BLUE    S7CEDAROCP</t>
  </si>
  <si>
    <t>31RGS7OCMS</t>
  </si>
  <si>
    <t>RG S7 Ocp Midnight Surf S7CEDAROCP</t>
  </si>
  <si>
    <t>31RGS7OCRG</t>
  </si>
  <si>
    <t>RG S7 OCP Rustic Gray S7CEDAROCP</t>
  </si>
  <si>
    <t>31RGS7OCRS</t>
  </si>
  <si>
    <t>RG S7 OCP ROCKSLIDE      S7CEDAROCP</t>
  </si>
  <si>
    <t>31RGS7OCRW</t>
  </si>
  <si>
    <t>RG S7 OCP REDWOOD        S7CEDAROCP</t>
  </si>
  <si>
    <t>31RGS7OCSD</t>
  </si>
  <si>
    <t>RG S7 OCP SAND           S7CEDAROCP</t>
  </si>
  <si>
    <t>31RGS7OCSH</t>
  </si>
  <si>
    <t>RG S7 OCP SHAMROCK       S7CEDAROCP</t>
  </si>
  <si>
    <t>31RGS7OCSM</t>
  </si>
  <si>
    <t>RG S7 OCP SOFT MAPLE     S7CEDAROCP</t>
  </si>
  <si>
    <t>31RGS7OCSO</t>
  </si>
  <si>
    <t>RG S7 OCP STORM          S7CEDAROCP</t>
  </si>
  <si>
    <t>31RGS7OCSS</t>
  </si>
  <si>
    <t>RG S7 OCP Sedona Shadow S7CEDAROCP</t>
  </si>
  <si>
    <t>31RGS7OCST</t>
  </si>
  <si>
    <t>RG S7 OCP STERLING       S7CEDAROCP</t>
  </si>
  <si>
    <t>31RGS7OCTA</t>
  </si>
  <si>
    <t>RG S7 OCP TOASTED ALMOND S7CEDAROCP</t>
  </si>
  <si>
    <t>31RGS7OCWA</t>
  </si>
  <si>
    <t>RG S7 OCP WALNUT         S7CEDAROCP</t>
  </si>
  <si>
    <t>31RGS7OCWG</t>
  </si>
  <si>
    <t>RG S7 OCP WEATHERED GRAY S7CEDAROCP</t>
  </si>
  <si>
    <t>31RGS7OCWH</t>
  </si>
  <si>
    <t>RG S7 OCP WHITE          S7CEDAROCP</t>
  </si>
  <si>
    <t>31RGS7OCWI</t>
  </si>
  <si>
    <t>RG S7 OCP WICKER         S7CEDAROCP</t>
  </si>
  <si>
    <t>31RGS7OCWW</t>
  </si>
  <si>
    <t>RG S7 Ocp Wedgewood S7CEDAROCP</t>
  </si>
  <si>
    <t>31SKAPI6</t>
  </si>
  <si>
    <t>Sky-HI 6' Alum Pole Insert</t>
  </si>
  <si>
    <t>31SKBPLANC</t>
  </si>
  <si>
    <t>Sky-HI Base Plate Anchors</t>
  </si>
  <si>
    <t>31SKEP14</t>
  </si>
  <si>
    <t>SKY-HI EXTEND PLANK 14" 1-MAN PLANK</t>
  </si>
  <si>
    <t>31SKJACKBN</t>
  </si>
  <si>
    <t>Sky-HI Jack Bench</t>
  </si>
  <si>
    <t>31SKJACKS</t>
  </si>
  <si>
    <t>Sky-HI Jacks</t>
  </si>
  <si>
    <t>31SKMP2122</t>
  </si>
  <si>
    <t>Sky-HI 12" X 12' 2 Man Plank</t>
  </si>
  <si>
    <t>31SKMP2162</t>
  </si>
  <si>
    <t>Sky-HI 12" X 16' 2 Man Plank</t>
  </si>
  <si>
    <t>31SKMP2202</t>
  </si>
  <si>
    <t>Sky-HI 12" X 20' 2 Man Plank</t>
  </si>
  <si>
    <t>31SKMP2242</t>
  </si>
  <si>
    <t>Sky-HI 12" X 24' 2 Man Plank</t>
  </si>
  <si>
    <t>31SKMP4162</t>
  </si>
  <si>
    <t>Sky-HI 14"X16' 2 Man Plank</t>
  </si>
  <si>
    <t>31SKMP4202</t>
  </si>
  <si>
    <t>Sky-HI 14"X20' 2 Man Plank</t>
  </si>
  <si>
    <t>31SKMP4242</t>
  </si>
  <si>
    <t>Sky-HI 14"X24' 2 Man Plank</t>
  </si>
  <si>
    <t>31SKOAP312</t>
  </si>
  <si>
    <t>SKY-HI 3"X12' OUTSIDE A POLE</t>
  </si>
  <si>
    <t>31SKOAP318</t>
  </si>
  <si>
    <t>Sky-HI 3"X18' Outside A Pole</t>
  </si>
  <si>
    <t>31SKOAP324</t>
  </si>
  <si>
    <t>SKY-HI 3"X24' OUTSIDE A POLE</t>
  </si>
  <si>
    <t>31SKOAP36</t>
  </si>
  <si>
    <t>SKY-HI 3"X6'  OUTSIDE A POLE</t>
  </si>
  <si>
    <t>31SKSTLBRC</t>
  </si>
  <si>
    <t>Sky-HI Steel Brace</t>
  </si>
  <si>
    <t>31SPBL2479</t>
  </si>
  <si>
    <t>Spectis Block OR Bracket BL2479</t>
  </si>
  <si>
    <t>31SPBL2614</t>
  </si>
  <si>
    <t>Spectis Block OR Bracket BL2614</t>
  </si>
  <si>
    <t>31SPBL2634</t>
  </si>
  <si>
    <t>Spectis Block OR Bracket BL2634</t>
  </si>
  <si>
    <t>31SPBL2869</t>
  </si>
  <si>
    <t>Spectis Block OR Bracket BL2869</t>
  </si>
  <si>
    <t>31SPBL3045</t>
  </si>
  <si>
    <t>Spectis Block Or Bracket BL3045</t>
  </si>
  <si>
    <t>31SPLORK24</t>
  </si>
  <si>
    <t>SPECTIS 24" RND LOUVER W/KEY LORK24</t>
  </si>
  <si>
    <t>31SPMD1859</t>
  </si>
  <si>
    <t>SPECTIS CROWN MOULDING 12' MD1859</t>
  </si>
  <si>
    <t>31SPRP05</t>
  </si>
  <si>
    <t>Sagiper Sagiwall Touch Pen White Oak</t>
  </si>
  <si>
    <t>31SPRP08</t>
  </si>
  <si>
    <t>Sagiper Sagiwall Touch Pen Caramel Ced</t>
  </si>
  <si>
    <t>31SPRP79</t>
  </si>
  <si>
    <t>Sagiper Sagiwall Touch Pen Knot Map</t>
  </si>
  <si>
    <t>31SPRP82</t>
  </si>
  <si>
    <t>Sagiper Sagiwall Touch Pen Des Oak</t>
  </si>
  <si>
    <t>31SPRP88</t>
  </si>
  <si>
    <t>Sagiper Sagiwall Touch Pen Rustic Cherry</t>
  </si>
  <si>
    <t>31SPSR2H983</t>
  </si>
  <si>
    <t>Sagiper Sagirev 2pc H-Mold 19' Mntn Oak</t>
  </si>
  <si>
    <t>31SPSR2J283</t>
  </si>
  <si>
    <t>SAGIPER SAGIREV 2pc J-Mold 12' Mtn Oak</t>
  </si>
  <si>
    <t>31SPSR2J284</t>
  </si>
  <si>
    <t>SAGIPER SAGIREV 2pc J-Mold 12' Monum Oak</t>
  </si>
  <si>
    <t>31SPSR2J969</t>
  </si>
  <si>
    <t>SAGIPER SAGIREV 2pc J-Mold 19' Met Coppr</t>
  </si>
  <si>
    <t>31SPSR2J983</t>
  </si>
  <si>
    <t>SAGIPER SAGIREV 2pc J-Mold 19' Mtn Oak</t>
  </si>
  <si>
    <t>31SPSR2J984</t>
  </si>
  <si>
    <t>SAGIPER SAGIREV 2pc J-Mold 19' Monum Oak</t>
  </si>
  <si>
    <t>31SPSRHM19</t>
  </si>
  <si>
    <t>SAGIPER SAGIREV H-Mold 19'</t>
  </si>
  <si>
    <t>31SPSRJ914</t>
  </si>
  <si>
    <t>SAGIPER SAGIREV J-Mold 19' Walnut Cedar</t>
  </si>
  <si>
    <t>31SPSRJ982</t>
  </si>
  <si>
    <t>SAGIPER SAGIREV J-Mold 19' Desert Oak</t>
  </si>
  <si>
    <t>31SPSRJ984</t>
  </si>
  <si>
    <t>SAGIPER SAGIREV J-Mold 19' Monument Oak</t>
  </si>
  <si>
    <t>31SPSRJM12</t>
  </si>
  <si>
    <t>SAGIPER SAGIREV J-Mold 12' Titan Coalwd</t>
  </si>
  <si>
    <t>31SPSRJM19</t>
  </si>
  <si>
    <t>SAGIPER SAGIREV J-Mold 19'</t>
  </si>
  <si>
    <t>31SPSRJM69</t>
  </si>
  <si>
    <t>SAGIPER SAGIREV J-Mold 12' Met Copper</t>
  </si>
  <si>
    <t>31SPSRJM79</t>
  </si>
  <si>
    <t>SAGIPER SAGIREV J-Mold 12' Knotty Maple</t>
  </si>
  <si>
    <t>31SPSRJM83</t>
  </si>
  <si>
    <t>SAGIPER SAGIREV J-Mold 12' Mountain Oak</t>
  </si>
  <si>
    <t>31SPSRJM84</t>
  </si>
  <si>
    <t>SAGIPER SAGIREV J-Mold 12' Monument Oak</t>
  </si>
  <si>
    <t>31SPSRSV05</t>
  </si>
  <si>
    <t>SAGIPER SAGIREV Sof Vnt Strp White Oak</t>
  </si>
  <si>
    <t>31SPSRSV08</t>
  </si>
  <si>
    <t>SAGIPER SAGIREV Sof Vnt Strp Caramel Ced</t>
  </si>
  <si>
    <t>31SPSRSV09</t>
  </si>
  <si>
    <t>SAGIPER SAGIREV Sof Vnt Strp Car Zebrawd</t>
  </si>
  <si>
    <t>31SPSRSV79</t>
  </si>
  <si>
    <t>SAGIPER SAGIREV Sof Vnt Strp Knotty Mapl</t>
  </si>
  <si>
    <t>31SPSRSV83</t>
  </si>
  <si>
    <t>SAGIPER SAGIREV Sof Vnt Strp Mountain Ok</t>
  </si>
  <si>
    <t>31SPSRSV84</t>
  </si>
  <si>
    <t>SAGIPER SAGIREV Sof Vnt Strp Monumen Oak</t>
  </si>
  <si>
    <t>31SPSV4269</t>
  </si>
  <si>
    <t>SAGIPER SAGIREV 4" Soff VGv Metallic Cop</t>
  </si>
  <si>
    <t>31SPSV6209</t>
  </si>
  <si>
    <t>SAGIPER SAGIREV 6" Soff VGv Car Zebrawd</t>
  </si>
  <si>
    <t>31SPSV6212</t>
  </si>
  <si>
    <t>SAGIPER SAGIREV 6" Soff VGv Titan Coalwd</t>
  </si>
  <si>
    <t>31SPSV6279</t>
  </si>
  <si>
    <t>SAGIPER SAGIREV 6" Soff VGv KnotMap</t>
  </si>
  <si>
    <t>31SPSV6283</t>
  </si>
  <si>
    <t>SAGIPER SAGIREV 6" Soff VGv Mtn Oak</t>
  </si>
  <si>
    <t>31SPSV6284</t>
  </si>
  <si>
    <t>SAGIPER SAGIREV 6" Soff VGv Monument Oak</t>
  </si>
  <si>
    <t>31SPSV6908</t>
  </si>
  <si>
    <t>SAGIPER SAGIREV 6" Soff VGv Caramel Ced</t>
  </si>
  <si>
    <t>31SPSV6912</t>
  </si>
  <si>
    <t>31SPSV6914</t>
  </si>
  <si>
    <t>SAGIPER SAGIREV 6" Soff VGv Walnut Cedar</t>
  </si>
  <si>
    <t>31SPSV6960</t>
  </si>
  <si>
    <t>SAGIPER SAGIREV 6" Soff VGv Absolute Wht</t>
  </si>
  <si>
    <t>31SPSV6983</t>
  </si>
  <si>
    <t>31SPSV6984</t>
  </si>
  <si>
    <t>31SPSV6988</t>
  </si>
  <si>
    <t>SAGIPER SAGIREV 6" Soff VGv Rustic Cherr</t>
  </si>
  <si>
    <t>31SPWP8114</t>
  </si>
  <si>
    <t>SAGIPER #8X1-1/4" Wafer Phil Screw</t>
  </si>
  <si>
    <t>31SPWS8114</t>
  </si>
  <si>
    <t>SAGIPER #8X1-1/4" Wfr SelfTap Screw</t>
  </si>
  <si>
    <t>31VS4DVFBK</t>
  </si>
  <si>
    <t>VSA 4" DRYER VENT FACE ONLY BLK 4DV</t>
  </si>
  <si>
    <t>31VS4DVFWH</t>
  </si>
  <si>
    <t>VSA 4" DRYER VENT FACE ONLY WHT 4DV</t>
  </si>
  <si>
    <t>31VS4DVPBK</t>
  </si>
  <si>
    <t>VSA 4" Dryer Vent W/Pipe Black 4DV</t>
  </si>
  <si>
    <t>31VSCG22WH</t>
  </si>
  <si>
    <t>VSA CATHEDRAL GABLE 22X28 WHITE</t>
  </si>
  <si>
    <t>31VSHM31WH</t>
  </si>
  <si>
    <t>VSA HALF MOON GABLE 31X20 WHITE</t>
  </si>
  <si>
    <t>31VSHM34WH</t>
  </si>
  <si>
    <t>VSA HALF MOON GABLE 34X23 WHITE</t>
  </si>
  <si>
    <t>31VSLBPBK</t>
  </si>
  <si>
    <t>VSA LIGHT PLATE COVER BLACK LBP</t>
  </si>
  <si>
    <t>31VSLBPWH</t>
  </si>
  <si>
    <t>VSA LIGHT PLATE COVER WHITE LBP</t>
  </si>
  <si>
    <t>31VSOC19WH</t>
  </si>
  <si>
    <t>VSA OCTAGON GABLE VENT 19" WHITE</t>
  </si>
  <si>
    <t>31VSOC22WH</t>
  </si>
  <si>
    <t>VSA OCTAGON GABLE VENT 22" WHITE</t>
  </si>
  <si>
    <t>31VSPBPBK</t>
  </si>
  <si>
    <t>VSA PLUG PLATE BLACK PBP</t>
  </si>
  <si>
    <t>31VSPBPWH</t>
  </si>
  <si>
    <t>VSA PLUG PLATE WHITE PBP</t>
  </si>
  <si>
    <t>31VSRD18WH</t>
  </si>
  <si>
    <t>VSA Round Gable Vent 18" White</t>
  </si>
  <si>
    <t>31VSRD19WH</t>
  </si>
  <si>
    <t>VSA ROUND GABLE VENT 19" WHITE</t>
  </si>
  <si>
    <t>31VSRD22WH</t>
  </si>
  <si>
    <t>VSA ROUND GABLE VENT 22" WHITE</t>
  </si>
  <si>
    <t>31VSRE15WH</t>
  </si>
  <si>
    <t>VSA SMALL RECT GABLE 15X21 WHITE</t>
  </si>
  <si>
    <t>31VSRE17WH</t>
  </si>
  <si>
    <t>VSA RECTANGULAR GABLE 17X23 WHITE</t>
  </si>
  <si>
    <t>31VSRE22WH</t>
  </si>
  <si>
    <t>VSA Large Rect Gable 22X28 White</t>
  </si>
  <si>
    <t>31VSSRPWH</t>
  </si>
  <si>
    <t>VSA SPLIT RECESS PLG WTR WHITE SRPW</t>
  </si>
  <si>
    <t>31VSSV12WH</t>
  </si>
  <si>
    <t>VSA SQUARE GABLE VENT 12"X12" WHITE</t>
  </si>
  <si>
    <t>31VSSV18WH</t>
  </si>
  <si>
    <t>VSA SQUARE GABLE VENT 18"X18" WHITE</t>
  </si>
  <si>
    <t>31VSTFMWH</t>
  </si>
  <si>
    <t>VSA THIRD WAVE 3X5 FLUSH MNT WHITE</t>
  </si>
  <si>
    <t>31VSTFPBK</t>
  </si>
  <si>
    <t>VSA THIRD WAVE FLUSH PLUG BLACK</t>
  </si>
  <si>
    <t>31VSTFPWH</t>
  </si>
  <si>
    <t>VSA THIRD WAVE FLUSH PLUG WHITE</t>
  </si>
  <si>
    <t>31VSTLMBK</t>
  </si>
  <si>
    <t>VSA THIRD WAVE LIGHT MOUNT BLACK</t>
  </si>
  <si>
    <t>31VSTLMWH</t>
  </si>
  <si>
    <t>VSA THIRD WAVE LIGHT MOUNT WHITE</t>
  </si>
  <si>
    <t>31VSTOELBK</t>
  </si>
  <si>
    <t>VSA Third Wave OAB Elec Lt Block Black</t>
  </si>
  <si>
    <t>31VSTOELWH</t>
  </si>
  <si>
    <t>VSA THIRD WAVE OAB ELEC LT BLOCK WH</t>
  </si>
  <si>
    <t>31VSTOEPBK</t>
  </si>
  <si>
    <t>VSA Third Wave OAB Elec Plug Blk Black</t>
  </si>
  <si>
    <t>31VSTOEPWH</t>
  </si>
  <si>
    <t>VSA THIRD WAVE OAB ELEC PLUG BLK WH</t>
  </si>
  <si>
    <t>31VSTRPWH</t>
  </si>
  <si>
    <t>VSA THIRD WAVE RECESSED PLUG WHITE</t>
  </si>
  <si>
    <t>31VSTRSPBK</t>
  </si>
  <si>
    <t>VSA THIRD WAVE REC SPLIT WATR BLACK</t>
  </si>
  <si>
    <t>31VSTRSPWH</t>
  </si>
  <si>
    <t>VSA THIRD WAVE REC SPLIT WATR WHITE</t>
  </si>
  <si>
    <t>31VSWV6BK</t>
  </si>
  <si>
    <t>VSA 6" WALL VENT BLACK 6WV</t>
  </si>
  <si>
    <t>31VSWV6WH</t>
  </si>
  <si>
    <t>VSA 6" WALL VENT WHITE 6WV</t>
  </si>
  <si>
    <t>31WTRSL8CG</t>
  </si>
  <si>
    <t>RusticSeries 8.25" Lap Coastal Grey</t>
  </si>
  <si>
    <t>31WTRSL8CS</t>
  </si>
  <si>
    <t>RusticSeries 8.25" Lap Cascade Slat</t>
  </si>
  <si>
    <t>31WTRSL8MC</t>
  </si>
  <si>
    <t>RusticSeries 8.25" Lap Mountain Cedar</t>
  </si>
  <si>
    <t>31WTRSL8RW</t>
  </si>
  <si>
    <t>RusticSeries 8.25" Lap Rosewood</t>
  </si>
  <si>
    <t>31WTRSL8WE</t>
  </si>
  <si>
    <t>RusticSeries 8.25" Lap Warm Espresso</t>
  </si>
  <si>
    <t>31WTRSL8WG</t>
  </si>
  <si>
    <t>RusticSeries 8.25" Lap White Granite</t>
  </si>
  <si>
    <t>31WTRSTUCS</t>
  </si>
  <si>
    <t>RusticSeries Touch UP Kit Cascade S</t>
  </si>
  <si>
    <t>3413964001</t>
  </si>
  <si>
    <t>Estwing 15" Handy Bar HB15</t>
  </si>
  <si>
    <t>34RGTD5SBS</t>
  </si>
  <si>
    <t>RG 042 D5 SOLID BROWNSTN   RSD5VSBF</t>
  </si>
  <si>
    <t>34RGTD5SCY</t>
  </si>
  <si>
    <t>RG 042 D5 SOLID CYPRESS    RSD5VSBF</t>
  </si>
  <si>
    <t>34RGTD5SFS</t>
  </si>
  <si>
    <t>RG 042 D5 SOLID FLAGSTONE  RSD5VSBF</t>
  </si>
  <si>
    <t>34RGTD5SHE</t>
  </si>
  <si>
    <t>RG 042 D5 SOLID HEATHER    RSD5VSBF</t>
  </si>
  <si>
    <t>34RGTD5SHS</t>
  </si>
  <si>
    <t>RG 042 D5 SOLID HARVARD SL RSD5VSBF</t>
  </si>
  <si>
    <t>34RGTD5SLI</t>
  </si>
  <si>
    <t>RG 042 D5 SOLID LINEN      RSD5VSBF</t>
  </si>
  <si>
    <t>34RGTD5SPC</t>
  </si>
  <si>
    <t>RG 042 D5 SOLID PEB CLAY   RSD5VSBF</t>
  </si>
  <si>
    <t>34RGTD5SSD</t>
  </si>
  <si>
    <t>RG 042 D5 SOLID SAND       RSD5VSBF</t>
  </si>
  <si>
    <t>34RGTD5SST</t>
  </si>
  <si>
    <t>RG 042 D5 SOLID STERLING   RSD5VSBF</t>
  </si>
  <si>
    <t>34RGTD5SWH</t>
  </si>
  <si>
    <t>RG 042 D5 SOLID WHITE      RSD5VSBF</t>
  </si>
  <si>
    <t>34RGTD5SWI</t>
  </si>
  <si>
    <t>RG 042 D5 SOLID WICKER     RSD5VSBF</t>
  </si>
  <si>
    <t>35RG4PCPAB</t>
  </si>
  <si>
    <t>RG 4PL CLAS SOFF PLN ANTBRN #132746</t>
  </si>
  <si>
    <t>35RG4PCPBK</t>
  </si>
  <si>
    <t>RG 4PL CLAS SOFF PLN BLACK #132746</t>
  </si>
  <si>
    <t>35RG4PCPBS</t>
  </si>
  <si>
    <t>RG 4PL CLAS SOFF PLN BROWNS #132746</t>
  </si>
  <si>
    <t>35RG4PCPCA</t>
  </si>
  <si>
    <t>RG 4PL CLAS SOFF PLN CACTUS #132746</t>
  </si>
  <si>
    <t>35RG4PCPCH</t>
  </si>
  <si>
    <t>RG 4PL CLAS SOFF PLN CHARCL #132746</t>
  </si>
  <si>
    <t>35RG4PCPCL</t>
  </si>
  <si>
    <t>RG 4PL CLAS SOFF PLN CLAY #132746</t>
  </si>
  <si>
    <t>35RG4PCPCM</t>
  </si>
  <si>
    <t>RG 4PL CLAS SOFF PLN CASHME #132746</t>
  </si>
  <si>
    <t>35RG4PCPCN</t>
  </si>
  <si>
    <t>RG 4PL CLAS SOFF PLN COMBRN #132746</t>
  </si>
  <si>
    <t>35RG4PCPCO</t>
  </si>
  <si>
    <t>RG 4PL CLAS SOFF PLN CHOCOL #132746</t>
  </si>
  <si>
    <t>35RG4PCPCS</t>
  </si>
  <si>
    <t>RG 4PL CLAS SOFF PLN COBBLS #132746</t>
  </si>
  <si>
    <t>35RG4PCPGR</t>
  </si>
  <si>
    <t>RG 4PL CLAS SOFF PLN GRANIT #132746</t>
  </si>
  <si>
    <t>35RG4PCPGY</t>
  </si>
  <si>
    <t>RG 4PL CLAS SOFF PLN GREY #132746</t>
  </si>
  <si>
    <t>35RG4PCPHS</t>
  </si>
  <si>
    <t>RG 4PL CLAS SOFF PLN HARVSL #132746</t>
  </si>
  <si>
    <t>35RG4PCPIS</t>
  </si>
  <si>
    <t>RG 4PL CLAS SOFF PLN IRONST #132746</t>
  </si>
  <si>
    <t>35RG4PCPLI</t>
  </si>
  <si>
    <t>RG 4PL CLAS SOFF PLN LINEN #132746</t>
  </si>
  <si>
    <t>35RG4PCPPC</t>
  </si>
  <si>
    <t>RG 4PL CLAS SOFF PLN PEBCLY #132746</t>
  </si>
  <si>
    <t>35RG4PCPSA</t>
  </si>
  <si>
    <t>RG 4PL CLAS SOFF PLN SAND #132746</t>
  </si>
  <si>
    <t>35RG4PCPUB</t>
  </si>
  <si>
    <t>RG 4PL CLAS SOFF PLN UNIBRN #132746</t>
  </si>
  <si>
    <t>35RG4PCPWH</t>
  </si>
  <si>
    <t>RG 4PL CLAS SOFF PLN WHITE #132746</t>
  </si>
  <si>
    <t>35RG4PCPWI</t>
  </si>
  <si>
    <t>RG 4PL CLAS SOFF PLN WICKER #132746</t>
  </si>
  <si>
    <t>35RG4PCVAB</t>
  </si>
  <si>
    <t>RG 4PL CLAS SOFF VNT ANTBRN #131946</t>
  </si>
  <si>
    <t>35RG4PCVBK</t>
  </si>
  <si>
    <t>RG 4PL CLAS SOFF VNT BLACK #131946</t>
  </si>
  <si>
    <t>35RG4PCVBS</t>
  </si>
  <si>
    <t>RG 4PL CLAS SOFF VNT BROWNS #131946</t>
  </si>
  <si>
    <t>35RG4PCVCA</t>
  </si>
  <si>
    <t>RG 4PL CLAS SOFF VNT CACTUS #131946</t>
  </si>
  <si>
    <t>35RG4PCVCH</t>
  </si>
  <si>
    <t>RG 4PL CLAS SOFF VNT CHARCL #131946</t>
  </si>
  <si>
    <t>35RG4PCVCL</t>
  </si>
  <si>
    <t>RG 4PL CLAS SOFF VNT CLAY #131946</t>
  </si>
  <si>
    <t>35RG4PCVCM</t>
  </si>
  <si>
    <t>RG 4PL CLAS SOFF VNT CASHME #131946</t>
  </si>
  <si>
    <t>35RG4PCVCN</t>
  </si>
  <si>
    <t>RG 4PL CLAS SOFF VNT COMBRN #131946</t>
  </si>
  <si>
    <t>35RG4PCVCO</t>
  </si>
  <si>
    <t>RG 4PL CLAS SOFF VNT CHOCOL #131946</t>
  </si>
  <si>
    <t>35RG4PCVCS</t>
  </si>
  <si>
    <t>RG 4PL CLAS SOFF VNT COBBLS #131946</t>
  </si>
  <si>
    <t>35RG4PCVGR</t>
  </si>
  <si>
    <t>RG 4PL CLAS SOFF VNT GRANIT #131946</t>
  </si>
  <si>
    <t>35RG4PCVGY</t>
  </si>
  <si>
    <t>RG 4PL CLAS SOFF VNT GREY #131946</t>
  </si>
  <si>
    <t>35RG4PCVHS</t>
  </si>
  <si>
    <t>RG 4PL CLAS SOFF VNT HARVSL #131946</t>
  </si>
  <si>
    <t>35RG4PCVIS</t>
  </si>
  <si>
    <t>RG 4PL CLAS SOFF VNT IRONST #131946</t>
  </si>
  <si>
    <t>35RG4PCVLI</t>
  </si>
  <si>
    <t>RG 4PL CLAS SOFF VNT LINEN #131946</t>
  </si>
  <si>
    <t>35RG4PCVPC</t>
  </si>
  <si>
    <t>RG 4PL CLAS SOFF VNT PEBCLY #131946</t>
  </si>
  <si>
    <t>35RG4PCVSA</t>
  </si>
  <si>
    <t>RG 4PL CLAS SOFF VNT SAND #131946</t>
  </si>
  <si>
    <t>35RG4PCVUB</t>
  </si>
  <si>
    <t>RG 4PL CLAS SOFF VNT UNIBRN #131946</t>
  </si>
  <si>
    <t>35RG4PCVWH</t>
  </si>
  <si>
    <t>RG 4PL CLAS SOFF VNT WHITE #131946</t>
  </si>
  <si>
    <t>35RG4PCVWI</t>
  </si>
  <si>
    <t>RG 4PL CLAS SOFF VNT WICKER #131946</t>
  </si>
  <si>
    <t>35RG4PHPBK</t>
  </si>
  <si>
    <t>RG 4PL CLS HVY SF PLN BLACK #134746</t>
  </si>
  <si>
    <t>35RG4PHPWH</t>
  </si>
  <si>
    <t>RG 4PL CLS HVY SF PLN WHITE #134746</t>
  </si>
  <si>
    <t>35RG4PHVBK</t>
  </si>
  <si>
    <t>RG 4PL CLS HVY SF VNT BLACK #133946</t>
  </si>
  <si>
    <t>35RG4PHVWH</t>
  </si>
  <si>
    <t>RG 4PL CLS HVY SF VNT WHITE #133946</t>
  </si>
  <si>
    <t>35RGCRVPAW</t>
  </si>
  <si>
    <t>RG Cdr Rend V-Gv Soff Pln Ambw 1310</t>
  </si>
  <si>
    <t>35RGCRVPCB</t>
  </si>
  <si>
    <t>RG Cdr Rend V-Gv Soff Pln CeBk 1310</t>
  </si>
  <si>
    <t>35RGCRVPCW</t>
  </si>
  <si>
    <t>RG Cdr Rend V-Gv Soff Pln Chrw 1310</t>
  </si>
  <si>
    <t>35RGCRVPSM</t>
  </si>
  <si>
    <t>RG Cdr Rend V-Gv Soff Pln SpMo 1310</t>
  </si>
  <si>
    <t>35RGCRVPSW</t>
  </si>
  <si>
    <t>RG Cdr Rend V-Gv Soff Pln Smkw 1310</t>
  </si>
  <si>
    <t>35RGCRVPTLZZ</t>
  </si>
  <si>
    <t>RG Cdr Rend V-Gv Soff Pln Timb 1310</t>
  </si>
  <si>
    <t>35RGCRVTL</t>
  </si>
  <si>
    <t>RG Cdr Rend 6" Vented Tmbrlne 13061</t>
  </si>
  <si>
    <t>35RGCRVVAW</t>
  </si>
  <si>
    <t>RG Cdr Rend V-Gv Soff Vnt Ambw 1313</t>
  </si>
  <si>
    <t>35RGCRVVCB</t>
  </si>
  <si>
    <t>RG Cdr Rend V-Gv Soff Vnt Cebk 1313</t>
  </si>
  <si>
    <t>35RGCRVVCW</t>
  </si>
  <si>
    <t>RG Cdr Rend V-Gv Soff Vnt Chrw 1313</t>
  </si>
  <si>
    <t>35RGCRVVRW</t>
  </si>
  <si>
    <t>RG Cdr Rend V-Gv Soff Vnt Rvwd 1313</t>
  </si>
  <si>
    <t>35RGCRVVSW</t>
  </si>
  <si>
    <t>RG Cdr Rend V-Gv Soff Vnt Smkw 1313</t>
  </si>
  <si>
    <t>35RGCRVVTLZZ</t>
  </si>
  <si>
    <t>RG Cdr Rend V-Gv Soff Vnt Timb 1313</t>
  </si>
  <si>
    <t>35WB4PPBK</t>
  </si>
  <si>
    <t>WAYNE'S 4PL SOFF PLAIN .0125 BLACK</t>
  </si>
  <si>
    <t>35WB4PPHB</t>
  </si>
  <si>
    <t>WAYNE'S 4PL SOFF PLAIN .0125 HERRBO</t>
  </si>
  <si>
    <t>35WB4PPPO</t>
  </si>
  <si>
    <t>WAYNE'S 4PL SOFF PLAIN .0125 POLAR</t>
  </si>
  <si>
    <t>35WB4PPWI</t>
  </si>
  <si>
    <t>WAYNE'S 4PL SOFF PLAIN .0125 WICKER</t>
  </si>
  <si>
    <t>35WB4PVAB</t>
  </si>
  <si>
    <t>WAYNE'S 4PL SOFF VNT .0125 ANT BRWN</t>
  </si>
  <si>
    <t>35WB4PVBK</t>
  </si>
  <si>
    <t>WAYNE'S 4PL SOFF VNT .0125 BLACK</t>
  </si>
  <si>
    <t>35WB4PVHB</t>
  </si>
  <si>
    <t>WAYNE'S 4PL SOFF VNT .0125 HERRINGB</t>
  </si>
  <si>
    <t>35WB4PVPO</t>
  </si>
  <si>
    <t>WAYNE'S 4PL SOFF VNT .0125 POLAR</t>
  </si>
  <si>
    <t>35WB4PVWI</t>
  </si>
  <si>
    <t>WAYNE'S 4PL SOFF VNT .0125 WICKER</t>
  </si>
  <si>
    <t>36LR810FI</t>
  </si>
  <si>
    <t>Lux 2-Pan Soff Vent Fir #810</t>
  </si>
  <si>
    <t>37RGCRF6AW</t>
  </si>
  <si>
    <t>RG CEDAR REND FASCIA 6" AMBERWOOD</t>
  </si>
  <si>
    <t>37RGCRF6CB</t>
  </si>
  <si>
    <t>RG CEDAR REND FASCIA 6" CEDAR BARK</t>
  </si>
  <si>
    <t>37RGCRF6CW</t>
  </si>
  <si>
    <t>RG CEDAR REND FASCIA 6" CHARWOOD</t>
  </si>
  <si>
    <t>37RGCRF6SY</t>
  </si>
  <si>
    <t>RG CEDAR REND FASCIA 6" SYCAMORE</t>
  </si>
  <si>
    <t>37RGDF10AB</t>
  </si>
  <si>
    <t>RG Designer Fascia 10" AntBrn #1377</t>
  </si>
  <si>
    <t>37RGDF10BK</t>
  </si>
  <si>
    <t>RG Designer Fascia 10" Black #1377</t>
  </si>
  <si>
    <t>37RGDF10CA</t>
  </si>
  <si>
    <t>RG Designer Fascia 10" Cactus #1377</t>
  </si>
  <si>
    <t>37RGDF10CH</t>
  </si>
  <si>
    <t>RG Designer Fascia 10" Charcl #1377</t>
  </si>
  <si>
    <t>37RGDF10CL</t>
  </si>
  <si>
    <t>RG Designer Fascia 10" Clay #1377</t>
  </si>
  <si>
    <t>37RGDF10CM</t>
  </si>
  <si>
    <t>RG Designer Fascia 10" Cashmr #1377</t>
  </si>
  <si>
    <t>37RGDF10CN</t>
  </si>
  <si>
    <t>RG Designer Fascia 10" ComBrn #1377</t>
  </si>
  <si>
    <t>37RGDF10CO</t>
  </si>
  <si>
    <t>RG Designer Fascia 10" Chocol #1377</t>
  </si>
  <si>
    <t>37RGDF10CS</t>
  </si>
  <si>
    <t>RG Designer Fascia 10" Cobble #1377</t>
  </si>
  <si>
    <t>37RGDF10GY</t>
  </si>
  <si>
    <t>RG Designer Fascia 10" Grey #1377</t>
  </si>
  <si>
    <t>37RGDF10HS</t>
  </si>
  <si>
    <t>RG Designer Fascia 10" HarSlt #1377</t>
  </si>
  <si>
    <t>37RGDF10IS</t>
  </si>
  <si>
    <t>RG Designer Fascia 10" Ironst #1377</t>
  </si>
  <si>
    <t>37RGDF10LI</t>
  </si>
  <si>
    <t>RG Designer Fascia 10" Linen #1377</t>
  </si>
  <si>
    <t>37RGDF10PC</t>
  </si>
  <si>
    <t>RG Designer Fascia 10" PebCly #1377</t>
  </si>
  <si>
    <t>37RGDF10SA</t>
  </si>
  <si>
    <t>RG Designer Fascia 10" Sand #1377</t>
  </si>
  <si>
    <t>37RGDF10WH</t>
  </si>
  <si>
    <t>RG Designer Fascia 10" White #1377</t>
  </si>
  <si>
    <t>37RGDF10WI</t>
  </si>
  <si>
    <t>RG Designer Fascia 10" Wicker #1377</t>
  </si>
  <si>
    <t>37RGDF92LI</t>
  </si>
  <si>
    <t>RG TRAD FASCIA 9.25" LINEN</t>
  </si>
  <si>
    <t>37RGTF06AB</t>
  </si>
  <si>
    <t>RG TRAD FASCIA 6" ANT BRN #13695</t>
  </si>
  <si>
    <t>37RGTF06BK</t>
  </si>
  <si>
    <t>RG TRAD FASCIA 6" BLACK #13695</t>
  </si>
  <si>
    <t>37RGTF06BS</t>
  </si>
  <si>
    <t>RG TRAD FASCIA 6" BROWNSTONE #13695</t>
  </si>
  <si>
    <t>37RGTF06CA</t>
  </si>
  <si>
    <t>RG TRAD FASCIA 6" CACTUS #13695</t>
  </si>
  <si>
    <t>37RGTF06CH</t>
  </si>
  <si>
    <t>RG TRAD FASCIA 6" CHARCOAL #13695</t>
  </si>
  <si>
    <t>37RGTF06CL</t>
  </si>
  <si>
    <t>RG TRAD FASCIA 6" CLAY #13695</t>
  </si>
  <si>
    <t>37RGTF06CM</t>
  </si>
  <si>
    <t>RG TRAD FASCIA 6" CASHMERE #13695</t>
  </si>
  <si>
    <t>37RGTF06CN</t>
  </si>
  <si>
    <t>RG TRAD FASCIA 6" COMM BROWN #13695</t>
  </si>
  <si>
    <t>37RGTF06CO</t>
  </si>
  <si>
    <t>RG TRAD FASCIA 6" CHOCOLATE #13695</t>
  </si>
  <si>
    <t>37RGTF06CS</t>
  </si>
  <si>
    <t>RG TRAD FASCIA 6" COBBLESTON #13695</t>
  </si>
  <si>
    <t>37RGTF06GR</t>
  </si>
  <si>
    <t>RG TRAD FASCIA 6" GRANITE #13695</t>
  </si>
  <si>
    <t>37RGTF06GY</t>
  </si>
  <si>
    <t>RG TRAD FASCIA 6" GREY #13695</t>
  </si>
  <si>
    <t>37RGTF06HS</t>
  </si>
  <si>
    <t>RG TRAD FASCIA 6" HARVRD SLT #13695</t>
  </si>
  <si>
    <t>37RGTF06IS</t>
  </si>
  <si>
    <t>RG TRAD FASCIA 6" IRONSTONE #13695</t>
  </si>
  <si>
    <t>37RGTF06LI</t>
  </si>
  <si>
    <t>RG TRAD FASCIA 6" LINEN #13695</t>
  </si>
  <si>
    <t>37RGTF06PC</t>
  </si>
  <si>
    <t>RG TRAD FASCIA 6" PEBBLE CLY #13695</t>
  </si>
  <si>
    <t>37RGTF06SA</t>
  </si>
  <si>
    <t>RG TRAD FASCIA 6" SAND #13695</t>
  </si>
  <si>
    <t>37RGTF06UB</t>
  </si>
  <si>
    <t>RG TRAD FASCIA 6" UNI BROWN #13695</t>
  </si>
  <si>
    <t>37RGTF06WH</t>
  </si>
  <si>
    <t>RG TRAD FASCIA 6" WHITE #13695</t>
  </si>
  <si>
    <t>37RGTF06WI</t>
  </si>
  <si>
    <t>RG TRAD FASCIA 6" WICKER #13695</t>
  </si>
  <si>
    <t>37RGTF08BK</t>
  </si>
  <si>
    <t>RG TRAD FASCIA 8" BLACK #13730</t>
  </si>
  <si>
    <t>37RGTF08IS</t>
  </si>
  <si>
    <t>RG Trad Fascia 8" Ironstone #13730</t>
  </si>
  <si>
    <t>37RGTF75AB</t>
  </si>
  <si>
    <t>RG TRAD FASCIA 7.5" ANT BRN #13725</t>
  </si>
  <si>
    <t>37RGTF75BK</t>
  </si>
  <si>
    <t>RG TRAD FASCIA 7.5" BLACK #13725</t>
  </si>
  <si>
    <t>37RGTF75BS</t>
  </si>
  <si>
    <t>RG TRAD FASCIA 7.5" BROWNSTN #13725</t>
  </si>
  <si>
    <t>37RGTF75CA</t>
  </si>
  <si>
    <t>RG TRAD FASCIA 7.5" CACTUS #13725</t>
  </si>
  <si>
    <t>37RGTF75CH</t>
  </si>
  <si>
    <t>RG TRAD FASCIA 7.5" CHARCOAL #13725</t>
  </si>
  <si>
    <t>37RGTF75CL</t>
  </si>
  <si>
    <t>RG TRAD FASCIA 7.5" CLAY #13725</t>
  </si>
  <si>
    <t>37RGTF75CM</t>
  </si>
  <si>
    <t>RG TRAD FASCIA 7.5" CASHMERE #13725</t>
  </si>
  <si>
    <t>37RGTF75CN</t>
  </si>
  <si>
    <t>RG TRAD FASCIA 7.5" COMM BRN #13725</t>
  </si>
  <si>
    <t>37RGTF75CO</t>
  </si>
  <si>
    <t>RG TRAD FASCIA 7.5" CHOCOLAT #13725</t>
  </si>
  <si>
    <t>37RGTF75CS</t>
  </si>
  <si>
    <t>RG TRAD FASCIA 7.5" COBBLEST #13725</t>
  </si>
  <si>
    <t>37RGTF75GR</t>
  </si>
  <si>
    <t>RG TRAD FASCIA 7.5" GRANITE #13725</t>
  </si>
  <si>
    <t>37RGTF75GY</t>
  </si>
  <si>
    <t>RG TRAD FASCIA 7.5" GREY #13725</t>
  </si>
  <si>
    <t>37RGTF75HS</t>
  </si>
  <si>
    <t>RG TRAD FASCIA 7.5" HARV SLT #13725</t>
  </si>
  <si>
    <t>37RGTF75IS</t>
  </si>
  <si>
    <t>RG TRAD FASCIA 7.5" IRONSTON #13725</t>
  </si>
  <si>
    <t>37RGTF75LI</t>
  </si>
  <si>
    <t>RG TRAD FASCIA 7.5" LINEN #13725</t>
  </si>
  <si>
    <t>37RGTF75PC</t>
  </si>
  <si>
    <t>RG TRAD FASCIA 7.5" PEB CLAY #13725</t>
  </si>
  <si>
    <t>37RGTF75SA</t>
  </si>
  <si>
    <t>RG TRAD FASCIA 7.5" SAND #13725</t>
  </si>
  <si>
    <t>37RGTF75UB</t>
  </si>
  <si>
    <t>RG TRAD FASCIA 7.5" UNI BRWN #13725</t>
  </si>
  <si>
    <t>37RGTF75WH</t>
  </si>
  <si>
    <t>RG TRAD FASCIA 7.5" WHITE #13725</t>
  </si>
  <si>
    <t>37RGTF75WI</t>
  </si>
  <si>
    <t>RG TRAD FASCIA 7.5" WICKER #13725</t>
  </si>
  <si>
    <t>37RGTF92CL</t>
  </si>
  <si>
    <t>RG TRAD FASCIA 9.25" CLAY</t>
  </si>
  <si>
    <t>37WBFR06AB</t>
  </si>
  <si>
    <t>WAYNE'S FASCIA RIBBED 6" ANT BROWN</t>
  </si>
  <si>
    <t>37WBFR06BK</t>
  </si>
  <si>
    <t>WAYNE'S FASCIA RIBBED 6" BLACK</t>
  </si>
  <si>
    <t>37WBFR06BR</t>
  </si>
  <si>
    <t>WAYNE'S FASCIA RIBBED 6" BROWN</t>
  </si>
  <si>
    <t>37WBFR06GY</t>
  </si>
  <si>
    <t>WAYNE'S FASCIA RIBBED 6" GREY</t>
  </si>
  <si>
    <t>37WBFR06HB</t>
  </si>
  <si>
    <t>WAYNE'S FASCIA RIBBED 6" HERRINGBON</t>
  </si>
  <si>
    <t>37WBFR06PO</t>
  </si>
  <si>
    <t>WAYNE'S FASCIA RIBBED 6" POLAR</t>
  </si>
  <si>
    <t>37WBFR06SD</t>
  </si>
  <si>
    <t>WAYNE'S FASCIA RIBBED 6" SAND</t>
  </si>
  <si>
    <t>37WBFR06WI</t>
  </si>
  <si>
    <t>WAYNE'S FASCIA RIBBED 6" WICKER</t>
  </si>
  <si>
    <t>37WBFR08HB</t>
  </si>
  <si>
    <t>WAYNE'S FASCIA RIBBED 8" HERRINGBON</t>
  </si>
  <si>
    <t>37WBFR08PO</t>
  </si>
  <si>
    <t>WAYNE'S FASCIA RIBBED 8" POLAR</t>
  </si>
  <si>
    <t>37WBFR08WI</t>
  </si>
  <si>
    <t>WAYNE'S FASCIA RIBBED 8" WICKER</t>
  </si>
  <si>
    <t>37WBJ122BR</t>
  </si>
  <si>
    <t>WAYNE'S ALUM 1/2" J-CHAN 12' BROWN</t>
  </si>
  <si>
    <t>37WBJ122HB</t>
  </si>
  <si>
    <t>WAYNE'S ALUM 1/2" J-CHAN 12' HERRBN</t>
  </si>
  <si>
    <t>37WBJ122PO</t>
  </si>
  <si>
    <t>WAYNE'S ALUM 1/2" J-CHAN 12' POLAR</t>
  </si>
  <si>
    <t>38MIC24WAC</t>
  </si>
  <si>
    <t>MISC 24"X98' WG CL CANEXEL ACADIA</t>
  </si>
  <si>
    <t>38MIC24WCR</t>
  </si>
  <si>
    <t>MISC 24"X98' WG CL CANEXEL COUNTRYR</t>
  </si>
  <si>
    <t>38MIC24WPF</t>
  </si>
  <si>
    <t>MISC 24"X98' WG CL PINE FOREST</t>
  </si>
  <si>
    <t>38RGC24HAB</t>
  </si>
  <si>
    <t>RG 24"X98' Heavy SM Trim CL AntBrwn</t>
  </si>
  <si>
    <t>38RGC24HBC</t>
  </si>
  <si>
    <t>RG 24"X98' Heavy SM Trim CL Blk/Com</t>
  </si>
  <si>
    <t>38RGC24HBS</t>
  </si>
  <si>
    <t>RG 24"X98' Heavy SM Trim CL Brownst</t>
  </si>
  <si>
    <t>38RGC24HCA</t>
  </si>
  <si>
    <t>RG 24"X98' Heavy SM Trim CL Cactus</t>
  </si>
  <si>
    <t>38RGC24HCH</t>
  </si>
  <si>
    <t>RG 24"X98' Heavy SM Trim CL Charcl</t>
  </si>
  <si>
    <t>38RGC24HCL</t>
  </si>
  <si>
    <t>RG 24"X98' Heavy SM Trim CL Clay</t>
  </si>
  <si>
    <t>38RGC24HCM</t>
  </si>
  <si>
    <t>RG 24"X98' Heavy SM Trim CL Cashmer</t>
  </si>
  <si>
    <t>38RGC24HCO</t>
  </si>
  <si>
    <t>RG 24"X98' Heavy SM Trim CL Chocolt</t>
  </si>
  <si>
    <t>38RGC24HCS</t>
  </si>
  <si>
    <t>RG 24"X98' Heavy SM Trim CL Cobbles</t>
  </si>
  <si>
    <t>38RGC24HGR</t>
  </si>
  <si>
    <t>RG 24"X98' Heavy SM Trim CL Granite</t>
  </si>
  <si>
    <t>38RGC24HGY</t>
  </si>
  <si>
    <t>RG 24"X98' Heavy SM Trim CL Grey</t>
  </si>
  <si>
    <t>38RGC24HHS</t>
  </si>
  <si>
    <t>RG 24"X98' Heavy SM Trim CL HarvSlt</t>
  </si>
  <si>
    <t>38RGC24HIS</t>
  </si>
  <si>
    <t>RG 24"X98' Heavy SM Trim CL Ironstn</t>
  </si>
  <si>
    <t>38RGC24HIV</t>
  </si>
  <si>
    <t>RG 24"X98' Heavy SM Trim CL Ivory</t>
  </si>
  <si>
    <t>38RGC24HLI</t>
  </si>
  <si>
    <t>RG 24"X98' Heavy SM Trim CL Linen</t>
  </si>
  <si>
    <t>38RGC24HPC</t>
  </si>
  <si>
    <t>RG 24"X98' Heavy SM Trim CL Peb Cly</t>
  </si>
  <si>
    <t>38RGC24HSA</t>
  </si>
  <si>
    <t>RG 24"X98' Heavy SM Trim CL Sand</t>
  </si>
  <si>
    <t>38RGC24HUB</t>
  </si>
  <si>
    <t>RG 24"X98' Heavy SM Trim CL UnivBrn</t>
  </si>
  <si>
    <t>38RGC24HWI</t>
  </si>
  <si>
    <t>RG 24"X98' Heavy SM Trim CL Wicker</t>
  </si>
  <si>
    <t>38RGC24HYS</t>
  </si>
  <si>
    <t>RG 24"X98' Heavy SM Trim CL Yellows</t>
  </si>
  <si>
    <t>38RGC24RWH</t>
  </si>
  <si>
    <t>RG 24"X98' REGULAR SM TRIM CL WHITE</t>
  </si>
  <si>
    <t>38RGC24WAB</t>
  </si>
  <si>
    <t>RG 24"X98' HEAVY WG TRIM CL ANTBRWN</t>
  </si>
  <si>
    <t>38RGC24WBC</t>
  </si>
  <si>
    <t>RG 24"X98' HEAVY WG TRIM CL BLK/COM</t>
  </si>
  <si>
    <t>38RGC24WBS</t>
  </si>
  <si>
    <t>RG 24"X98' HEAVY WG TRIM CL BROWNST</t>
  </si>
  <si>
    <t>38RGC24WCA</t>
  </si>
  <si>
    <t>RG 24"X98' HEAVY WG TRIM CL CACTUS</t>
  </si>
  <si>
    <t>38RGC24WCH</t>
  </si>
  <si>
    <t>RG 24"X98' HEAVY WG TRIM CL CHARCL</t>
  </si>
  <si>
    <t>38RGC24WCL</t>
  </si>
  <si>
    <t>RG 24"X98' HEAVY WG TRIM CL CLAY</t>
  </si>
  <si>
    <t>38RGC24WCM</t>
  </si>
  <si>
    <t>RG 24"X98' HEAVY WG TRIM CL CASHMER</t>
  </si>
  <si>
    <t>38RGC24WCO</t>
  </si>
  <si>
    <t>RG 24"X98' HEAVY WG TRIM CL CHOCOLT</t>
  </si>
  <si>
    <t>38RGC24WCS</t>
  </si>
  <si>
    <t>RG 24"X98' HEAVY WG TRIM CL COBBLES</t>
  </si>
  <si>
    <t>38RGC24WGR</t>
  </si>
  <si>
    <t>RG 24"X98' HEAVY WG TRIM CL GRANITE</t>
  </si>
  <si>
    <t>38RGC24WGY</t>
  </si>
  <si>
    <t>RG 24"X98' HEAVY WG TRIM CL GREY</t>
  </si>
  <si>
    <t>38RGC24WHS</t>
  </si>
  <si>
    <t>RG 24"X98' HEAVY WG TRIM CL HARVSLT</t>
  </si>
  <si>
    <t>38RGC24WIS</t>
  </si>
  <si>
    <t>RG 24"X98' HEAVY WG TRIM CL IRONSTN</t>
  </si>
  <si>
    <t>38RGC24WLI</t>
  </si>
  <si>
    <t>RG 24"X98' HEAVY WG TRIM CL LINEN</t>
  </si>
  <si>
    <t>38RGC24WPC</t>
  </si>
  <si>
    <t>RG 24"X98' HEAVY WG TRIM CL PEB CLY</t>
  </si>
  <si>
    <t>38RGC24WSA</t>
  </si>
  <si>
    <t>RG 24"X98' HEAVY WG TRIM CL SAND</t>
  </si>
  <si>
    <t>38RGC24WUB</t>
  </si>
  <si>
    <t>RG 24"X98' HEAVY WG TRIM CL UNIVBRN</t>
  </si>
  <si>
    <t>38RGC24WWH</t>
  </si>
  <si>
    <t>RG 24"X98' HEAVY WG TRIM CL WHITE</t>
  </si>
  <si>
    <t>38RGC24WWI</t>
  </si>
  <si>
    <t>RG 24"X98' HEAVY WG TRIM CL WICKER</t>
  </si>
  <si>
    <t>38RGCRSCAW</t>
  </si>
  <si>
    <t>RG CEDAR REND SM TRIM CL AMBERWOOD</t>
  </si>
  <si>
    <t>38RGCRSCCB</t>
  </si>
  <si>
    <t>RG CEDAR REND SM TRIM CL CEDAR BARK</t>
  </si>
  <si>
    <t>38RGCRSCCW</t>
  </si>
  <si>
    <t>RG CEDAR REND SM TRIM CL CHARWOOD</t>
  </si>
  <si>
    <t>38RGCRSCGO</t>
  </si>
  <si>
    <t>RG CEDAR REND SM TRIM CL GREY OAK</t>
  </si>
  <si>
    <t>38RGCRSCRW</t>
  </si>
  <si>
    <t>RG CEDAR REND SM TRIM CL RIVERWOOD</t>
  </si>
  <si>
    <t>38RGCRSCSW</t>
  </si>
  <si>
    <t>RG Cedar Rend Sm Trim CL Smokewood</t>
  </si>
  <si>
    <t>38RGCRSCSY</t>
  </si>
  <si>
    <t>RG CEDAR REND SM TRIM CL SYCAMORE</t>
  </si>
  <si>
    <t>38RGCRSCTL</t>
  </si>
  <si>
    <t>RG CEDAR REND SM TRIM CL TIMBERLINE</t>
  </si>
  <si>
    <t>38RGCSTCCA</t>
  </si>
  <si>
    <t>RG Celect Smooth Trim CL Castle Stn</t>
  </si>
  <si>
    <t>38RGCSTCCH</t>
  </si>
  <si>
    <t>RG Celect Smooth Trim CL Chocolate</t>
  </si>
  <si>
    <t>38RGCSTCCL</t>
  </si>
  <si>
    <t>RG Celect Smooth Trim CL Coastline</t>
  </si>
  <si>
    <t>38RGCSTCCR</t>
  </si>
  <si>
    <t>RG Celect Smooth Trim CL CarriageRd</t>
  </si>
  <si>
    <t>38RGCSTCCS</t>
  </si>
  <si>
    <t>RG Celect Smooth Trim CL Chestnut</t>
  </si>
  <si>
    <t>38RGCSTCDU</t>
  </si>
  <si>
    <t>RG Celect Smooth Trim CL Dune</t>
  </si>
  <si>
    <t>38RGCSTCFR</t>
  </si>
  <si>
    <t>RG Celect Smooth Trim CL Frost</t>
  </si>
  <si>
    <t>38RGCSTCGV</t>
  </si>
  <si>
    <t>RG Celect Smooth Trim CL Grove</t>
  </si>
  <si>
    <t>38RGCSTCOC</t>
  </si>
  <si>
    <t>RG Celect Smooth Trim Cl Oceana</t>
  </si>
  <si>
    <t>38RGCSTCPB</t>
  </si>
  <si>
    <t>RG Celect Smooth Trim CL Pine Brook</t>
  </si>
  <si>
    <t>38RGCSTCPO</t>
  </si>
  <si>
    <t>RG Celect Smooth Trim CL Pottery</t>
  </si>
  <si>
    <t>38RGCSTCRR</t>
  </si>
  <si>
    <t>RG Celect Smooth Trim CL River Rock</t>
  </si>
  <si>
    <t>38RGCSTCSH</t>
  </si>
  <si>
    <t>RG Celect Smooth Trim CL Shale</t>
  </si>
  <si>
    <t>38RGCSTCWI</t>
  </si>
  <si>
    <t>RG Celect Smooth Trim CL Wrought IR</t>
  </si>
  <si>
    <t>38RGCSTCWL</t>
  </si>
  <si>
    <t>RG Celect Smooth Trim CL Willow</t>
  </si>
  <si>
    <t>38WBC24WGY</t>
  </si>
  <si>
    <t>WAYNE'S 24"X98' WG TRIM CL GREY</t>
  </si>
  <si>
    <t>38WBC24WHB</t>
  </si>
  <si>
    <t>WAYNE'S 24"X98' WG TRIM CL HERRBONE</t>
  </si>
  <si>
    <t>3RDPARTYFREIGHT</t>
  </si>
  <si>
    <t>Extra Cost for 3rd Party Delivery</t>
  </si>
  <si>
    <t>4564611000</t>
  </si>
  <si>
    <t>PLATFORM PNEUMATC SHEAR 14" #SA110A</t>
  </si>
  <si>
    <t>4564620400</t>
  </si>
  <si>
    <t>Shear Snapper Fiber Cement #SS204</t>
  </si>
  <si>
    <t>4564640253</t>
  </si>
  <si>
    <t>Blade Kit F/400 Series Shear #40253</t>
  </si>
  <si>
    <t>4564640400</t>
  </si>
  <si>
    <t>Shear Steelhead 5/16"        #SS404</t>
  </si>
  <si>
    <t>4564641253</t>
  </si>
  <si>
    <t>BLADE KIT F/400 SERIES SHEAR #41253</t>
  </si>
  <si>
    <t>4564641400</t>
  </si>
  <si>
    <t>Shear Whip Snap Scroll 5/16" #SS414</t>
  </si>
  <si>
    <t>4564690300</t>
  </si>
  <si>
    <t>Gauges Plastic Hardi Siding  #SA903</t>
  </si>
  <si>
    <t>4564690338</t>
  </si>
  <si>
    <t>Gauges Plastic LP Siding #SA90338</t>
  </si>
  <si>
    <t>4564690400</t>
  </si>
  <si>
    <t>Gable Scribe                 #SA904</t>
  </si>
  <si>
    <t>4595F</t>
  </si>
  <si>
    <t>Eagle Belair Field Dark Charcoal</t>
  </si>
  <si>
    <t>4595RA</t>
  </si>
  <si>
    <t>Eagle Rake Dark Charcoal</t>
  </si>
  <si>
    <t>4697F</t>
  </si>
  <si>
    <t>Eagle Belair #4697 Field</t>
  </si>
  <si>
    <t>4697RA</t>
  </si>
  <si>
    <t>Eagle Belair #4697 Rake</t>
  </si>
  <si>
    <t>4697RI</t>
  </si>
  <si>
    <t>Eagle Belair #4697 Ridge</t>
  </si>
  <si>
    <t>49CEB212LC</t>
  </si>
  <si>
    <t>CENTURY VINYL BS PLT CVR LSC BPC212</t>
  </si>
  <si>
    <t>49CEB212TK</t>
  </si>
  <si>
    <t>Century Vinyl Bs Plt Cvr TBk BPC212</t>
  </si>
  <si>
    <t>49CECP42LC</t>
  </si>
  <si>
    <t>CENTURY 42" CORNER POST LSCOPP CP42</t>
  </si>
  <si>
    <t>49CECP42TK</t>
  </si>
  <si>
    <t>CENTURY 42" CORNER POST TXT BK CP42</t>
  </si>
  <si>
    <t>49CECP42WH</t>
  </si>
  <si>
    <t>CENTURY 42" CORNER POST WHITE CP42</t>
  </si>
  <si>
    <t>49CECS50BK</t>
  </si>
  <si>
    <t>CENTURY #10X3/4 TEK ST SCW BLK CS50</t>
  </si>
  <si>
    <t>49CECS50WH</t>
  </si>
  <si>
    <t>CENTURY #10X3/4 TEK ST SCW WHT CS50</t>
  </si>
  <si>
    <t>49CECTG30</t>
  </si>
  <si>
    <t>Century 30" Clear Temp Glass CTG30</t>
  </si>
  <si>
    <t>49CECTG48</t>
  </si>
  <si>
    <t>CENTURY 48" CLEAR TEMP GLASS CTG48</t>
  </si>
  <si>
    <t>49CECTG54</t>
  </si>
  <si>
    <t>CENTURY 54" CLEAR TEMP GLASS CTG54</t>
  </si>
  <si>
    <t>49CECTG60</t>
  </si>
  <si>
    <t>CENTURY 60" CLEAR TEMP GLASS CTG60</t>
  </si>
  <si>
    <t>49CECTG66</t>
  </si>
  <si>
    <t>CENTURY 66" CLEAR TEMP GLASS CTG66</t>
  </si>
  <si>
    <t>49CEEP42TK</t>
  </si>
  <si>
    <t>CENTURY 42" END POST TEXT BLCK EP42</t>
  </si>
  <si>
    <t>49CELP42LC</t>
  </si>
  <si>
    <t>CENTURY 42" LINE POST LS COPPR LP42</t>
  </si>
  <si>
    <t>49CELP42TK</t>
  </si>
  <si>
    <t>Century 42" Line Post Txt Blck LP42</t>
  </si>
  <si>
    <t>49CERB10</t>
  </si>
  <si>
    <t>CENTURY RUBBER BLOCK RB10</t>
  </si>
  <si>
    <t>49CESP1LC</t>
  </si>
  <si>
    <t>CENTURY 5/8"X10' PICKET LS COP SP10</t>
  </si>
  <si>
    <t>49CESP42LC</t>
  </si>
  <si>
    <t>CENTURY 42" STAIR POST LS COPP SP42</t>
  </si>
  <si>
    <t>49CESP42TK</t>
  </si>
  <si>
    <t>CENTURY 42" STAIR POST TXT BLK SP42</t>
  </si>
  <si>
    <t>49CESP4TK</t>
  </si>
  <si>
    <t>Century 5/8"X4' Picket Txt Blck SP4</t>
  </si>
  <si>
    <t>49CESP4WH</t>
  </si>
  <si>
    <t>CENTURY 5/8"X4' PICKET WHITE SP4</t>
  </si>
  <si>
    <t>49CESP6LC</t>
  </si>
  <si>
    <t>CENTURY 5/8"X6' PICKET LS COPPR SP6</t>
  </si>
  <si>
    <t>49CESSP1LC</t>
  </si>
  <si>
    <t>CENTURY 10'PKG 5/8STR PCK LSC SSP10</t>
  </si>
  <si>
    <t>49CESSP1TK</t>
  </si>
  <si>
    <t>CENTURY 10'PKG 5/8STR PCK TBK SSP10</t>
  </si>
  <si>
    <t>49CESSP1WH</t>
  </si>
  <si>
    <t>CENTURY 10'PKG 5/8STR PCK WHT SSP10</t>
  </si>
  <si>
    <t>49CESSP4LC</t>
  </si>
  <si>
    <t>CENTURY 4'PKG 5/8STR PCKT LSC SSP4</t>
  </si>
  <si>
    <t>49CESSP4TK</t>
  </si>
  <si>
    <t>CENTURY 4'PKG 5/8STR PCKT TXBK SSP4</t>
  </si>
  <si>
    <t>49CESSP4WH</t>
  </si>
  <si>
    <t>CENTURY 4'PKG 5/8STR PCKT WHT SSP4</t>
  </si>
  <si>
    <t>49CESSP6LC</t>
  </si>
  <si>
    <t>CENTURY 6'PKG 5/8STR PCKT LSC SSP6</t>
  </si>
  <si>
    <t>49CESSP6WH</t>
  </si>
  <si>
    <t>CENTURY 6'PKG 5/8STR PCKT WHT SSP6</t>
  </si>
  <si>
    <t>49CESSP8LC</t>
  </si>
  <si>
    <t>CENTURY 8'PKG 5/8STR PCKT LSC SSP8</t>
  </si>
  <si>
    <t>49CESSP8WH</t>
  </si>
  <si>
    <t>CENTURY 8'PKG 5/8STR PCKT WHT SSP8</t>
  </si>
  <si>
    <t>49CETBG1LC</t>
  </si>
  <si>
    <t>CENTURY 10' T/B GLS RAIL LSC TBRG10</t>
  </si>
  <si>
    <t>49CETBG1TK</t>
  </si>
  <si>
    <t>CENTURY 10' T/B GLS RAIL TBK TBRG10</t>
  </si>
  <si>
    <t>49CETBG1WH</t>
  </si>
  <si>
    <t>CENTURY 10' T/B GLS RAIL WHT TBRG10</t>
  </si>
  <si>
    <t>49CETBG8LC</t>
  </si>
  <si>
    <t>CENTURY 8' T/B GLS RAIL LSCOP TBRG8</t>
  </si>
  <si>
    <t>49CETBG8TK</t>
  </si>
  <si>
    <t>CENTURY 8' T/B GLS RAIL TXBLK TBRG8</t>
  </si>
  <si>
    <t>49CETBG8WH</t>
  </si>
  <si>
    <t>CENTURY 8' T/B GLS RAIL WHITE TBRG8</t>
  </si>
  <si>
    <t>49CETBR0LC</t>
  </si>
  <si>
    <t>CENTURY TOP/BOTTOM RL 10' LSC TBR10</t>
  </si>
  <si>
    <t>49CETBR1LC</t>
  </si>
  <si>
    <t>CENTURY 10 T/B STR RAIL LSC TBRSN10</t>
  </si>
  <si>
    <t>49CETBR1TK</t>
  </si>
  <si>
    <t>CENTURY 10 T/B STR RAIL TBK TBRSN10</t>
  </si>
  <si>
    <t>49CETBR1WH</t>
  </si>
  <si>
    <t>CENTURY 10 T/B STR RAIL WHT TBRSN10</t>
  </si>
  <si>
    <t>49CETBR6LC</t>
  </si>
  <si>
    <t>CENTURY TOP/BOTTOM RL 6' LSCOP TBR6</t>
  </si>
  <si>
    <t>49CETBR6TK</t>
  </si>
  <si>
    <t>CENTURY TOP/BOTTOM RL 6' TXBLK TBR6</t>
  </si>
  <si>
    <t>49CETBR6WH</t>
  </si>
  <si>
    <t>CENTURY TOP/BOTTOM RL 6' WHITE TBR6</t>
  </si>
  <si>
    <t>49CETBR8LC</t>
  </si>
  <si>
    <t>CENTURY 8' T/B STR RAIL LSC TBRSN8</t>
  </si>
  <si>
    <t>49CETBR8TK</t>
  </si>
  <si>
    <t>CENTURY 8' T/B STR RAIL TXBK TBRSN8</t>
  </si>
  <si>
    <t>49CETBRLC</t>
  </si>
  <si>
    <t>CENTURY TOP/BOTTOM RL 8' LSCOP TBR8</t>
  </si>
  <si>
    <t>49CETBRSLC</t>
  </si>
  <si>
    <t>CENTURY 6' T/B STR RAIL LSC TBRSN6</t>
  </si>
  <si>
    <t>49CETBRSTK</t>
  </si>
  <si>
    <t>CENTURY 6' T/B STR RAIL TXBK TBRSN6</t>
  </si>
  <si>
    <t>49CETUPPBK</t>
  </si>
  <si>
    <t>CENTURY TOUCH UP PEN BLACK TUPP</t>
  </si>
  <si>
    <t>49CETUPPLC</t>
  </si>
  <si>
    <t>CENTURY TOUCH UP PEN LS COPPER TUPP</t>
  </si>
  <si>
    <t>49CETUPPWH</t>
  </si>
  <si>
    <t>CENTURY TOUCH UP PEN WHITE TUPP</t>
  </si>
  <si>
    <t>49CEWBLC</t>
  </si>
  <si>
    <t>CENTURY TOP&amp;BTM WALL BRKTS LSCOP WB</t>
  </si>
  <si>
    <t>49CEWBTK</t>
  </si>
  <si>
    <t>CENTURY TOP&amp;BTM WALL BRKTS TXTBK WB</t>
  </si>
  <si>
    <t>49MIFGF2BH</t>
  </si>
  <si>
    <t>FIBERON GOOD LIFE FASC 12' BEACH HS</t>
  </si>
  <si>
    <t>49MIFGF2BU</t>
  </si>
  <si>
    <t>FIBERON GOOD LIFE FASC 12' BUNGALOW</t>
  </si>
  <si>
    <t>49MIFGF2CA</t>
  </si>
  <si>
    <t>FIBERON GOOD LIFE FASC 12' CABIN</t>
  </si>
  <si>
    <t>49MIFGF2CB</t>
  </si>
  <si>
    <t>FIBERON GOOD LIFE FASC 12' CABANA</t>
  </si>
  <si>
    <t>49MIFGF2CO</t>
  </si>
  <si>
    <t>FIBERON GOOD LIFE FASC 12' COTTAGE</t>
  </si>
  <si>
    <t>49MIFGF2TV</t>
  </si>
  <si>
    <t>Fiberon Good Life Fasc 12' Tscn Vil</t>
  </si>
  <si>
    <t>49MIFGL0BH</t>
  </si>
  <si>
    <t>FIBERON GOOD LIFE 20' GRVD BEACH HS</t>
  </si>
  <si>
    <t>49MIFGL0BU</t>
  </si>
  <si>
    <t>Fiberon Good Life 20' Grvd Bungalow</t>
  </si>
  <si>
    <t>49MIFGL0CA</t>
  </si>
  <si>
    <t>FIBERON GOOD LIFE 20' GRVD CABIN</t>
  </si>
  <si>
    <t>49MIFGL0CB</t>
  </si>
  <si>
    <t>FIBERON GOOD LIFE 20' GRVD CABANA</t>
  </si>
  <si>
    <t>49MIFGL0CO</t>
  </si>
  <si>
    <t>FIBERON GOOD LIFE 20' GRVD COTTAGE</t>
  </si>
  <si>
    <t>49MIFGL0TV</t>
  </si>
  <si>
    <t>FIBERON GOOD LIFE 20' GRVD TSCN VIL</t>
  </si>
  <si>
    <t>49MIFGL12B</t>
  </si>
  <si>
    <t>FIBERON GOOD LIFE 12' GRVD BUNGALOW</t>
  </si>
  <si>
    <t>49MIFGL12C</t>
  </si>
  <si>
    <t>FIBERON GOOD LIFE 12' GRVD CABIN</t>
  </si>
  <si>
    <t>49MIFGL12H</t>
  </si>
  <si>
    <t>FIBERON GOOD LIFE 12' GRVD BEACH HS</t>
  </si>
  <si>
    <t>49MIFGL16B</t>
  </si>
  <si>
    <t>FIBERON GOOD LIFE 16' GRVD BE HOUSE</t>
  </si>
  <si>
    <t>49MIFGL16C</t>
  </si>
  <si>
    <t>FIBERON GOOD LIFE 16' GRVD CABIN</t>
  </si>
  <si>
    <t>49MIFGL16U</t>
  </si>
  <si>
    <t>FIBERON GOOD LIFE 16' GRVD BUNGALOW</t>
  </si>
  <si>
    <t>49MIFGL2CB</t>
  </si>
  <si>
    <t>FIBERON GOOD LIFE 12' GRVD CABANA</t>
  </si>
  <si>
    <t>49MIFGL2CO</t>
  </si>
  <si>
    <t>FIBERON GOOD LIFE 12' GRVD COTTAGE</t>
  </si>
  <si>
    <t>49MIFGL2TV</t>
  </si>
  <si>
    <t>FIBERON GOOD LIFE 12' GRVD TSCN VIL</t>
  </si>
  <si>
    <t>49MIFGL6CB</t>
  </si>
  <si>
    <t>FIBERON GOOD LIFE 16' GRVD CABANA</t>
  </si>
  <si>
    <t>49MIFGL6CO</t>
  </si>
  <si>
    <t>FIBERON GOOD LIFE 16' GRVD COTTAGE</t>
  </si>
  <si>
    <t>49MIFGL6TV</t>
  </si>
  <si>
    <t>FIBERON GOOD LIFE 16' GRVD TSCN VIL</t>
  </si>
  <si>
    <t>49MIFGS0BH</t>
  </si>
  <si>
    <t>FIBERON GOOD LIFE 20' SQR BCH HOUSE</t>
  </si>
  <si>
    <t>49MIFGS0BU</t>
  </si>
  <si>
    <t>FIBERON GOOD LIFE 20' SQR BUNGALOW</t>
  </si>
  <si>
    <t>49MIFGS0CA</t>
  </si>
  <si>
    <t>FIBERON GOOD LIFE 20' SQR CABIN</t>
  </si>
  <si>
    <t>49MIFGS0CB</t>
  </si>
  <si>
    <t>FIBERON GOOD LIFE 20' SQR CABANA</t>
  </si>
  <si>
    <t>49MIFGS0CO</t>
  </si>
  <si>
    <t>FIBERON GOOD LIFE 20' SQR COTTAGE</t>
  </si>
  <si>
    <t>49MIFGS0TV</t>
  </si>
  <si>
    <t>FIBERON GOOD LIFE 20' SQR TSCN VILL</t>
  </si>
  <si>
    <t>49MIFHF11G</t>
  </si>
  <si>
    <t>FIBERON HORZ FASC 3/4X11.25X12 GSTN</t>
  </si>
  <si>
    <t>49MIFOPU9</t>
  </si>
  <si>
    <t>FIBERON PHANTOM UNI FAS 900PC/500SF</t>
  </si>
  <si>
    <t>49MIFPEC25</t>
  </si>
  <si>
    <t>Fiberon Phantom End Clip 25PCS</t>
  </si>
  <si>
    <t>49MITCIG</t>
  </si>
  <si>
    <t>Tiger Claw Installation Gun</t>
  </si>
  <si>
    <t>5035119202</t>
  </si>
  <si>
    <t>TAPE RED SHEATHING 1 7/8"X 55 YDS</t>
  </si>
  <si>
    <t>69SKAEL20</t>
  </si>
  <si>
    <t>Sky-HI 20' Alum Extension Ladder</t>
  </si>
  <si>
    <t>69SKAEL24</t>
  </si>
  <si>
    <t>Sky-HI 24' Alum Extension Ladder</t>
  </si>
  <si>
    <t>69SKAEL28</t>
  </si>
  <si>
    <t>Sky-HI 28' Alum Extension Ladder</t>
  </si>
  <si>
    <t>69SKAEL32</t>
  </si>
  <si>
    <t>Sky-HI 32' Alum Extension Ladder</t>
  </si>
  <si>
    <t>69SKAEL36</t>
  </si>
  <si>
    <t>Sky-Hi 36' Alum Extension Ladder</t>
  </si>
  <si>
    <t>69SKSAFNET</t>
  </si>
  <si>
    <t>SKY-HI SAFETY NET</t>
  </si>
  <si>
    <t>69SL670</t>
  </si>
  <si>
    <t>STURDY ALU LADDER JACK #670</t>
  </si>
  <si>
    <t>69SL715</t>
  </si>
  <si>
    <t>Sturdy Aluminum Standoff #715</t>
  </si>
  <si>
    <t>69SL786</t>
  </si>
  <si>
    <t>Sturdy Alu Multi-Way 225# 6' #786</t>
  </si>
  <si>
    <t>69SL787</t>
  </si>
  <si>
    <t>Sturdy Alu Multi-Way 225# 7' #787</t>
  </si>
  <si>
    <t>69SL788</t>
  </si>
  <si>
    <t>Sturdy Alu Multi-Way 225# 8' #788</t>
  </si>
  <si>
    <t>69SL912L</t>
  </si>
  <si>
    <t>STURDY ALUMINUM POLE 12' #912L</t>
  </si>
  <si>
    <t>69SLA1220</t>
  </si>
  <si>
    <t>Sturdy Alum Plank 2/Man #A1220</t>
  </si>
  <si>
    <t>69SLCD10</t>
  </si>
  <si>
    <t>STURDY ALU LADDER LEVELER #CD10</t>
  </si>
  <si>
    <t>69SLEP6</t>
  </si>
  <si>
    <t>Sturdy Alu Ext Plank 1/Man 6-9 #EP6</t>
  </si>
  <si>
    <t>69SLEP7</t>
  </si>
  <si>
    <t>Sturdy Alu Ext Plank 1/Mn 7-11 #EP7</t>
  </si>
  <si>
    <t>69SLEP8</t>
  </si>
  <si>
    <t>Sturdy Alu Ext Plank 1/Mn 8-13 #EP8</t>
  </si>
  <si>
    <t>7072</t>
  </si>
  <si>
    <t>Eagle #7072 Hipstarter Flat Charcl</t>
  </si>
  <si>
    <t>79RGDPSSAB</t>
  </si>
  <si>
    <t>RG Small Sqr D/Pipe 2-5/8" Ant Brwn</t>
  </si>
  <si>
    <t>79RGDPSSBK</t>
  </si>
  <si>
    <t>RG Small Sqr D/Pipe 2-5/8" Black</t>
  </si>
  <si>
    <t>79RGDPSSBS</t>
  </si>
  <si>
    <t>RG Small Sqr D/Pipe 2-5/8" Brownstn</t>
  </si>
  <si>
    <t>79RGDPSSCA</t>
  </si>
  <si>
    <t>RG Small Sqr D/Pipe 2-5/8" Cactus</t>
  </si>
  <si>
    <t>79RGDPSSCH</t>
  </si>
  <si>
    <t>RG Small Sqr D/Pipe 2-5/8" Charcoal</t>
  </si>
  <si>
    <t>79RGDPSSCL</t>
  </si>
  <si>
    <t>RG Small Sqr D/Pipe 2-5/8" Clay</t>
  </si>
  <si>
    <t>79RGDPSSCM</t>
  </si>
  <si>
    <t>RG Small Sqr D/Pipe 2-5/8" Cashmere</t>
  </si>
  <si>
    <t>79RGDPSSCN</t>
  </si>
  <si>
    <t>RG Small Sqr D/Pipe 2-5/8" Com Brwn</t>
  </si>
  <si>
    <t>79RGDPSSCO</t>
  </si>
  <si>
    <t>RG Small Sqr D/Pipe 2-5/8" Chocolat</t>
  </si>
  <si>
    <t>79RGDPSSCS</t>
  </si>
  <si>
    <t>RG Small Sqr D/Pipe 2-5/8" Cobblest</t>
  </si>
  <si>
    <t>79RGDPSSGR</t>
  </si>
  <si>
    <t>RG Small Sqr D/Pipe 2-5/8" Granite</t>
  </si>
  <si>
    <t>79RGDPSSGY</t>
  </si>
  <si>
    <t>RG Small Sqr D/Pipe 2-5/8" Grey</t>
  </si>
  <si>
    <t>79RGDPSSHS</t>
  </si>
  <si>
    <t>RG Small Sqr D/Pipe 2-5/8" Harv Slt</t>
  </si>
  <si>
    <t>79RGDPSSIS</t>
  </si>
  <si>
    <t>RG Small Sqr D/Pipe 2-5/8" Ironston</t>
  </si>
  <si>
    <t>79RGDPSSLI</t>
  </si>
  <si>
    <t>RG Small Sqr D/Pipe 2-5/8" Linen</t>
  </si>
  <si>
    <t>79RGDPSSPC</t>
  </si>
  <si>
    <t>RG Small Sqr D/Pipe 2-5/8" Peb Clay</t>
  </si>
  <si>
    <t>79RGDPSSSA</t>
  </si>
  <si>
    <t>RG Small Sqr D/Pipe 2-5/8" Sand</t>
  </si>
  <si>
    <t>79RGDPSSUB</t>
  </si>
  <si>
    <t>RG Small Sqr D/Pipe 2-5/8" UniBrown</t>
  </si>
  <si>
    <t>79RGDPSSWH</t>
  </si>
  <si>
    <t>RG Small Sqr D/Pipe 2-5/8" White</t>
  </si>
  <si>
    <t>79RGDPSSWI</t>
  </si>
  <si>
    <t>RG Small Sqr D/Pipe 2-5/8" Wicker</t>
  </si>
  <si>
    <t>79WBDPSSAB</t>
  </si>
  <si>
    <t>WAYNE'S SM SQR D/PIPE 2-5/8" ANTBRN</t>
  </si>
  <si>
    <t>79WBDPSSBR</t>
  </si>
  <si>
    <t>WAYNE'S SM SQR D/PIPE 2-5/8" BROWN</t>
  </si>
  <si>
    <t>79WBDPSSCA</t>
  </si>
  <si>
    <t>WAYNE'S SM SQR D/PIPE 2-5/8" CACTUS</t>
  </si>
  <si>
    <t>79WBDPSSCL</t>
  </si>
  <si>
    <t>WAYNE'S SM SQR D/PIPE 2-5/8" CLAY</t>
  </si>
  <si>
    <t>79WBDPSSGY</t>
  </si>
  <si>
    <t>WAYNE'S SM SQR D/PIPE 2-5/8" GREY</t>
  </si>
  <si>
    <t>79WBDPSSSD</t>
  </si>
  <si>
    <t>WAYNE'S SM SQR D/PIPE 2-5/8" SAND</t>
  </si>
  <si>
    <t>8019247563</t>
  </si>
  <si>
    <t>STURDIMOUNT SPLIT TRIM WHT #SMS68TW</t>
  </si>
  <si>
    <t>8019247564</t>
  </si>
  <si>
    <t>STURDIMOUNT RECEP TRIM WHT #SMR68TW</t>
  </si>
  <si>
    <t>8019247566</t>
  </si>
  <si>
    <t>STURDIMOUNT UNIV TRM WHT #SMU811TW4</t>
  </si>
  <si>
    <t>8106</t>
  </si>
  <si>
    <t>Eagle 11"X33' Secure Roll Flash Blk</t>
  </si>
  <si>
    <t>8108</t>
  </si>
  <si>
    <t>Eagle 20"X16.5' Secure Roll Flsh BK</t>
  </si>
  <si>
    <t>8120</t>
  </si>
  <si>
    <t>Eagle 9" Flexseal Black</t>
  </si>
  <si>
    <t>83ARI5200D</t>
  </si>
  <si>
    <t>Alu-Rex T-Rex 5" ISC IC-5200D</t>
  </si>
  <si>
    <t>83ARM5200</t>
  </si>
  <si>
    <t>Alu-Rex T-Rex 5" Hanger Mill M-5200</t>
  </si>
  <si>
    <t>83ARM5300</t>
  </si>
  <si>
    <t>Alu-Rex 5" Gutt Cln Sys Gld M-5300</t>
  </si>
  <si>
    <t>83ARO5200D</t>
  </si>
  <si>
    <t>Alu-Rex T-Rex 5" OSC OC-5200D</t>
  </si>
  <si>
    <t>83MI5ISMBK</t>
  </si>
  <si>
    <t>ALUM 5" INSIDE STRIP MITRE BLACK</t>
  </si>
  <si>
    <t>83MI5ISMWH</t>
  </si>
  <si>
    <t>ALUM 5" INSIDE STRIP MITRE WHITE</t>
  </si>
  <si>
    <t>83MI5OSMBK</t>
  </si>
  <si>
    <t>ALUM 5" OUTSIDE STRIP MITRE BLACK</t>
  </si>
  <si>
    <t>83MI5OSMWH</t>
  </si>
  <si>
    <t>ALUM 5" OUTSIDE STRIP MITRE WHITE</t>
  </si>
  <si>
    <t>83MIDPSTCU</t>
  </si>
  <si>
    <t>MISC ALUMINUM DOWNPIPE STRAP COLOR</t>
  </si>
  <si>
    <t>83MIGHP5</t>
  </si>
  <si>
    <t>GUTTER 5" HANGER PLASTIC</t>
  </si>
  <si>
    <t>83MIGHS5</t>
  </si>
  <si>
    <t>GUTTER 5" HANGER STEEL</t>
  </si>
  <si>
    <t>83RGEC5LAB</t>
  </si>
  <si>
    <t>RG 5" Left End Cap Ant Brn #11806-6</t>
  </si>
  <si>
    <t>83RGEC5LBK</t>
  </si>
  <si>
    <t>RG 5" LEFT END CAP BLACK #11806-6</t>
  </si>
  <si>
    <t>83RGEC5LBS</t>
  </si>
  <si>
    <t>RG 5" LEFT END CAP BROWNST #11806-6</t>
  </si>
  <si>
    <t>83RGEC5LCA</t>
  </si>
  <si>
    <t>RG 5" LEFT END CAP CACTUS #11806-6</t>
  </si>
  <si>
    <t>83RGEC5LCH</t>
  </si>
  <si>
    <t>RG 5" LEFT END CAP CHARCOL #11806-6</t>
  </si>
  <si>
    <t>83RGEC5LCL</t>
  </si>
  <si>
    <t>RG 5" LEFT END CAP CLAY #11806-6</t>
  </si>
  <si>
    <t>83RGEC5LCM</t>
  </si>
  <si>
    <t>RG 5" LEFT END CAP CASHMER #11806-6</t>
  </si>
  <si>
    <t>83RGEC5LCN</t>
  </si>
  <si>
    <t>RG 5" LEFT END CAP COM BRN #11806-6</t>
  </si>
  <si>
    <t>83RGEC5LCO</t>
  </si>
  <si>
    <t>RG 5" LEFT END CAP CHOCOLT #11806-6</t>
  </si>
  <si>
    <t>83RGEC5LCS</t>
  </si>
  <si>
    <t>RG 5" LEFT END CAP COBBLES #11806-6</t>
  </si>
  <si>
    <t>83RGEC5LGR</t>
  </si>
  <si>
    <t>RG 5" LEFT END CAP GRANITE #11806-6</t>
  </si>
  <si>
    <t>83RGEC5LGY</t>
  </si>
  <si>
    <t>RG 5" LEFT END CAP GREY #11806-6</t>
  </si>
  <si>
    <t>83RGEC5LHS</t>
  </si>
  <si>
    <t>RG 5" LEFT END CAP HAR SLT #11806-6</t>
  </si>
  <si>
    <t>83RGEC5LIS</t>
  </si>
  <si>
    <t>RG 5" LEFT END CAP IRONSTN #11806-6</t>
  </si>
  <si>
    <t>83RGEC5LIV</t>
  </si>
  <si>
    <t>RG 5" LEFT END CAP IVORY #11806-6</t>
  </si>
  <si>
    <t>83RGEC5LLI</t>
  </si>
  <si>
    <t>RG 5" LEFT END CAP LINEN #11806-6</t>
  </si>
  <si>
    <t>83RGEC5LPC</t>
  </si>
  <si>
    <t>RG 5" LEFT END CAP PEB CLY #11806-6</t>
  </si>
  <si>
    <t>83RGEC5LSD</t>
  </si>
  <si>
    <t>RG 5" LEFT END CAP SAND #11806-6</t>
  </si>
  <si>
    <t>83RGEC5LUB</t>
  </si>
  <si>
    <t>RG 5" Left End Cap Uni Brn #11806-6</t>
  </si>
  <si>
    <t>83RGEC5LWH</t>
  </si>
  <si>
    <t>RG 5" LEFT END CAP WHITE #11806-6</t>
  </si>
  <si>
    <t>83RGEC5LWI</t>
  </si>
  <si>
    <t>RG 5" LEFT END CAP WICKER #11806-6</t>
  </si>
  <si>
    <t>83RGEC5RAB</t>
  </si>
  <si>
    <t>RG 5" RT End Cap Ant Brn #11806-6</t>
  </si>
  <si>
    <t>83RGEC5RBK</t>
  </si>
  <si>
    <t>RG 5" RT End Cap Black #11806-6</t>
  </si>
  <si>
    <t>83RGEC5RBS</t>
  </si>
  <si>
    <t>RG 5" RT End Cap Brownst #11806-6</t>
  </si>
  <si>
    <t>83RGEC5RCA</t>
  </si>
  <si>
    <t>RG 5" RT End Cap Cactus #11806-6</t>
  </si>
  <si>
    <t>83RGEC5RCH</t>
  </si>
  <si>
    <t>RG 5" RT End Cap Charcol #11806-6</t>
  </si>
  <si>
    <t>83RGEC5RCL</t>
  </si>
  <si>
    <t>RG 5" RT End Cap Clay #11806-6</t>
  </si>
  <si>
    <t>83RGEC5RCM</t>
  </si>
  <si>
    <t>RG 5" RT End Cap Cashmer #11806-6</t>
  </si>
  <si>
    <t>83RGEC5RCN</t>
  </si>
  <si>
    <t>RG 5" RT End Cap Com Brn #11806-6</t>
  </si>
  <si>
    <t>83RGEC5RCO</t>
  </si>
  <si>
    <t>RG 5" RT End Cap Chocolt #11806-6</t>
  </si>
  <si>
    <t>83RGEC5RCS</t>
  </si>
  <si>
    <t>RG 5" RT End Cap Cobbles #11806-6</t>
  </si>
  <si>
    <t>83RGEC5RGR</t>
  </si>
  <si>
    <t>RG 5" RT End Cap Granite #11806-6</t>
  </si>
  <si>
    <t>83RGEC5RGY</t>
  </si>
  <si>
    <t>RG 5" RT End Cap Grey #11806-6</t>
  </si>
  <si>
    <t>83RGEC5RHS</t>
  </si>
  <si>
    <t>RG 5" RT End Cap Har Slt #11806-6</t>
  </si>
  <si>
    <t>83RGEC5RIS</t>
  </si>
  <si>
    <t>RG 5" RT End Cap Ironstn #11806-6</t>
  </si>
  <si>
    <t>83RGEC5RIV</t>
  </si>
  <si>
    <t>RG 5" RT End Cap Ivory #11806-6</t>
  </si>
  <si>
    <t>83RGEC5RLI</t>
  </si>
  <si>
    <t>RG 5" RT End Cap Linen #11806-6</t>
  </si>
  <si>
    <t>83RGEC5RPC</t>
  </si>
  <si>
    <t>RG 5" RT End Cap Peb Cly #11806-6</t>
  </si>
  <si>
    <t>83RGEC5RSD</t>
  </si>
  <si>
    <t>RG 5" RT End Cap Sand #11806-6</t>
  </si>
  <si>
    <t>83RGEC5RUB</t>
  </si>
  <si>
    <t>RG 5" RT End Cap Uni Brn #11806-6</t>
  </si>
  <si>
    <t>83RGEC5RWH</t>
  </si>
  <si>
    <t>RG 5" RT End Cap White #11806-6</t>
  </si>
  <si>
    <t>83RGEC5RWI</t>
  </si>
  <si>
    <t>RG 5" RT End Cap Wicker #11806-6</t>
  </si>
  <si>
    <t>83RGES23AB</t>
  </si>
  <si>
    <t>RG SM SQR ELBOW 2-5/8" 30D ANT BRWN</t>
  </si>
  <si>
    <t>83RGES23BK</t>
  </si>
  <si>
    <t>RG SM SQR ELBOW 2-5/8" 30D BLACK</t>
  </si>
  <si>
    <t>83RGES23BS</t>
  </si>
  <si>
    <t>RG SM SQR ELBOW 2-5/8" 30D BROWNSTN</t>
  </si>
  <si>
    <t>83RGES23CA</t>
  </si>
  <si>
    <t>RG SM SQR ELBOW 2-5/8" 30D CASHMERE</t>
  </si>
  <si>
    <t>83RGES23CH</t>
  </si>
  <si>
    <t>RG SM SQR ELBOW 2-5/8" 30D CHARCOAL</t>
  </si>
  <si>
    <t>83RGES23CL</t>
  </si>
  <si>
    <t>RG SM SQR ELBOW 2-5/8" 30D CLAY</t>
  </si>
  <si>
    <t>83RGES23CO</t>
  </si>
  <si>
    <t>RG SM SQR ELBOW 2-5/8" 30D CHOCOLAT</t>
  </si>
  <si>
    <t>83RGES23CS</t>
  </si>
  <si>
    <t>RG SM SQR ELBOW 2-5/8" 30D COBBLEST</t>
  </si>
  <si>
    <t>83RGES23GR</t>
  </si>
  <si>
    <t>RG SM SQR ELBOW 2-5/8" 30D GRANITE</t>
  </si>
  <si>
    <t>83RGES23GY</t>
  </si>
  <si>
    <t>RG SM SQR ELBOW 2-5/8" 30D GREY</t>
  </si>
  <si>
    <t>83RGES23HS</t>
  </si>
  <si>
    <t>RG SM SQR ELBOW 2-5/8" 30D HARV SLT</t>
  </si>
  <si>
    <t>83RGES23IS</t>
  </si>
  <si>
    <t>RG SM SQR ELBOW 2-5/8" 30D IRONSTON</t>
  </si>
  <si>
    <t>83RGES23IV</t>
  </si>
  <si>
    <t>RG SM SQR ELBOW 2-5/8" 30D IVORY</t>
  </si>
  <si>
    <t>83RGES23LI</t>
  </si>
  <si>
    <t>RG SM SQR ELBOW 2-5/8" 30D LINEN</t>
  </si>
  <si>
    <t>83RGES23PC</t>
  </si>
  <si>
    <t>RG SM SQR ELBOW 2-5/8" 30D PEB CLAY</t>
  </si>
  <si>
    <t>83RGES23SA</t>
  </si>
  <si>
    <t>RG SM SQR ELBOW 2-5/8" 30D SAND</t>
  </si>
  <si>
    <t>83RGES23UB</t>
  </si>
  <si>
    <t>RG SM SQR ELBOW 2-5/8" 30D UNIBROWN</t>
  </si>
  <si>
    <t>83RGES23WH</t>
  </si>
  <si>
    <t>RG SM SQR ELBOW 2-5/8" 30D WHITE</t>
  </si>
  <si>
    <t>83RGES23WI</t>
  </si>
  <si>
    <t>RG SM SQR ELBOW 2-5/8" 30D WICKER</t>
  </si>
  <si>
    <t>83RGES25AB</t>
  </si>
  <si>
    <t>RG Small Sqr Elbow 2-5/8" Ant Brown</t>
  </si>
  <si>
    <t>83RGES25BK</t>
  </si>
  <si>
    <t>RG Small Sqr Elbow 2-5/8" Black</t>
  </si>
  <si>
    <t>83RGES25BS</t>
  </si>
  <si>
    <t>RG Small Sqr Elbow 2-5/8" Brownston</t>
  </si>
  <si>
    <t>83RGES25CA</t>
  </si>
  <si>
    <t>RG Small Sqr Elbow 2-5/8" Cactus</t>
  </si>
  <si>
    <t>83RGES25CH</t>
  </si>
  <si>
    <t>RG Small Sqr Elbow 2-5/8" Charcoal</t>
  </si>
  <si>
    <t>83RGES25CL</t>
  </si>
  <si>
    <t>RG Small Sqr Elbow 2-5/8" Clay</t>
  </si>
  <si>
    <t>83RGES25CM</t>
  </si>
  <si>
    <t>RG Small Sqr Elbow 2-5/8" Cashmere</t>
  </si>
  <si>
    <t>83RGES25CN</t>
  </si>
  <si>
    <t>RG Small Sqr Elbow 2-5/8" Com Brown</t>
  </si>
  <si>
    <t>83RGES25CO</t>
  </si>
  <si>
    <t>RG Small Sqr Elbow 2-5/8" Chocolate</t>
  </si>
  <si>
    <t>83RGES25CS</t>
  </si>
  <si>
    <t>RG Small Sqr Elbow 2-5/8" Cobblestn</t>
  </si>
  <si>
    <t>83RGES25GR</t>
  </si>
  <si>
    <t>RG Small Sqr Elbow 2-5/8" Granite</t>
  </si>
  <si>
    <t>83RGES25GY</t>
  </si>
  <si>
    <t>RG Small Sqr Elbow 2-5/8" Grey</t>
  </si>
  <si>
    <t>83RGES25HS</t>
  </si>
  <si>
    <t>RG Small Sqr Elbow 2-5/8" Harvd Slt</t>
  </si>
  <si>
    <t>83RGES25IS</t>
  </si>
  <si>
    <t>RG Small Sqr Elbow 2-5/8" Ironstone</t>
  </si>
  <si>
    <t>83RGES25LI</t>
  </si>
  <si>
    <t>RG Small Sqr Elbow 2-5/8" Linen</t>
  </si>
  <si>
    <t>83RGES25PC</t>
  </si>
  <si>
    <t>RG Small Sqr Elbow 2-5/8" Peb Clay</t>
  </si>
  <si>
    <t>83RGES25SA</t>
  </si>
  <si>
    <t>RG Small Sqr Elbow 2-5/8" Sand</t>
  </si>
  <si>
    <t>83RGES25UB</t>
  </si>
  <si>
    <t>RG Small Sqr Elbow 2-5/8" UniBrown</t>
  </si>
  <si>
    <t>83RGES25WH</t>
  </si>
  <si>
    <t>RG Small Sqr Elbow 2-5/8" White</t>
  </si>
  <si>
    <t>83RGES25WI</t>
  </si>
  <si>
    <t>RG Small Sqr Elbow 2-5/8" Wicker</t>
  </si>
  <si>
    <t>83RGRPO238</t>
  </si>
  <si>
    <t>RG Pop-In Outlet Rnd 2-3/8" #1188-1</t>
  </si>
  <si>
    <t>83RGTP12AB</t>
  </si>
  <si>
    <t>RG Touch Up Paint 12oz Antique Brwn</t>
  </si>
  <si>
    <t>83RGTP12BK</t>
  </si>
  <si>
    <t>RG Touch Up Paint 12oz Black</t>
  </si>
  <si>
    <t>83RGTP12BS</t>
  </si>
  <si>
    <t>RG Touch Up Paint 12oz Brownstone</t>
  </si>
  <si>
    <t>83RGTP12CA</t>
  </si>
  <si>
    <t>RG Touch Up Paint 12oz Cactus</t>
  </si>
  <si>
    <t>83RGTP12CH</t>
  </si>
  <si>
    <t>RG Touch Up Paint 12oz Charcoal</t>
  </si>
  <si>
    <t>83RGTP12CL</t>
  </si>
  <si>
    <t>RG Touch Up Paint 12oz Clay</t>
  </si>
  <si>
    <t>83RGTP12CM</t>
  </si>
  <si>
    <t>RG Touch Up Paint 12oz Cashmere</t>
  </si>
  <si>
    <t>83RGTP12CN</t>
  </si>
  <si>
    <t>RG Touch Up Paint 12oz Com Brown</t>
  </si>
  <si>
    <t>83RGTP12CO</t>
  </si>
  <si>
    <t>RG Touch Up Paint 12oz Chocolate</t>
  </si>
  <si>
    <t>83RGTP12CS</t>
  </si>
  <si>
    <t>RG Touch Up Paint 12oz Cobblestone</t>
  </si>
  <si>
    <t>83RGTP12GR</t>
  </si>
  <si>
    <t>RG Touch Up Paint 12oz Granite</t>
  </si>
  <si>
    <t>83RGTP12GY</t>
  </si>
  <si>
    <t>RG Touch Up Paint 12oz Grey</t>
  </si>
  <si>
    <t>83RGTP12HS</t>
  </si>
  <si>
    <t>RG Touch Up Paint 12oz Harvard Slat</t>
  </si>
  <si>
    <t>83RGTP12IS</t>
  </si>
  <si>
    <t>RG Touch Up Paint 12oz Ironstone</t>
  </si>
  <si>
    <t>83RGTP12LI</t>
  </si>
  <si>
    <t>RG Touch Up Paint 12oz Linen</t>
  </si>
  <si>
    <t>83RGTP12PC</t>
  </si>
  <si>
    <t>RG Touch Up Paint 12oz Pebble Clay</t>
  </si>
  <si>
    <t>83RGTP12SD</t>
  </si>
  <si>
    <t>RG Touch Up Paint 12oz Sand</t>
  </si>
  <si>
    <t>83RGTP12UB</t>
  </si>
  <si>
    <t>RG Touch Up Paint 12oz Uni Brown</t>
  </si>
  <si>
    <t>83RGTP12WH</t>
  </si>
  <si>
    <t>RG Touch Up Paint 12oz White</t>
  </si>
  <si>
    <t>83RGTP12WI</t>
  </si>
  <si>
    <t>RG Touch Up Paint 12oz Wicker</t>
  </si>
  <si>
    <t>83WBES25AB</t>
  </si>
  <si>
    <t>WAYNE'S SM SQR ELBOW 2-5/8" ANTBRWN</t>
  </si>
  <si>
    <t>83WBES25BR</t>
  </si>
  <si>
    <t>WAYNE'S SM SQR ELBOW 2-5/8" BROWN</t>
  </si>
  <si>
    <t>83WBES25CA</t>
  </si>
  <si>
    <t>WAYNE'S SM SQR ELBOW 2-5/8" CACTUS</t>
  </si>
  <si>
    <t>83WBES25CL</t>
  </si>
  <si>
    <t>WAYNE'S SM SQR ELBOW 2-5/8" CLAY</t>
  </si>
  <si>
    <t>83WBES25GY</t>
  </si>
  <si>
    <t>WAYNE'S SM SQR ELBOW 2-5/8" GREY</t>
  </si>
  <si>
    <t>83WBES25HB</t>
  </si>
  <si>
    <t>WAYNE'S SM SQR ELBOW 2-5/8" HERRBON</t>
  </si>
  <si>
    <t>83WBES25SD</t>
  </si>
  <si>
    <t>WAYNE'S SM SQR ELBOW 2-5/8" SAND</t>
  </si>
  <si>
    <t>87RG1171AB</t>
  </si>
  <si>
    <t>RG .0235X11.875" Gut Coil Ant Brown</t>
  </si>
  <si>
    <t>KG</t>
  </si>
  <si>
    <t>87RG1171BC</t>
  </si>
  <si>
    <t>RG .0235X11.875" Gut Coil Blk/ComBr</t>
  </si>
  <si>
    <t>87RG1171CA</t>
  </si>
  <si>
    <t>RG .0235X11.875" Gut Coil Cactus</t>
  </si>
  <si>
    <t>87RG1171CL</t>
  </si>
  <si>
    <t>RG .0235X11.875" Gut Coil Clay</t>
  </si>
  <si>
    <t>87RG1171CO</t>
  </si>
  <si>
    <t>RG .0235X11.875" Gut Coil Chocolat</t>
  </si>
  <si>
    <t>87RG1171GY</t>
  </si>
  <si>
    <t>RG .0235X11.875" Gut Coil Grey</t>
  </si>
  <si>
    <t>87RG1171IS</t>
  </si>
  <si>
    <t>RG .0235X11.875" Gut Coil Ironstone</t>
  </si>
  <si>
    <t>87RG1171LI</t>
  </si>
  <si>
    <t>RG .0235X11.875" Gut Coil Linen</t>
  </si>
  <si>
    <t>87RG1181AB</t>
  </si>
  <si>
    <t>RG .024X11.875" Gut Coil Ant Brown</t>
  </si>
  <si>
    <t>87RG1181BC</t>
  </si>
  <si>
    <t>RG .024X11.875" Gut Coil Blk/ComBrn</t>
  </si>
  <si>
    <t>87RG1181BS</t>
  </si>
  <si>
    <t>RG .024X11.875" Gut Coil Brownstone</t>
  </si>
  <si>
    <t>87RG1181CA</t>
  </si>
  <si>
    <t>RG .024X11.875" Gut Coil Cactus</t>
  </si>
  <si>
    <t>87RG1181CH</t>
  </si>
  <si>
    <t>RG .024X11.875" Gut Coil Charcoal</t>
  </si>
  <si>
    <t>87RG1181CL</t>
  </si>
  <si>
    <t>RG .024X11.875" Gut Coil Clay</t>
  </si>
  <si>
    <t>87RG1181CM</t>
  </si>
  <si>
    <t>RG .024X11.875" Gut Coil Cashmere</t>
  </si>
  <si>
    <t>87RG1181CO</t>
  </si>
  <si>
    <t>RG .024X11.875" Gut Coil Chocolate</t>
  </si>
  <si>
    <t>87RG1181CS</t>
  </si>
  <si>
    <t>RG .024X11.875" Gut Coil Cobbleston</t>
  </si>
  <si>
    <t>87RG1181GR</t>
  </si>
  <si>
    <t>RG .024X11.875" Gut Coil Granite</t>
  </si>
  <si>
    <t>87RG1181GY</t>
  </si>
  <si>
    <t>RG .024X11.875" Gut Coil Grey</t>
  </si>
  <si>
    <t>87RG1181HS</t>
  </si>
  <si>
    <t>RG .024X11.875" Gut Coil Harvrd Slt</t>
  </si>
  <si>
    <t>87RG1181IS</t>
  </si>
  <si>
    <t>RG .024X11.875" Gut Coil Ironstone</t>
  </si>
  <si>
    <t>87RG1181IV</t>
  </si>
  <si>
    <t>RG .024X11.875" Gut Coil Ivory</t>
  </si>
  <si>
    <t>87RG1181LI</t>
  </si>
  <si>
    <t>RG .024X11.875" Gut Coil Linen</t>
  </si>
  <si>
    <t>87RG1181PC</t>
  </si>
  <si>
    <t>RG .024X11.875" Gut Coil Pebble Cly</t>
  </si>
  <si>
    <t>87RG1181SA</t>
  </si>
  <si>
    <t>RG .024X11.875" Gut Coil Sand</t>
  </si>
  <si>
    <t>87RG1181UB</t>
  </si>
  <si>
    <t>RG .024X11.875" Gut Coil Univ Brown</t>
  </si>
  <si>
    <t>87RG1181WI</t>
  </si>
  <si>
    <t>RG .024X11.875" Gut Coil Wicker</t>
  </si>
  <si>
    <t>90744</t>
  </si>
  <si>
    <t>ML Zephyr Roll 11"X33' Saxony Villa</t>
  </si>
  <si>
    <t>GAF</t>
  </si>
  <si>
    <t>SG</t>
  </si>
  <si>
    <t>TIMB</t>
  </si>
  <si>
    <t>HDZ</t>
  </si>
  <si>
    <t>HICKORY</t>
  </si>
  <si>
    <t>3/S</t>
  </si>
  <si>
    <t>Timb</t>
  </si>
  <si>
    <t>Canadian</t>
  </si>
  <si>
    <t>Mission</t>
  </si>
  <si>
    <t>Gray</t>
  </si>
  <si>
    <t>Weathered</t>
  </si>
  <si>
    <t>Wood</t>
  </si>
  <si>
    <t>IKO</t>
  </si>
  <si>
    <t>CAMBRIDGE</t>
  </si>
  <si>
    <t>AR</t>
  </si>
  <si>
    <t>CHARCOAL</t>
  </si>
  <si>
    <t>GREY</t>
  </si>
  <si>
    <t>3/SQ</t>
  </si>
  <si>
    <t>DUAL</t>
  </si>
  <si>
    <t>BROWN</t>
  </si>
  <si>
    <t>BLACK</t>
  </si>
  <si>
    <t>DRIFTWOOD</t>
  </si>
  <si>
    <t>EARTHTONE</t>
  </si>
  <si>
    <t>HARVARD</t>
  </si>
  <si>
    <t>SLATE</t>
  </si>
  <si>
    <t>WEATHERWOOD</t>
  </si>
  <si>
    <t>DYNASTY</t>
  </si>
  <si>
    <t>ATLANTIC</t>
  </si>
  <si>
    <t>BLUE</t>
  </si>
  <si>
    <t>BISCAYNE</t>
  </si>
  <si>
    <t>BROWNSTONE</t>
  </si>
  <si>
    <t>CASTLE</t>
  </si>
  <si>
    <t>CORNERSTONE</t>
  </si>
  <si>
    <t>DRIFTSHAKE</t>
  </si>
  <si>
    <t>EMERALD</t>
  </si>
  <si>
    <t>GREEN</t>
  </si>
  <si>
    <t>FROSTONE</t>
  </si>
  <si>
    <t>GRANITE</t>
  </si>
  <si>
    <t>GLACIER</t>
  </si>
  <si>
    <t>MONACO</t>
  </si>
  <si>
    <t>RED</t>
  </si>
  <si>
    <t>PACIFIC</t>
  </si>
  <si>
    <t>RIM</t>
  </si>
  <si>
    <t>SHADOW</t>
  </si>
  <si>
    <t>SEDONA</t>
  </si>
  <si>
    <t>Dynasty</t>
  </si>
  <si>
    <t>Summit</t>
  </si>
  <si>
    <t>NORDIC</t>
  </si>
  <si>
    <t>Nordic</t>
  </si>
  <si>
    <t>3/Sq</t>
  </si>
  <si>
    <t>Mal</t>
  </si>
  <si>
    <t>Vista</t>
  </si>
  <si>
    <t>Antq</t>
  </si>
  <si>
    <t>3BDL/SQ</t>
  </si>
  <si>
    <t>Oak</t>
  </si>
  <si>
    <t>Midnt</t>
  </si>
  <si>
    <t>Blck</t>
  </si>
  <si>
    <t>Natrl</t>
  </si>
  <si>
    <t>Sienna</t>
  </si>
  <si>
    <t>Bld</t>
  </si>
  <si>
    <t>Wthrd</t>
  </si>
  <si>
    <t>OC</t>
  </si>
  <si>
    <t>Trudef</t>
  </si>
  <si>
    <t>Duration</t>
  </si>
  <si>
    <t>DC</t>
  </si>
  <si>
    <t>Sbl</t>
  </si>
  <si>
    <t>TRUDEF</t>
  </si>
  <si>
    <t>DURA</t>
  </si>
  <si>
    <t>FLEX</t>
  </si>
  <si>
    <t>BROWNWD</t>
  </si>
  <si>
    <t>DRIFTWD</t>
  </si>
  <si>
    <t>EST</t>
  </si>
  <si>
    <t>GRAY</t>
  </si>
  <si>
    <t>ONYX</t>
  </si>
  <si>
    <t>BLK</t>
  </si>
  <si>
    <t>Desert</t>
  </si>
  <si>
    <t>Tan</t>
  </si>
  <si>
    <t>TruDef</t>
  </si>
  <si>
    <t>Rose</t>
  </si>
  <si>
    <t>Estate</t>
  </si>
  <si>
    <t>Onyx</t>
  </si>
  <si>
    <t>Quarry</t>
  </si>
  <si>
    <t>Sierra</t>
  </si>
  <si>
    <t>Slatestone</t>
  </si>
  <si>
    <t>Williamsburg</t>
  </si>
  <si>
    <t>Lifting</t>
  </si>
  <si>
    <t>Handle</t>
  </si>
  <si>
    <t>Kit</t>
  </si>
  <si>
    <t>#10351</t>
  </si>
  <si>
    <t>Coil</t>
  </si>
  <si>
    <t>Holder</t>
  </si>
  <si>
    <t>Sidewinder</t>
  </si>
  <si>
    <t>#10776</t>
  </si>
  <si>
    <t>Brake</t>
  </si>
  <si>
    <t>Buddy</t>
  </si>
  <si>
    <t>W/Case</t>
  </si>
  <si>
    <t>#11676</t>
  </si>
  <si>
    <t>Pro</t>
  </si>
  <si>
    <t>Snap</t>
  </si>
  <si>
    <t>Stand</t>
  </si>
  <si>
    <t>#11720</t>
  </si>
  <si>
    <t>V-Groove</t>
  </si>
  <si>
    <t>Roller</t>
  </si>
  <si>
    <t>Complete</t>
  </si>
  <si>
    <t>#14547</t>
  </si>
  <si>
    <t>Armorshield</t>
  </si>
  <si>
    <t>II</t>
  </si>
  <si>
    <t>ARMORSHIELD</t>
  </si>
  <si>
    <t>PEWTER</t>
  </si>
  <si>
    <t>ARMOURSHAKE</t>
  </si>
  <si>
    <t>5/S</t>
  </si>
  <si>
    <t>Legacy</t>
  </si>
  <si>
    <t>Antique</t>
  </si>
  <si>
    <t>4B</t>
  </si>
  <si>
    <t>Midnight</t>
  </si>
  <si>
    <t>Pro-Start</t>
  </si>
  <si>
    <t>Starter</t>
  </si>
  <si>
    <t>120.33LF</t>
  </si>
  <si>
    <t>S-A-R</t>
  </si>
  <si>
    <t>25LF</t>
  </si>
  <si>
    <t>Driftwd</t>
  </si>
  <si>
    <t>Weatheredwood</t>
  </si>
  <si>
    <t>IR</t>
  </si>
  <si>
    <t>Timtex</t>
  </si>
  <si>
    <t>H&amp;R</t>
  </si>
  <si>
    <t>20LF</t>
  </si>
  <si>
    <t>Weatherblocker</t>
  </si>
  <si>
    <t>100LF</t>
  </si>
  <si>
    <t>ARMOUR</t>
  </si>
  <si>
    <t>START</t>
  </si>
  <si>
    <t>68.9LF</t>
  </si>
  <si>
    <t>36LF</t>
  </si>
  <si>
    <t>GRY</t>
  </si>
  <si>
    <t>CharcGry/SumGry</t>
  </si>
  <si>
    <t>Dual</t>
  </si>
  <si>
    <t>Gry/Frostne</t>
  </si>
  <si>
    <t>Blk/Granite</t>
  </si>
  <si>
    <t>CEDAR</t>
  </si>
  <si>
    <t>Plus</t>
  </si>
  <si>
    <t>Atlantic</t>
  </si>
  <si>
    <t>Blue</t>
  </si>
  <si>
    <t>29.5LF</t>
  </si>
  <si>
    <t>PLUS</t>
  </si>
  <si>
    <t>APPALCHIAN</t>
  </si>
  <si>
    <t>LEADING</t>
  </si>
  <si>
    <t>EDGE</t>
  </si>
  <si>
    <t>STARTER</t>
  </si>
  <si>
    <t>123LF</t>
  </si>
  <si>
    <t>ULTRA</t>
  </si>
  <si>
    <t>HP</t>
  </si>
  <si>
    <t>AGED</t>
  </si>
  <si>
    <t>REDWOOD</t>
  </si>
  <si>
    <t>EARTHTONE/CEDR</t>
  </si>
  <si>
    <t>Ultra</t>
  </si>
  <si>
    <t>Harvard</t>
  </si>
  <si>
    <t>EZ</t>
  </si>
  <si>
    <t>Ridge</t>
  </si>
  <si>
    <t>XT</t>
  </si>
  <si>
    <t>Ant</t>
  </si>
  <si>
    <t>Mid</t>
  </si>
  <si>
    <t>Nat</t>
  </si>
  <si>
    <t>BL</t>
  </si>
  <si>
    <t>Weather</t>
  </si>
  <si>
    <t>WD</t>
  </si>
  <si>
    <t>12"</t>
  </si>
  <si>
    <t>31LF</t>
  </si>
  <si>
    <t>Natural</t>
  </si>
  <si>
    <t>Blend</t>
  </si>
  <si>
    <t>Smart</t>
  </si>
  <si>
    <t>Start</t>
  </si>
  <si>
    <t>114.9LF</t>
  </si>
  <si>
    <t>Proedge</t>
  </si>
  <si>
    <t>Sable</t>
  </si>
  <si>
    <t>33LF</t>
  </si>
  <si>
    <t>PROEDGE</t>
  </si>
  <si>
    <t>BROWNWOOD</t>
  </si>
  <si>
    <t>ProEdge</t>
  </si>
  <si>
    <t>DESERT</t>
  </si>
  <si>
    <t>TAN</t>
  </si>
  <si>
    <t>ESTATE</t>
  </si>
  <si>
    <t>QUARRY</t>
  </si>
  <si>
    <t>SIERRA</t>
  </si>
  <si>
    <t>TEAK</t>
  </si>
  <si>
    <t>Gry</t>
  </si>
  <si>
    <t>Decoridge</t>
  </si>
  <si>
    <t>10"</t>
  </si>
  <si>
    <t>Brownwd/Timbr</t>
  </si>
  <si>
    <t>DECORIDGE</t>
  </si>
  <si>
    <t>IMPACTRIDGE</t>
  </si>
  <si>
    <t>STRIP</t>
  </si>
  <si>
    <t>105LF</t>
  </si>
  <si>
    <t>Deck-Armor</t>
  </si>
  <si>
    <t>54"X222'</t>
  </si>
  <si>
    <t>10SQ/R</t>
  </si>
  <si>
    <t>Feltbuster</t>
  </si>
  <si>
    <t>Syn</t>
  </si>
  <si>
    <t>Roof</t>
  </si>
  <si>
    <t>Felt</t>
  </si>
  <si>
    <t>10SQ</t>
  </si>
  <si>
    <t>15#</t>
  </si>
  <si>
    <t>FELT</t>
  </si>
  <si>
    <t>PLAIN</t>
  </si>
  <si>
    <t>4SQ/RL</t>
  </si>
  <si>
    <t>HALTEX</t>
  </si>
  <si>
    <t>BUILDING</t>
  </si>
  <si>
    <t>PAPER</t>
  </si>
  <si>
    <t>20MIN</t>
  </si>
  <si>
    <t>30MIN</t>
  </si>
  <si>
    <t>Secure</t>
  </si>
  <si>
    <t>Permeable</t>
  </si>
  <si>
    <t>5Sq</t>
  </si>
  <si>
    <t>Synth</t>
  </si>
  <si>
    <t>ROOFNADO</t>
  </si>
  <si>
    <t>SAHARA</t>
  </si>
  <si>
    <t>BREATH</t>
  </si>
  <si>
    <t>SYN</t>
  </si>
  <si>
    <t>SBS</t>
  </si>
  <si>
    <t>DECKBASE</t>
  </si>
  <si>
    <t>Polyglass</t>
  </si>
  <si>
    <t>Granules</t>
  </si>
  <si>
    <t>Gy</t>
  </si>
  <si>
    <t>5GAL</t>
  </si>
  <si>
    <t>3M</t>
  </si>
  <si>
    <t>AIR</t>
  </si>
  <si>
    <t>&amp;</t>
  </si>
  <si>
    <t>VAPOR</t>
  </si>
  <si>
    <t>BARRIER</t>
  </si>
  <si>
    <t>36X75'</t>
  </si>
  <si>
    <t>#3015</t>
  </si>
  <si>
    <t>4X75'</t>
  </si>
  <si>
    <t>Air</t>
  </si>
  <si>
    <t>Vapor</t>
  </si>
  <si>
    <t>Barrier</t>
  </si>
  <si>
    <t>6X75'</t>
  </si>
  <si>
    <t>18X75'</t>
  </si>
  <si>
    <t>9X75'</t>
  </si>
  <si>
    <t>Weatherwatch</t>
  </si>
  <si>
    <t>36"X66.7'</t>
  </si>
  <si>
    <t>2SQ/RL</t>
  </si>
  <si>
    <t>AquaBarrier</t>
  </si>
  <si>
    <t>VP</t>
  </si>
  <si>
    <t>3.75"X100'</t>
  </si>
  <si>
    <t>Armourgard</t>
  </si>
  <si>
    <t>Ice&amp;Water</t>
  </si>
  <si>
    <t>Shield</t>
  </si>
  <si>
    <t>2SQ</t>
  </si>
  <si>
    <t>ACRYLICSTICK</t>
  </si>
  <si>
    <t>SA</t>
  </si>
  <si>
    <t>VAP</t>
  </si>
  <si>
    <t>BAR</t>
  </si>
  <si>
    <t>36"X75'</t>
  </si>
  <si>
    <t>6"X75'</t>
  </si>
  <si>
    <t>StormShield</t>
  </si>
  <si>
    <t>Ice</t>
  </si>
  <si>
    <t>Water</t>
  </si>
  <si>
    <t>2Sq</t>
  </si>
  <si>
    <t>STORMSHIELD</t>
  </si>
  <si>
    <t>I&amp;W</t>
  </si>
  <si>
    <t>44"X61'</t>
  </si>
  <si>
    <t>2.25SQ</t>
  </si>
  <si>
    <t>STORMTITE</t>
  </si>
  <si>
    <t>UNDERLAYMENT</t>
  </si>
  <si>
    <t>Rhinoroof</t>
  </si>
  <si>
    <t>Gran</t>
  </si>
  <si>
    <t>Self</t>
  </si>
  <si>
    <t>Adhered</t>
  </si>
  <si>
    <t>RHINOROOF</t>
  </si>
  <si>
    <t>U20</t>
  </si>
  <si>
    <t>10SQ/RL</t>
  </si>
  <si>
    <t>RESISTO</t>
  </si>
  <si>
    <t>LASTOBOND</t>
  </si>
  <si>
    <t>PRO</t>
  </si>
  <si>
    <t>HT-N</t>
  </si>
  <si>
    <t>36"X65'</t>
  </si>
  <si>
    <t>Arctic</t>
  </si>
  <si>
    <t>Seal</t>
  </si>
  <si>
    <t>Undrly</t>
  </si>
  <si>
    <t>LB1236</t>
  </si>
  <si>
    <t>UNDERLAY</t>
  </si>
  <si>
    <t>3'X65'</t>
  </si>
  <si>
    <t>LB1244</t>
  </si>
  <si>
    <t>Sturdimount</t>
  </si>
  <si>
    <t>Oversize</t>
  </si>
  <si>
    <t>Primd</t>
  </si>
  <si>
    <t>#SMO815P</t>
  </si>
  <si>
    <t>Duraflo</t>
  </si>
  <si>
    <t>Multiple</t>
  </si>
  <si>
    <t>5-In-1</t>
  </si>
  <si>
    <t>Size</t>
  </si>
  <si>
    <t>Flashing</t>
  </si>
  <si>
    <t>24"</t>
  </si>
  <si>
    <t>BACKPAN</t>
  </si>
  <si>
    <t>FLASHING</t>
  </si>
  <si>
    <t>GALV</t>
  </si>
  <si>
    <t>3'</t>
  </si>
  <si>
    <t>MILL</t>
  </si>
  <si>
    <t>5'</t>
  </si>
  <si>
    <t>CHARCL</t>
  </si>
  <si>
    <t>CAULK</t>
  </si>
  <si>
    <t>LIP</t>
  </si>
  <si>
    <t>FLASH</t>
  </si>
  <si>
    <t>1/2X10X1/2</t>
  </si>
  <si>
    <t>10'</t>
  </si>
  <si>
    <t>CHARC</t>
  </si>
  <si>
    <t>WHITE</t>
  </si>
  <si>
    <t>1/2X4X1/2</t>
  </si>
  <si>
    <t>COILED</t>
  </si>
  <si>
    <t>VALLEY</t>
  </si>
  <si>
    <t>30GA</t>
  </si>
  <si>
    <t>STONEGRY</t>
  </si>
  <si>
    <t>26GA</t>
  </si>
  <si>
    <t>Coiled</t>
  </si>
  <si>
    <t>Valley</t>
  </si>
  <si>
    <t>26Ga</t>
  </si>
  <si>
    <t>DURAFLO</t>
  </si>
  <si>
    <t>PLASTIC</t>
  </si>
  <si>
    <t>BASE</t>
  </si>
  <si>
    <t>2"</t>
  </si>
  <si>
    <t>3"</t>
  </si>
  <si>
    <t>4"</t>
  </si>
  <si>
    <t>Steep</t>
  </si>
  <si>
    <t>Flash</t>
  </si>
  <si>
    <t>3"-4"</t>
  </si>
  <si>
    <t>Blk</t>
  </si>
  <si>
    <t>EAVE/DRIP</t>
  </si>
  <si>
    <t>8'</t>
  </si>
  <si>
    <t>GABLE</t>
  </si>
  <si>
    <t>Reverse</t>
  </si>
  <si>
    <t>Wall</t>
  </si>
  <si>
    <t>REVERSE</t>
  </si>
  <si>
    <t>WALL</t>
  </si>
  <si>
    <t>CUSTOM</t>
  </si>
  <si>
    <t>COLOR</t>
  </si>
  <si>
    <t>SKYLIGHT</t>
  </si>
  <si>
    <t>COUNTER</t>
  </si>
  <si>
    <t>1X4X10</t>
  </si>
  <si>
    <t>STEP</t>
  </si>
  <si>
    <t>4"X4"X9"</t>
  </si>
  <si>
    <t>STEEL</t>
  </si>
  <si>
    <t>WIDE</t>
  </si>
  <si>
    <t>V-VALLEY</t>
  </si>
  <si>
    <t>9"X10'</t>
  </si>
  <si>
    <t>CHAROCL</t>
  </si>
  <si>
    <t>STNGRY</t>
  </si>
  <si>
    <t>W-VALLEY</t>
  </si>
  <si>
    <t>RG</t>
  </si>
  <si>
    <t>Drip</t>
  </si>
  <si>
    <t>Edge</t>
  </si>
  <si>
    <t>1.5"</t>
  </si>
  <si>
    <t>Brn</t>
  </si>
  <si>
    <t>1382-3</t>
  </si>
  <si>
    <t>Brownst</t>
  </si>
  <si>
    <t>Charcol</t>
  </si>
  <si>
    <t>Cashmer</t>
  </si>
  <si>
    <t>ComBrwn</t>
  </si>
  <si>
    <t>Chocolt</t>
  </si>
  <si>
    <t>Cobbles</t>
  </si>
  <si>
    <t>Har</t>
  </si>
  <si>
    <t>Slt</t>
  </si>
  <si>
    <t>Ironstn</t>
  </si>
  <si>
    <t>Peb</t>
  </si>
  <si>
    <t>Cly</t>
  </si>
  <si>
    <t>UniBrwn</t>
  </si>
  <si>
    <t>Royal</t>
  </si>
  <si>
    <t>Gable</t>
  </si>
  <si>
    <t>Trim</t>
  </si>
  <si>
    <t>Brwn</t>
  </si>
  <si>
    <t>12'</t>
  </si>
  <si>
    <t>#1388</t>
  </si>
  <si>
    <t>Brownstn</t>
  </si>
  <si>
    <t>Cashmere</t>
  </si>
  <si>
    <t>Com</t>
  </si>
  <si>
    <t>Chocolat</t>
  </si>
  <si>
    <t>Cobblest</t>
  </si>
  <si>
    <t>Harv</t>
  </si>
  <si>
    <t>Ironston</t>
  </si>
  <si>
    <t>Univ</t>
  </si>
  <si>
    <t>AL</t>
  </si>
  <si>
    <t>GREY1382-3</t>
  </si>
  <si>
    <t>WAYNE'S</t>
  </si>
  <si>
    <t>TRIM</t>
  </si>
  <si>
    <t>ANTIQUE</t>
  </si>
  <si>
    <t>BRWN</t>
  </si>
  <si>
    <t>CACTUS</t>
  </si>
  <si>
    <t>HERRINGBONE</t>
  </si>
  <si>
    <t>POLAR</t>
  </si>
  <si>
    <t>SAND</t>
  </si>
  <si>
    <t>WICKER</t>
  </si>
  <si>
    <t>Westform</t>
  </si>
  <si>
    <t>AIRFAST</t>
  </si>
  <si>
    <t>STAPLES</t>
  </si>
  <si>
    <t>1/2"</t>
  </si>
  <si>
    <t>10M/BX</t>
  </si>
  <si>
    <t>GS</t>
  </si>
  <si>
    <t>STAPLE</t>
  </si>
  <si>
    <t>TACKER</t>
  </si>
  <si>
    <t>RAPID</t>
  </si>
  <si>
    <t>1/4"</t>
  </si>
  <si>
    <t>HAMMER</t>
  </si>
  <si>
    <t>TACK</t>
  </si>
  <si>
    <t>A11</t>
  </si>
  <si>
    <t>3/8"</t>
  </si>
  <si>
    <t>AirFast</t>
  </si>
  <si>
    <t>GSI</t>
  </si>
  <si>
    <t>Staple</t>
  </si>
  <si>
    <t>1"</t>
  </si>
  <si>
    <t>5M/Bx</t>
  </si>
  <si>
    <t>5M/BX</t>
  </si>
  <si>
    <t>3/4"</t>
  </si>
  <si>
    <t>Boral</t>
  </si>
  <si>
    <t>Pnl</t>
  </si>
  <si>
    <t>Hwh</t>
  </si>
  <si>
    <t>10X2</t>
  </si>
  <si>
    <t>DECKFAST</t>
  </si>
  <si>
    <t>CAP-TOR</t>
  </si>
  <si>
    <t>XD</t>
  </si>
  <si>
    <t>2-3/4"</t>
  </si>
  <si>
    <t>#37</t>
  </si>
  <si>
    <t>#53</t>
  </si>
  <si>
    <t>EPOXY</t>
  </si>
  <si>
    <t>COATED</t>
  </si>
  <si>
    <t>10X2-3/4</t>
  </si>
  <si>
    <t>1-7/8"</t>
  </si>
  <si>
    <t>FASCIA</t>
  </si>
  <si>
    <t>SCREW</t>
  </si>
  <si>
    <t>#34</t>
  </si>
  <si>
    <t>#54</t>
  </si>
  <si>
    <t>#55</t>
  </si>
  <si>
    <t>#63</t>
  </si>
  <si>
    <t>#73</t>
  </si>
  <si>
    <t>Maibec</t>
  </si>
  <si>
    <t>Canexel</t>
  </si>
  <si>
    <t>Nail</t>
  </si>
  <si>
    <t>Acadia</t>
  </si>
  <si>
    <t>2#</t>
  </si>
  <si>
    <t>#8</t>
  </si>
  <si>
    <t>1-1/2"</t>
  </si>
  <si>
    <t>DECK</t>
  </si>
  <si>
    <t>5000/BX</t>
  </si>
  <si>
    <t>1-3/4"</t>
  </si>
  <si>
    <t>#8X2"</t>
  </si>
  <si>
    <t>2800/PL</t>
  </si>
  <si>
    <t>#8X1.5"</t>
  </si>
  <si>
    <t>ACQ</t>
  </si>
  <si>
    <t>TREAT</t>
  </si>
  <si>
    <t>1C/BX</t>
  </si>
  <si>
    <t>#8X2.5"</t>
  </si>
  <si>
    <t>#8X3"</t>
  </si>
  <si>
    <t>YZ</t>
  </si>
  <si>
    <t>#10X3.5"</t>
  </si>
  <si>
    <t>BRAD</t>
  </si>
  <si>
    <t>16GA</t>
  </si>
  <si>
    <t>2.0"</t>
  </si>
  <si>
    <t>2.5M</t>
  </si>
  <si>
    <t>2.5"</t>
  </si>
  <si>
    <t>SCREWS</t>
  </si>
  <si>
    <t>PH</t>
  </si>
  <si>
    <t>#8X1</t>
  </si>
  <si>
    <t>6.5M/BX</t>
  </si>
  <si>
    <t>ANT</t>
  </si>
  <si>
    <t>AMBERWOOD</t>
  </si>
  <si>
    <t>BEIGE</t>
  </si>
  <si>
    <t>BROWNSTON</t>
  </si>
  <si>
    <t>BRK</t>
  </si>
  <si>
    <t>CLAY</t>
  </si>
  <si>
    <t>CASHMERE</t>
  </si>
  <si>
    <t>COM</t>
  </si>
  <si>
    <t>CHOCOLATE</t>
  </si>
  <si>
    <t>COBBLESTN</t>
  </si>
  <si>
    <t>HARVD</t>
  </si>
  <si>
    <t>SLT</t>
  </si>
  <si>
    <t>IRONSTONE</t>
  </si>
  <si>
    <t>LINEN</t>
  </si>
  <si>
    <t>PEB</t>
  </si>
  <si>
    <t>SPAN</t>
  </si>
  <si>
    <t>MOSS</t>
  </si>
  <si>
    <t>UNIV</t>
  </si>
  <si>
    <t>4C/BX</t>
  </si>
  <si>
    <t>ZINC</t>
  </si>
  <si>
    <t>#8X9/16"</t>
  </si>
  <si>
    <t>10M/Bx</t>
  </si>
  <si>
    <t>1M/BX</t>
  </si>
  <si>
    <t>BROWNSTN</t>
  </si>
  <si>
    <t>Zinc</t>
  </si>
  <si>
    <t>#8x9/16"</t>
  </si>
  <si>
    <t>1M/Bx</t>
  </si>
  <si>
    <t>CHOCOLAT</t>
  </si>
  <si>
    <t>COBBLEST</t>
  </si>
  <si>
    <t>HARV</t>
  </si>
  <si>
    <t>IRONSTON</t>
  </si>
  <si>
    <t>UNI</t>
  </si>
  <si>
    <t>GENERIC</t>
  </si>
  <si>
    <t>COIL</t>
  </si>
  <si>
    <t>NAIL</t>
  </si>
  <si>
    <t>2-1/2"</t>
  </si>
  <si>
    <t>100/BX</t>
  </si>
  <si>
    <t>EG</t>
  </si>
  <si>
    <t>NAILS</t>
  </si>
  <si>
    <t>50#</t>
  </si>
  <si>
    <t>Metal</t>
  </si>
  <si>
    <t>Round</t>
  </si>
  <si>
    <t>Cap</t>
  </si>
  <si>
    <t>1-1/4"</t>
  </si>
  <si>
    <t>25#</t>
  </si>
  <si>
    <t>3#</t>
  </si>
  <si>
    <t>#10</t>
  </si>
  <si>
    <t>250/BX</t>
  </si>
  <si>
    <t>Aged</t>
  </si>
  <si>
    <t>4000/Bx</t>
  </si>
  <si>
    <t>ARCTIC</t>
  </si>
  <si>
    <t>3500/Bx</t>
  </si>
  <si>
    <t>BOOTHBAY</t>
  </si>
  <si>
    <t>Boothbay</t>
  </si>
  <si>
    <t>CHESTNUT</t>
  </si>
  <si>
    <t>Chestnut</t>
  </si>
  <si>
    <t>COUNTRYLANE</t>
  </si>
  <si>
    <t>Countrylane</t>
  </si>
  <si>
    <t>Rd</t>
  </si>
  <si>
    <t>Cobblestone</t>
  </si>
  <si>
    <t>250/Bx</t>
  </si>
  <si>
    <t>DEEP</t>
  </si>
  <si>
    <t>OCEAN</t>
  </si>
  <si>
    <t>Deep</t>
  </si>
  <si>
    <t>Ocean</t>
  </si>
  <si>
    <t>EVENING</t>
  </si>
  <si>
    <t>Evening</t>
  </si>
  <si>
    <t>HEATHERED</t>
  </si>
  <si>
    <t>Heathered</t>
  </si>
  <si>
    <t>Moss</t>
  </si>
  <si>
    <t>Iron</t>
  </si>
  <si>
    <t>KHAKI</t>
  </si>
  <si>
    <t>Khaki</t>
  </si>
  <si>
    <t>Light</t>
  </si>
  <si>
    <t>Mist</t>
  </si>
  <si>
    <t>MOUNTAIN</t>
  </si>
  <si>
    <t>SAGE</t>
  </si>
  <si>
    <t>Mountain</t>
  </si>
  <si>
    <t>MONTEREY</t>
  </si>
  <si>
    <t>TAUPE</t>
  </si>
  <si>
    <t>Monterey</t>
  </si>
  <si>
    <t>Taupe</t>
  </si>
  <si>
    <t>NAVAJO</t>
  </si>
  <si>
    <t>Navajo</t>
  </si>
  <si>
    <t>Beige</t>
  </si>
  <si>
    <t>NIGHT</t>
  </si>
  <si>
    <t>Night</t>
  </si>
  <si>
    <t>PEARL</t>
  </si>
  <si>
    <t>RICH</t>
  </si>
  <si>
    <t>ESPRESSO</t>
  </si>
  <si>
    <t>Rich</t>
  </si>
  <si>
    <t>STAINLESS</t>
  </si>
  <si>
    <t>Beig</t>
  </si>
  <si>
    <t>TIMBER</t>
  </si>
  <si>
    <t>BARK</t>
  </si>
  <si>
    <t>Timber</t>
  </si>
  <si>
    <t>Bark</t>
  </si>
  <si>
    <t>Traditional</t>
  </si>
  <si>
    <t>Red</t>
  </si>
  <si>
    <t>WOODSTOCK</t>
  </si>
  <si>
    <t>Woodstock</t>
  </si>
  <si>
    <t>PRIME</t>
  </si>
  <si>
    <t>FAST</t>
  </si>
  <si>
    <t>HAM</t>
  </si>
  <si>
    <t>STPL</t>
  </si>
  <si>
    <t>WOODGRIP</t>
  </si>
  <si>
    <t>#10X1</t>
  </si>
  <si>
    <t>COFF</t>
  </si>
  <si>
    <t>500/BG</t>
  </si>
  <si>
    <t>BONE</t>
  </si>
  <si>
    <t>WHT</t>
  </si>
  <si>
    <t>BRITE</t>
  </si>
  <si>
    <t>RD</t>
  </si>
  <si>
    <t>WH</t>
  </si>
  <si>
    <t>DK</t>
  </si>
  <si>
    <t>DARK</t>
  </si>
  <si>
    <t>GALVALUM</t>
  </si>
  <si>
    <t>HERON</t>
  </si>
  <si>
    <t>METROBRN</t>
  </si>
  <si>
    <t>MELCH</t>
  </si>
  <si>
    <t>GN</t>
  </si>
  <si>
    <t>REGENTGY</t>
  </si>
  <si>
    <t>#14X1</t>
  </si>
  <si>
    <t>BRN</t>
  </si>
  <si>
    <t>GALVANIZ</t>
  </si>
  <si>
    <t>SAWHORSE</t>
  </si>
  <si>
    <t>FOLD</t>
  </si>
  <si>
    <t>DOWN</t>
  </si>
  <si>
    <t>31"</t>
  </si>
  <si>
    <t>#3003</t>
  </si>
  <si>
    <t>Stapler</t>
  </si>
  <si>
    <t>Narrow</t>
  </si>
  <si>
    <t>Crown</t>
  </si>
  <si>
    <t>#N3804AB3</t>
  </si>
  <si>
    <t>GA</t>
  </si>
  <si>
    <t>Finish</t>
  </si>
  <si>
    <t>Nailer</t>
  </si>
  <si>
    <t>#NT65M2S</t>
  </si>
  <si>
    <t>#NV45AB2</t>
  </si>
  <si>
    <t>Ecco</t>
  </si>
  <si>
    <t>Flared</t>
  </si>
  <si>
    <t>Base</t>
  </si>
  <si>
    <t>Only</t>
  </si>
  <si>
    <t>Pipe</t>
  </si>
  <si>
    <t>Jack</t>
  </si>
  <si>
    <t>Galv</t>
  </si>
  <si>
    <t>No</t>
  </si>
  <si>
    <t>#00143</t>
  </si>
  <si>
    <t>Short</t>
  </si>
  <si>
    <t>Cone</t>
  </si>
  <si>
    <t>ECCO</t>
  </si>
  <si>
    <t>B-VENT</t>
  </si>
  <si>
    <t>RAIN</t>
  </si>
  <si>
    <t>CAP</t>
  </si>
  <si>
    <t>STORM</t>
  </si>
  <si>
    <t>COLLAR</t>
  </si>
  <si>
    <t>ADJ</t>
  </si>
  <si>
    <t>1/12-7/12</t>
  </si>
  <si>
    <t>5"</t>
  </si>
  <si>
    <t>6"</t>
  </si>
  <si>
    <t>7"</t>
  </si>
  <si>
    <t>8"</t>
  </si>
  <si>
    <t>Cobra</t>
  </si>
  <si>
    <t>Snow</t>
  </si>
  <si>
    <t>Country</t>
  </si>
  <si>
    <t>4'</t>
  </si>
  <si>
    <t>Adv</t>
  </si>
  <si>
    <t>9"</t>
  </si>
  <si>
    <t>COBRA</t>
  </si>
  <si>
    <t>SNOW</t>
  </si>
  <si>
    <t>COUNTRY</t>
  </si>
  <si>
    <t>ADV</t>
  </si>
  <si>
    <t>RT-65</t>
  </si>
  <si>
    <t>Louver</t>
  </si>
  <si>
    <t>LOMANCO</t>
  </si>
  <si>
    <t>UNDER</t>
  </si>
  <si>
    <t>EAVE</t>
  </si>
  <si>
    <t>VENT</t>
  </si>
  <si>
    <t>DA-4</t>
  </si>
  <si>
    <t>DECK-AIR</t>
  </si>
  <si>
    <t>INTAKE</t>
  </si>
  <si>
    <t>LOR30</t>
  </si>
  <si>
    <t>LO</t>
  </si>
  <si>
    <t>OMNI</t>
  </si>
  <si>
    <t>ROLL</t>
  </si>
  <si>
    <t>GUNABLE</t>
  </si>
  <si>
    <t>LOR9-4</t>
  </si>
  <si>
    <t>RDGE</t>
  </si>
  <si>
    <t>ABS</t>
  </si>
  <si>
    <t>PIPE</t>
  </si>
  <si>
    <t>CORAVENT</t>
  </si>
  <si>
    <t>S400</t>
  </si>
  <si>
    <t>Coravent</t>
  </si>
  <si>
    <t>Siding</t>
  </si>
  <si>
    <t>24-4'</t>
  </si>
  <si>
    <t>#SV-3</t>
  </si>
  <si>
    <t>SQR</t>
  </si>
  <si>
    <t>TOP</t>
  </si>
  <si>
    <t>Sqr</t>
  </si>
  <si>
    <t>Top</t>
  </si>
  <si>
    <t>WEATHERWD</t>
  </si>
  <si>
    <t>WP</t>
  </si>
  <si>
    <t>PROVENTILATOR</t>
  </si>
  <si>
    <t>3-TIER</t>
  </si>
  <si>
    <t>DRIWALL</t>
  </si>
  <si>
    <t>RAINSCREEN</t>
  </si>
  <si>
    <t>48"X45'</t>
  </si>
  <si>
    <t>#10MM</t>
  </si>
  <si>
    <t>WEATHERPRO</t>
  </si>
  <si>
    <t>Weatherpro</t>
  </si>
  <si>
    <t>Proturbo</t>
  </si>
  <si>
    <t>Wthrwod</t>
  </si>
  <si>
    <t>Sol</t>
  </si>
  <si>
    <t>Slantback</t>
  </si>
  <si>
    <t>Wwood</t>
  </si>
  <si>
    <t>Aztec</t>
  </si>
  <si>
    <t>#1</t>
  </si>
  <si>
    <t>Ext</t>
  </si>
  <si>
    <t>Angle</t>
  </si>
  <si>
    <t>MF</t>
  </si>
  <si>
    <t>EA101BA</t>
  </si>
  <si>
    <t>LEAD</t>
  </si>
  <si>
    <t>Max</t>
  </si>
  <si>
    <t>Flat</t>
  </si>
  <si>
    <t>#101</t>
  </si>
  <si>
    <t>#201</t>
  </si>
  <si>
    <t>Slope</t>
  </si>
  <si>
    <t>#301</t>
  </si>
  <si>
    <t>#303</t>
  </si>
  <si>
    <t>Charc</t>
  </si>
  <si>
    <t>PRIMEX</t>
  </si>
  <si>
    <t>GOOSENECK</t>
  </si>
  <si>
    <t>ADAPTER</t>
  </si>
  <si>
    <t>#RV28-4</t>
  </si>
  <si>
    <t>#RV28-6</t>
  </si>
  <si>
    <t>#RV28-8</t>
  </si>
  <si>
    <t>#RV2825</t>
  </si>
  <si>
    <t>DKBRN</t>
  </si>
  <si>
    <t>#RV2868</t>
  </si>
  <si>
    <t>LTGRY</t>
  </si>
  <si>
    <t>#RV2831</t>
  </si>
  <si>
    <t>WWOOD</t>
  </si>
  <si>
    <t>#RV2828</t>
  </si>
  <si>
    <t>MAX</t>
  </si>
  <si>
    <t>AT1</t>
  </si>
  <si>
    <t>RECT</t>
  </si>
  <si>
    <t>RF</t>
  </si>
  <si>
    <t>EXH</t>
  </si>
  <si>
    <t>CT-4-N</t>
  </si>
  <si>
    <t>Rf</t>
  </si>
  <si>
    <t>Exh</t>
  </si>
  <si>
    <t>Cha</t>
  </si>
  <si>
    <t>CHEM-LINK</t>
  </si>
  <si>
    <t>F1202CL</t>
  </si>
  <si>
    <t>SNOWSHOE</t>
  </si>
  <si>
    <t>CLR</t>
  </si>
  <si>
    <t>24/B</t>
  </si>
  <si>
    <t>F1202SM</t>
  </si>
  <si>
    <t>SMK</t>
  </si>
  <si>
    <t>Crest</t>
  </si>
  <si>
    <t>D4</t>
  </si>
  <si>
    <t>DL</t>
  </si>
  <si>
    <t>RCD4D</t>
  </si>
  <si>
    <t>D4.5</t>
  </si>
  <si>
    <t>COCOA</t>
  </si>
  <si>
    <t>ESTD45D</t>
  </si>
  <si>
    <t>HERT</t>
  </si>
  <si>
    <t>IRONSTN</t>
  </si>
  <si>
    <t>MARINE</t>
  </si>
  <si>
    <t>MIDNT</t>
  </si>
  <si>
    <t>SRF</t>
  </si>
  <si>
    <t>RIVERWAY</t>
  </si>
  <si>
    <t>ROCKSLIDE</t>
  </si>
  <si>
    <t>SABLE</t>
  </si>
  <si>
    <t>SHAMROCK</t>
  </si>
  <si>
    <t>SLVR</t>
  </si>
  <si>
    <t>MIST</t>
  </si>
  <si>
    <t>TSTD</t>
  </si>
  <si>
    <t>ALMD</t>
  </si>
  <si>
    <t>TREE</t>
  </si>
  <si>
    <t>URBAN</t>
  </si>
  <si>
    <t>BRZ</t>
  </si>
  <si>
    <t>WALNUT</t>
  </si>
  <si>
    <t>WEATH</t>
  </si>
  <si>
    <t>WEDGEWD</t>
  </si>
  <si>
    <t>ESTD4</t>
  </si>
  <si>
    <t>HERITAGE</t>
  </si>
  <si>
    <t>MIDNIGHT</t>
  </si>
  <si>
    <t>SURF</t>
  </si>
  <si>
    <t>SILVER</t>
  </si>
  <si>
    <t>TOASTED</t>
  </si>
  <si>
    <t>ALMOND</t>
  </si>
  <si>
    <t>BRONZE</t>
  </si>
  <si>
    <t>WEATHERED</t>
  </si>
  <si>
    <t>WEDGEWOOD</t>
  </si>
  <si>
    <t>RESIDENT</t>
  </si>
  <si>
    <t>RED45D</t>
  </si>
  <si>
    <t>CYPRESS</t>
  </si>
  <si>
    <t>Resident</t>
  </si>
  <si>
    <t>FLAGSTNE</t>
  </si>
  <si>
    <t>HEATHER</t>
  </si>
  <si>
    <t>STERLING</t>
  </si>
  <si>
    <t>V</t>
  </si>
  <si>
    <t>CREAM</t>
  </si>
  <si>
    <t>TR</t>
  </si>
  <si>
    <t>RED45</t>
  </si>
  <si>
    <t>Brownstne</t>
  </si>
  <si>
    <t>FLAGSTONE</t>
  </si>
  <si>
    <t>Sterling</t>
  </si>
  <si>
    <t>VIN</t>
  </si>
  <si>
    <t>RED4</t>
  </si>
  <si>
    <t>T3</t>
  </si>
  <si>
    <t>RET3D</t>
  </si>
  <si>
    <t>PEBBLE</t>
  </si>
  <si>
    <t>VINTAGE</t>
  </si>
  <si>
    <t>Velux</t>
  </si>
  <si>
    <t>ZOZ-211</t>
  </si>
  <si>
    <t>Adh</t>
  </si>
  <si>
    <t>Skylight</t>
  </si>
  <si>
    <t>Underlay</t>
  </si>
  <si>
    <t>Edl-C04</t>
  </si>
  <si>
    <t>Step</t>
  </si>
  <si>
    <t>Edl-M08-0000B</t>
  </si>
  <si>
    <t>&amp;M02/M04/M06</t>
  </si>
  <si>
    <t>FL</t>
  </si>
  <si>
    <t>Edl-S06-0000B</t>
  </si>
  <si>
    <t>&amp;S01</t>
  </si>
  <si>
    <t>ECL-2246-0000B</t>
  </si>
  <si>
    <t>2222/2230/2234</t>
  </si>
  <si>
    <t>VELUX</t>
  </si>
  <si>
    <t>ECL-4646-0000B</t>
  </si>
  <si>
    <t>CURB</t>
  </si>
  <si>
    <t>Ecl-3046-0000B</t>
  </si>
  <si>
    <t>&amp;3030</t>
  </si>
  <si>
    <t>Tmf-014-0000</t>
  </si>
  <si>
    <t>Flex</t>
  </si>
  <si>
    <t>TMR-014-0000</t>
  </si>
  <si>
    <t>Rig</t>
  </si>
  <si>
    <t>Sun</t>
  </si>
  <si>
    <t>Tunnl</t>
  </si>
  <si>
    <t>Edl-C06-0000B</t>
  </si>
  <si>
    <t>&amp;C01/CO4</t>
  </si>
  <si>
    <t>Fcm-1446-0005</t>
  </si>
  <si>
    <t>Fxd</t>
  </si>
  <si>
    <t>Temp/Alum</t>
  </si>
  <si>
    <t>Fcm-2234-0004</t>
  </si>
  <si>
    <t>Lam/Alum</t>
  </si>
  <si>
    <t>FCM-2246-0004</t>
  </si>
  <si>
    <t>FXD</t>
  </si>
  <si>
    <t>LAM/ALUM</t>
  </si>
  <si>
    <t>Fcm-2270-0004</t>
  </si>
  <si>
    <t>FCM-3030-0004</t>
  </si>
  <si>
    <t>Fcm-3046-0004</t>
  </si>
  <si>
    <t>FCM-3434-0004</t>
  </si>
  <si>
    <t>FCM-4646-0004</t>
  </si>
  <si>
    <t>FS-C01-2004</t>
  </si>
  <si>
    <t>DM</t>
  </si>
  <si>
    <t>FS-C06-2004</t>
  </si>
  <si>
    <t>FS-D06-2004</t>
  </si>
  <si>
    <t>FS-M04-2004</t>
  </si>
  <si>
    <t>FS-M06-2004</t>
  </si>
  <si>
    <t>FS-M08-2004</t>
  </si>
  <si>
    <t>FS-S06-2004</t>
  </si>
  <si>
    <t>Vcm-3030-2004</t>
  </si>
  <si>
    <t>VS-M08-2004</t>
  </si>
  <si>
    <t>Edl-D06-0000B</t>
  </si>
  <si>
    <t>&amp;D26</t>
  </si>
  <si>
    <t>ZZZ-199-4646</t>
  </si>
  <si>
    <t>ACCESORY</t>
  </si>
  <si>
    <t>TRAY</t>
  </si>
  <si>
    <t>Ekl-M00-6001</t>
  </si>
  <si>
    <t>Combi</t>
  </si>
  <si>
    <t>Ekl-M00-6002</t>
  </si>
  <si>
    <t>Ekl-M00-6003</t>
  </si>
  <si>
    <t>Fcm-1430-0004</t>
  </si>
  <si>
    <t>ECW-2246-0</t>
  </si>
  <si>
    <t>&amp;2222/2230/2234</t>
  </si>
  <si>
    <t>Edl-C08-0000B</t>
  </si>
  <si>
    <t>Vss-M08-2004</t>
  </si>
  <si>
    <t>Solar</t>
  </si>
  <si>
    <t>Vented</t>
  </si>
  <si>
    <t>VCS-4646-2004</t>
  </si>
  <si>
    <t>SOLAR</t>
  </si>
  <si>
    <t>ZTR-014-0012D</t>
  </si>
  <si>
    <t>EXTENSION</t>
  </si>
  <si>
    <t>Ztf-014-0012</t>
  </si>
  <si>
    <t>Tunnel</t>
  </si>
  <si>
    <t>FCM-4646-0030B</t>
  </si>
  <si>
    <t>Temp/Triple</t>
  </si>
  <si>
    <t>FCM-2246-0029</t>
  </si>
  <si>
    <t>LAM/TRIPLE</t>
  </si>
  <si>
    <t>FCM-4646-0029</t>
  </si>
  <si>
    <t>Lam/Triple</t>
  </si>
  <si>
    <t>FS-M06-0004</t>
  </si>
  <si>
    <t>Stain</t>
  </si>
  <si>
    <t>Grade</t>
  </si>
  <si>
    <t>KIX-300</t>
  </si>
  <si>
    <t>ACTIVE</t>
  </si>
  <si>
    <t>CLIMATE</t>
  </si>
  <si>
    <t>KIT</t>
  </si>
  <si>
    <t>ZTC-014-0051US</t>
  </si>
  <si>
    <t>14"</t>
  </si>
  <si>
    <t>Energy</t>
  </si>
  <si>
    <t>FS-C04-i89</t>
  </si>
  <si>
    <t>Deck</t>
  </si>
  <si>
    <t>Mount</t>
  </si>
  <si>
    <t>FS-S06-2089D</t>
  </si>
  <si>
    <t>i89/Alum</t>
  </si>
  <si>
    <t>VSE-C04-I89</t>
  </si>
  <si>
    <t>VSS-C06-2089E</t>
  </si>
  <si>
    <t>Fslc-2246-1016</t>
  </si>
  <si>
    <t>Pleated</t>
  </si>
  <si>
    <t>Blind</t>
  </si>
  <si>
    <t>FSCC-4646-1045SWL</t>
  </si>
  <si>
    <t>FS-C06-2089D</t>
  </si>
  <si>
    <t>MOUNT</t>
  </si>
  <si>
    <t>FIXED</t>
  </si>
  <si>
    <t>GRAYNE</t>
  </si>
  <si>
    <t>7.5"</t>
  </si>
  <si>
    <t>PLSAWN</t>
  </si>
  <si>
    <t>SHINGLE</t>
  </si>
  <si>
    <t>TUSC</t>
  </si>
  <si>
    <t>GLD</t>
  </si>
  <si>
    <t>CREST</t>
  </si>
  <si>
    <t>RC8</t>
  </si>
  <si>
    <t>WOODLD</t>
  </si>
  <si>
    <t>D45</t>
  </si>
  <si>
    <t>RWD45D12</t>
  </si>
  <si>
    <t>WOODLAND</t>
  </si>
  <si>
    <t>B&amp;B</t>
  </si>
  <si>
    <t>RWBB</t>
  </si>
  <si>
    <t>Woodland</t>
  </si>
  <si>
    <t>Rwbb</t>
  </si>
  <si>
    <t>16'4"</t>
  </si>
  <si>
    <t>RWD45</t>
  </si>
  <si>
    <t>Chalk</t>
  </si>
  <si>
    <t>8OZ</t>
  </si>
  <si>
    <t>#64901</t>
  </si>
  <si>
    <t>Reel</t>
  </si>
  <si>
    <t>100'Speedline</t>
  </si>
  <si>
    <t>#64310</t>
  </si>
  <si>
    <t>CHALK</t>
  </si>
  <si>
    <t>REEL</t>
  </si>
  <si>
    <t>100'</t>
  </si>
  <si>
    <t>W/4OZ</t>
  </si>
  <si>
    <t>#64494</t>
  </si>
  <si>
    <t>CDR</t>
  </si>
  <si>
    <t>RENDITIONS</t>
  </si>
  <si>
    <t>AMBERWD</t>
  </si>
  <si>
    <t>CHARWOOD</t>
  </si>
  <si>
    <t>Cdr</t>
  </si>
  <si>
    <t>Renditions</t>
  </si>
  <si>
    <t>SPANMOSS</t>
  </si>
  <si>
    <t>Smokewd</t>
  </si>
  <si>
    <t>TIMBERLN</t>
  </si>
  <si>
    <t>Rend</t>
  </si>
  <si>
    <t>Desgn</t>
  </si>
  <si>
    <t>Amberwd</t>
  </si>
  <si>
    <t>Charwood</t>
  </si>
  <si>
    <t>Allura</t>
  </si>
  <si>
    <t>Cedar</t>
  </si>
  <si>
    <t>Lap</t>
  </si>
  <si>
    <t>Urbane</t>
  </si>
  <si>
    <t>Bronze</t>
  </si>
  <si>
    <t>FUSION</t>
  </si>
  <si>
    <t>STONE</t>
  </si>
  <si>
    <t>SLOPE</t>
  </si>
  <si>
    <t>SILL</t>
  </si>
  <si>
    <t>GF</t>
  </si>
  <si>
    <t>Goodstyle</t>
  </si>
  <si>
    <t>Touch-Up</t>
  </si>
  <si>
    <t>1Liter</t>
  </si>
  <si>
    <t>Dusty</t>
  </si>
  <si>
    <t>Trail</t>
  </si>
  <si>
    <t>HARDIE</t>
  </si>
  <si>
    <t>TOUCH-UP</t>
  </si>
  <si>
    <t>4LITER</t>
  </si>
  <si>
    <t>PEWT</t>
  </si>
  <si>
    <t>AUTUMN</t>
  </si>
  <si>
    <t>TN</t>
  </si>
  <si>
    <t>ARC</t>
  </si>
  <si>
    <t>BOOTHBLUE</t>
  </si>
  <si>
    <t>CHEST</t>
  </si>
  <si>
    <t>COUNT</t>
  </si>
  <si>
    <t>DP</t>
  </si>
  <si>
    <t>EVEN</t>
  </si>
  <si>
    <t>HEAT</t>
  </si>
  <si>
    <t>IRON</t>
  </si>
  <si>
    <t>LT</t>
  </si>
  <si>
    <t>MNT</t>
  </si>
  <si>
    <t>MONT</t>
  </si>
  <si>
    <t>TAUP</t>
  </si>
  <si>
    <t>NAV</t>
  </si>
  <si>
    <t>ESPR</t>
  </si>
  <si>
    <t>TIMBERBRK</t>
  </si>
  <si>
    <t>LP</t>
  </si>
  <si>
    <t>4Liter</t>
  </si>
  <si>
    <t>Snowscape</t>
  </si>
  <si>
    <t>ROYAL</t>
  </si>
  <si>
    <t>Sherwin</t>
  </si>
  <si>
    <t>Castle</t>
  </si>
  <si>
    <t>Rock</t>
  </si>
  <si>
    <t>Posh</t>
  </si>
  <si>
    <t>HZ5</t>
  </si>
  <si>
    <t>11.25X12</t>
  </si>
  <si>
    <t>Rustc</t>
  </si>
  <si>
    <t>Primed</t>
  </si>
  <si>
    <t>RUSTC</t>
  </si>
  <si>
    <t>BLKWTR</t>
  </si>
  <si>
    <t>COBBLES</t>
  </si>
  <si>
    <t>B</t>
  </si>
  <si>
    <t>MidBlck</t>
  </si>
  <si>
    <t>TA</t>
  </si>
  <si>
    <t>WDSTK</t>
  </si>
  <si>
    <t>3.5X12'</t>
  </si>
  <si>
    <t>GY</t>
  </si>
  <si>
    <t>5.5X12'</t>
  </si>
  <si>
    <t>7.25X12'</t>
  </si>
  <si>
    <t>9.25X12'</t>
  </si>
  <si>
    <t>Smth</t>
  </si>
  <si>
    <t>Artisan</t>
  </si>
  <si>
    <t>10.25X12'</t>
  </si>
  <si>
    <t>8.25X12'</t>
  </si>
  <si>
    <t>Prmd</t>
  </si>
  <si>
    <t>Batten</t>
  </si>
  <si>
    <t>Rustic</t>
  </si>
  <si>
    <t>2.5"X12'</t>
  </si>
  <si>
    <t>BATTEN</t>
  </si>
  <si>
    <t>RUSTIC</t>
  </si>
  <si>
    <t>ARCT</t>
  </si>
  <si>
    <t>SMOOTH</t>
  </si>
  <si>
    <t>PRIMED</t>
  </si>
  <si>
    <t>W</t>
  </si>
  <si>
    <t>EVE</t>
  </si>
  <si>
    <t>STAGG</t>
  </si>
  <si>
    <t>48"X15.25</t>
  </si>
  <si>
    <t>AGE</t>
  </si>
  <si>
    <t>PWT</t>
  </si>
  <si>
    <t>AUT</t>
  </si>
  <si>
    <t>BOOTHBY</t>
  </si>
  <si>
    <t>Shingle</t>
  </si>
  <si>
    <t>Stagg</t>
  </si>
  <si>
    <t>48"x15.25</t>
  </si>
  <si>
    <t>CntryRd</t>
  </si>
  <si>
    <t>COBBLST</t>
  </si>
  <si>
    <t>DeepOcn</t>
  </si>
  <si>
    <t>EV</t>
  </si>
  <si>
    <t>SL</t>
  </si>
  <si>
    <t>HeatMos</t>
  </si>
  <si>
    <t>LTMIST</t>
  </si>
  <si>
    <t>MT</t>
  </si>
  <si>
    <t>MONTERY</t>
  </si>
  <si>
    <t>Nt</t>
  </si>
  <si>
    <t>PrlGry</t>
  </si>
  <si>
    <t>RichEsp</t>
  </si>
  <si>
    <t>SanBeig</t>
  </si>
  <si>
    <t>BK</t>
  </si>
  <si>
    <t>WdstkBr</t>
  </si>
  <si>
    <t>STRGHT</t>
  </si>
  <si>
    <t>48X15.25</t>
  </si>
  <si>
    <t>PE</t>
  </si>
  <si>
    <t>BOOTHBA</t>
  </si>
  <si>
    <t>CNTRYLN</t>
  </si>
  <si>
    <t>DPOCN</t>
  </si>
  <si>
    <t>EVBLUE</t>
  </si>
  <si>
    <t>Strght</t>
  </si>
  <si>
    <t>Irn</t>
  </si>
  <si>
    <t>Khki</t>
  </si>
  <si>
    <t>BR</t>
  </si>
  <si>
    <t>Mtaupe</t>
  </si>
  <si>
    <t>Nav</t>
  </si>
  <si>
    <t>Bge</t>
  </si>
  <si>
    <t>PlatBei</t>
  </si>
  <si>
    <t>Pearlgy</t>
  </si>
  <si>
    <t>TradRed</t>
  </si>
  <si>
    <t>Woodstk</t>
  </si>
  <si>
    <t>Plank</t>
  </si>
  <si>
    <t>CM</t>
  </si>
  <si>
    <t>Artic</t>
  </si>
  <si>
    <t>Road</t>
  </si>
  <si>
    <t>PLANK</t>
  </si>
  <si>
    <t>WATER</t>
  </si>
  <si>
    <t>BLAZE</t>
  </si>
  <si>
    <t>COBBLE</t>
  </si>
  <si>
    <t>LIGHT</t>
  </si>
  <si>
    <t>Soot</t>
  </si>
  <si>
    <t>PANDA</t>
  </si>
  <si>
    <t>SM</t>
  </si>
  <si>
    <t>Steps</t>
  </si>
  <si>
    <t>NT3</t>
  </si>
  <si>
    <t>RS</t>
  </si>
  <si>
    <t>Wht</t>
  </si>
  <si>
    <t>WHTE</t>
  </si>
  <si>
    <t>PANDAG</t>
  </si>
  <si>
    <t>COBBLESTONE</t>
  </si>
  <si>
    <t>4.5X12'</t>
  </si>
  <si>
    <t>PANEL</t>
  </si>
  <si>
    <t>4X10</t>
  </si>
  <si>
    <t>4X8</t>
  </si>
  <si>
    <t>Panel</t>
  </si>
  <si>
    <t>Shou</t>
  </si>
  <si>
    <t>Sugi</t>
  </si>
  <si>
    <t>Ban</t>
  </si>
  <si>
    <t>Cobble</t>
  </si>
  <si>
    <t>Stone</t>
  </si>
  <si>
    <t>Smooth</t>
  </si>
  <si>
    <t>STUCCO</t>
  </si>
  <si>
    <t>Soff</t>
  </si>
  <si>
    <t>Ventd</t>
  </si>
  <si>
    <t>24"X8'</t>
  </si>
  <si>
    <t>HARDI</t>
  </si>
  <si>
    <t>CRNR</t>
  </si>
  <si>
    <t>TABS</t>
  </si>
  <si>
    <t>FLAT</t>
  </si>
  <si>
    <t>ExpFin</t>
  </si>
  <si>
    <t>16X192</t>
  </si>
  <si>
    <t>NGSE</t>
  </si>
  <si>
    <t>Prime</t>
  </si>
  <si>
    <t>NGSL</t>
  </si>
  <si>
    <t>Snw</t>
  </si>
  <si>
    <t>EXPFIN</t>
  </si>
  <si>
    <t>19/32</t>
  </si>
  <si>
    <t>3X16</t>
  </si>
  <si>
    <t>SnWht</t>
  </si>
  <si>
    <t>AbysBlk</t>
  </si>
  <si>
    <t>8X16</t>
  </si>
  <si>
    <t>Abyss</t>
  </si>
  <si>
    <t>AbBlk</t>
  </si>
  <si>
    <t>Timberland</t>
  </si>
  <si>
    <t>Suede</t>
  </si>
  <si>
    <t>Snowscpe</t>
  </si>
  <si>
    <t>Dune</t>
  </si>
  <si>
    <t>Terra</t>
  </si>
  <si>
    <t>Prairie</t>
  </si>
  <si>
    <t>Rapids</t>
  </si>
  <si>
    <t>Cavern</t>
  </si>
  <si>
    <t>Steel</t>
  </si>
  <si>
    <t>CvrnStl</t>
  </si>
  <si>
    <t>Harvst</t>
  </si>
  <si>
    <t>Honey</t>
  </si>
  <si>
    <t>GARDEN</t>
  </si>
  <si>
    <t>Midnght</t>
  </si>
  <si>
    <t>Shad</t>
  </si>
  <si>
    <t>Sh</t>
  </si>
  <si>
    <t>MidShad</t>
  </si>
  <si>
    <t>12X48</t>
  </si>
  <si>
    <t>Shk</t>
  </si>
  <si>
    <t>Hony</t>
  </si>
  <si>
    <t>SMARTSIDE</t>
  </si>
  <si>
    <t>SHK</t>
  </si>
  <si>
    <t>Smartside</t>
  </si>
  <si>
    <t>3/8X12"</t>
  </si>
  <si>
    <t>Prim</t>
  </si>
  <si>
    <t>3/8X8"X12'</t>
  </si>
  <si>
    <t>NO</t>
  </si>
  <si>
    <t>GRV</t>
  </si>
  <si>
    <t>8"OC</t>
  </si>
  <si>
    <t>PRIM</t>
  </si>
  <si>
    <t>Lux</t>
  </si>
  <si>
    <t>9.5"</t>
  </si>
  <si>
    <t>RP10</t>
  </si>
  <si>
    <t>Knot</t>
  </si>
  <si>
    <t>13'</t>
  </si>
  <si>
    <t>3.5"</t>
  </si>
  <si>
    <t>RP4</t>
  </si>
  <si>
    <t>5.5"</t>
  </si>
  <si>
    <t>RP6</t>
  </si>
  <si>
    <t>Sheet</t>
  </si>
  <si>
    <t>x</t>
  </si>
  <si>
    <t>Classic</t>
  </si>
  <si>
    <t>Cherry</t>
  </si>
  <si>
    <t>Knotty</t>
  </si>
  <si>
    <t>LUXLAP</t>
  </si>
  <si>
    <t>Clas</t>
  </si>
  <si>
    <t>Dark</t>
  </si>
  <si>
    <t>Fir</t>
  </si>
  <si>
    <t>Des</t>
  </si>
  <si>
    <t>Kona</t>
  </si>
  <si>
    <t>Silver</t>
  </si>
  <si>
    <t>Metallic</t>
  </si>
  <si>
    <t>Textured</t>
  </si>
  <si>
    <t>Ebony</t>
  </si>
  <si>
    <t>Fawn</t>
  </si>
  <si>
    <t>Heartwood</t>
  </si>
  <si>
    <t>Pecan</t>
  </si>
  <si>
    <t>Coffee</t>
  </si>
  <si>
    <t>Ced'R</t>
  </si>
  <si>
    <t>Vue</t>
  </si>
  <si>
    <t>Cliffsi</t>
  </si>
  <si>
    <t>Blu</t>
  </si>
  <si>
    <t>Fox</t>
  </si>
  <si>
    <t>Scandinave</t>
  </si>
  <si>
    <t>Timberwolf</t>
  </si>
  <si>
    <t>Ridgewood</t>
  </si>
  <si>
    <t>D5</t>
  </si>
  <si>
    <t>Cliffside</t>
  </si>
  <si>
    <t>VStyle</t>
  </si>
  <si>
    <t>FOUNDRY</t>
  </si>
  <si>
    <t>J</t>
  </si>
  <si>
    <t>CHAN</t>
  </si>
  <si>
    <t>#123</t>
  </si>
  <si>
    <t>#179</t>
  </si>
  <si>
    <t>#180</t>
  </si>
  <si>
    <t>#210</t>
  </si>
  <si>
    <t>#235</t>
  </si>
  <si>
    <t>#258</t>
  </si>
  <si>
    <t>#278</t>
  </si>
  <si>
    <t>Foundry</t>
  </si>
  <si>
    <t>Chan</t>
  </si>
  <si>
    <t>#717</t>
  </si>
  <si>
    <t>Hand</t>
  </si>
  <si>
    <t>Split</t>
  </si>
  <si>
    <t>#008</t>
  </si>
  <si>
    <t>HAND</t>
  </si>
  <si>
    <t>SPLIT</t>
  </si>
  <si>
    <t>#017</t>
  </si>
  <si>
    <t>#034</t>
  </si>
  <si>
    <t>#048</t>
  </si>
  <si>
    <t>#049</t>
  </si>
  <si>
    <t>#069</t>
  </si>
  <si>
    <t>#152</t>
  </si>
  <si>
    <t>#202</t>
  </si>
  <si>
    <t>#230</t>
  </si>
  <si>
    <t>#241</t>
  </si>
  <si>
    <t>#242</t>
  </si>
  <si>
    <t>#246</t>
  </si>
  <si>
    <t>#248</t>
  </si>
  <si>
    <t>#276</t>
  </si>
  <si>
    <t>#515</t>
  </si>
  <si>
    <t>#528</t>
  </si>
  <si>
    <t>#612</t>
  </si>
  <si>
    <t>#692</t>
  </si>
  <si>
    <t>#804</t>
  </si>
  <si>
    <t>#806</t>
  </si>
  <si>
    <t>#808</t>
  </si>
  <si>
    <t>#809</t>
  </si>
  <si>
    <t>#820</t>
  </si>
  <si>
    <t>#821</t>
  </si>
  <si>
    <t>#822</t>
  </si>
  <si>
    <t>#823</t>
  </si>
  <si>
    <t>#825</t>
  </si>
  <si>
    <t>#826</t>
  </si>
  <si>
    <t>#827</t>
  </si>
  <si>
    <t>#828</t>
  </si>
  <si>
    <t>#830</t>
  </si>
  <si>
    <t>#832</t>
  </si>
  <si>
    <t>#833</t>
  </si>
  <si>
    <t>#834</t>
  </si>
  <si>
    <t>#835</t>
  </si>
  <si>
    <t>#888</t>
  </si>
  <si>
    <t>#889</t>
  </si>
  <si>
    <t>#890</t>
  </si>
  <si>
    <t>#891</t>
  </si>
  <si>
    <t>#116</t>
  </si>
  <si>
    <t>SEASHELL</t>
  </si>
  <si>
    <t>PINT</t>
  </si>
  <si>
    <t>BLU</t>
  </si>
  <si>
    <t>CHESTNT</t>
  </si>
  <si>
    <t>HEATHR</t>
  </si>
  <si>
    <t>Hardi</t>
  </si>
  <si>
    <t>Touch-UP</t>
  </si>
  <si>
    <t>Pint</t>
  </si>
  <si>
    <t>Bk</t>
  </si>
  <si>
    <t>MOUNTN</t>
  </si>
  <si>
    <t>BGE</t>
  </si>
  <si>
    <t>ESPRES</t>
  </si>
  <si>
    <t>TRAD</t>
  </si>
  <si>
    <t>WOODSTK</t>
  </si>
  <si>
    <t>Versetta</t>
  </si>
  <si>
    <t>Ledgestn</t>
  </si>
  <si>
    <t>Crnr</t>
  </si>
  <si>
    <t>4SF</t>
  </si>
  <si>
    <t>VERSETTA</t>
  </si>
  <si>
    <t>LEDGESTN</t>
  </si>
  <si>
    <t>MISSION</t>
  </si>
  <si>
    <t>Graphite</t>
  </si>
  <si>
    <t>Ledge</t>
  </si>
  <si>
    <t>Ucrn</t>
  </si>
  <si>
    <t>4SF/BX</t>
  </si>
  <si>
    <t>NRTH</t>
  </si>
  <si>
    <t>ASH</t>
  </si>
  <si>
    <t>Nrth</t>
  </si>
  <si>
    <t>CARVD</t>
  </si>
  <si>
    <t>MIDNGHT</t>
  </si>
  <si>
    <t>SEASALT</t>
  </si>
  <si>
    <t>RECEPTACLE</t>
  </si>
  <si>
    <t>BOX</t>
  </si>
  <si>
    <t>WAINSCOT</t>
  </si>
  <si>
    <t>TER</t>
  </si>
  <si>
    <t>ROSA</t>
  </si>
  <si>
    <t>PLUM</t>
  </si>
  <si>
    <t>CRK</t>
  </si>
  <si>
    <t>METAL</t>
  </si>
  <si>
    <t>BRACKET</t>
  </si>
  <si>
    <t>50/CTN</t>
  </si>
  <si>
    <t>QSP</t>
  </si>
  <si>
    <t>BLEND</t>
  </si>
  <si>
    <t>COVER</t>
  </si>
  <si>
    <t>LIMESTONE</t>
  </si>
  <si>
    <t>LEDGESTONE</t>
  </si>
  <si>
    <t>OCP</t>
  </si>
  <si>
    <t>LEFT</t>
  </si>
  <si>
    <t>RIGHT</t>
  </si>
  <si>
    <t>BLND</t>
  </si>
  <si>
    <t>LONG</t>
  </si>
  <si>
    <t>BLD</t>
  </si>
  <si>
    <t>GYBLD</t>
  </si>
  <si>
    <t>GYBRN</t>
  </si>
  <si>
    <t>LTBRN</t>
  </si>
  <si>
    <t>LEDGE</t>
  </si>
  <si>
    <t>STN</t>
  </si>
  <si>
    <t>PLUG</t>
  </si>
  <si>
    <t>RIDGESTONE</t>
  </si>
  <si>
    <t>STACK</t>
  </si>
  <si>
    <t>PILLAR</t>
  </si>
  <si>
    <t>BLKBLND</t>
  </si>
  <si>
    <t>48"</t>
  </si>
  <si>
    <t>STACKED</t>
  </si>
  <si>
    <t>RUST</t>
  </si>
  <si>
    <t>TOUCH</t>
  </si>
  <si>
    <t>UP</t>
  </si>
  <si>
    <t>4BOT</t>
  </si>
  <si>
    <t>D7</t>
  </si>
  <si>
    <t>SHNGL</t>
  </si>
  <si>
    <t>YLW</t>
  </si>
  <si>
    <t>BIRCH</t>
  </si>
  <si>
    <t>D7CEDAR</t>
  </si>
  <si>
    <t>S7</t>
  </si>
  <si>
    <t>CED</t>
  </si>
  <si>
    <t>SHNG</t>
  </si>
  <si>
    <t>S7CEDAR</t>
  </si>
  <si>
    <t>BROWNSTNE</t>
  </si>
  <si>
    <t>WALNT</t>
  </si>
  <si>
    <t>Ced</t>
  </si>
  <si>
    <t>Shng</t>
  </si>
  <si>
    <t>Cottonwd</t>
  </si>
  <si>
    <t>HER</t>
  </si>
  <si>
    <t>HAR</t>
  </si>
  <si>
    <t>MTN</t>
  </si>
  <si>
    <t>MARN</t>
  </si>
  <si>
    <t>MIDN</t>
  </si>
  <si>
    <t>RSTC</t>
  </si>
  <si>
    <t>Riverway</t>
  </si>
  <si>
    <t>Silvr</t>
  </si>
  <si>
    <t>Mst</t>
  </si>
  <si>
    <t>SFT</t>
  </si>
  <si>
    <t>MAPLE</t>
  </si>
  <si>
    <t>STONEHEDG</t>
  </si>
  <si>
    <t>SDNA</t>
  </si>
  <si>
    <t>SHAD</t>
  </si>
  <si>
    <t>TOAST</t>
  </si>
  <si>
    <t>ALM</t>
  </si>
  <si>
    <t>Tree</t>
  </si>
  <si>
    <t>Urban</t>
  </si>
  <si>
    <t>Brz</t>
  </si>
  <si>
    <t>WEATHR</t>
  </si>
  <si>
    <t>Sagiper</t>
  </si>
  <si>
    <t>Sagirev</t>
  </si>
  <si>
    <t>H-Mld</t>
  </si>
  <si>
    <t>Cp</t>
  </si>
  <si>
    <t>Caramel</t>
  </si>
  <si>
    <t>Cherr</t>
  </si>
  <si>
    <t>BrazRed</t>
  </si>
  <si>
    <t>J-Mld</t>
  </si>
  <si>
    <t>Monument</t>
  </si>
  <si>
    <t>Sagiwall</t>
  </si>
  <si>
    <t>Ceda</t>
  </si>
  <si>
    <t>Espres</t>
  </si>
  <si>
    <t>Blkw</t>
  </si>
  <si>
    <t>O/C</t>
  </si>
  <si>
    <t>Choc</t>
  </si>
  <si>
    <t>Blckw</t>
  </si>
  <si>
    <t>Espr</t>
  </si>
  <si>
    <t>Caraml</t>
  </si>
  <si>
    <t>Zeb</t>
  </si>
  <si>
    <t>Titan</t>
  </si>
  <si>
    <t>Coal</t>
  </si>
  <si>
    <t>Map</t>
  </si>
  <si>
    <t>Mountn</t>
  </si>
  <si>
    <t>Monum</t>
  </si>
  <si>
    <t>Rust</t>
  </si>
  <si>
    <t>Stockholm</t>
  </si>
  <si>
    <t>Term</t>
  </si>
  <si>
    <t>SAGIPER</t>
  </si>
  <si>
    <t>SAGIWALL</t>
  </si>
  <si>
    <t>19'</t>
  </si>
  <si>
    <t>Monumen</t>
  </si>
  <si>
    <t>6"X12'</t>
  </si>
  <si>
    <t>DesOak</t>
  </si>
  <si>
    <t>SfChry</t>
  </si>
  <si>
    <t>KNT</t>
  </si>
  <si>
    <t>MPL</t>
  </si>
  <si>
    <t>Alum</t>
  </si>
  <si>
    <t>H-Mold</t>
  </si>
  <si>
    <t>Cho</t>
  </si>
  <si>
    <t>Blw</t>
  </si>
  <si>
    <t>Esp</t>
  </si>
  <si>
    <t>Car</t>
  </si>
  <si>
    <t>CherZbr</t>
  </si>
  <si>
    <t>Titn</t>
  </si>
  <si>
    <t>Cw</t>
  </si>
  <si>
    <t>Wal</t>
  </si>
  <si>
    <t>Knt</t>
  </si>
  <si>
    <t>Mpl</t>
  </si>
  <si>
    <t>ChstBkw</t>
  </si>
  <si>
    <t>Mtn</t>
  </si>
  <si>
    <t>Mon</t>
  </si>
  <si>
    <t>Rus</t>
  </si>
  <si>
    <t>Che</t>
  </si>
  <si>
    <t>Ok</t>
  </si>
  <si>
    <t>Cop</t>
  </si>
  <si>
    <t>Bw</t>
  </si>
  <si>
    <t>Ttn</t>
  </si>
  <si>
    <t>Cd</t>
  </si>
  <si>
    <t>Ma</t>
  </si>
  <si>
    <t>CopOak</t>
  </si>
  <si>
    <t>Outside</t>
  </si>
  <si>
    <t>Corner</t>
  </si>
  <si>
    <t>TCw</t>
  </si>
  <si>
    <t>WCd</t>
  </si>
  <si>
    <t>Monu</t>
  </si>
  <si>
    <t>Aluminum</t>
  </si>
  <si>
    <t>J-Mold</t>
  </si>
  <si>
    <t>V-Grv</t>
  </si>
  <si>
    <t>ChocBlkw</t>
  </si>
  <si>
    <t>Zebr</t>
  </si>
  <si>
    <t>Cher</t>
  </si>
  <si>
    <t>Tit</t>
  </si>
  <si>
    <t>Chestnt</t>
  </si>
  <si>
    <t>Blkwd</t>
  </si>
  <si>
    <t>Dsrt</t>
  </si>
  <si>
    <t>Met</t>
  </si>
  <si>
    <t>DSRT</t>
  </si>
  <si>
    <t>OAK</t>
  </si>
  <si>
    <t>Woodtone</t>
  </si>
  <si>
    <t>RusticSeries</t>
  </si>
  <si>
    <t>SHAKERTOWN</t>
  </si>
  <si>
    <t>OSC</t>
  </si>
  <si>
    <t>DES</t>
  </si>
  <si>
    <t>20'</t>
  </si>
  <si>
    <t>DES078OCP</t>
  </si>
  <si>
    <t>CLY</t>
  </si>
  <si>
    <t>WIN</t>
  </si>
  <si>
    <t>CAS</t>
  </si>
  <si>
    <t>DWC312078</t>
  </si>
  <si>
    <t>DESIGN</t>
  </si>
  <si>
    <t>5TT2</t>
  </si>
  <si>
    <t>3.5"/5"</t>
  </si>
  <si>
    <t>SSDWC</t>
  </si>
  <si>
    <t>FINISH</t>
  </si>
  <si>
    <t>MFT</t>
  </si>
  <si>
    <t>BRNZE</t>
  </si>
  <si>
    <t>Haven</t>
  </si>
  <si>
    <t>Jchan</t>
  </si>
  <si>
    <t>HAV118JC</t>
  </si>
  <si>
    <t>3.25"Ocp</t>
  </si>
  <si>
    <t>HAV314MOP</t>
  </si>
  <si>
    <t>Strip</t>
  </si>
  <si>
    <t>HAVSS01</t>
  </si>
  <si>
    <t>Window</t>
  </si>
  <si>
    <t>HAVWSS</t>
  </si>
  <si>
    <t>J-Chan</t>
  </si>
  <si>
    <t>1141MJC</t>
  </si>
  <si>
    <t>J-CHAN</t>
  </si>
  <si>
    <t>0341MJC</t>
  </si>
  <si>
    <t>SLTE</t>
  </si>
  <si>
    <t>SOFT</t>
  </si>
  <si>
    <t>WEATHERD</t>
  </si>
  <si>
    <t>MAT</t>
  </si>
  <si>
    <t>034MOP</t>
  </si>
  <si>
    <t>ROCKSLDE</t>
  </si>
  <si>
    <t>Vinyl</t>
  </si>
  <si>
    <t>SS01</t>
  </si>
  <si>
    <t>Cement</t>
  </si>
  <si>
    <t>JK</t>
  </si>
  <si>
    <t>Prem.10OZ</t>
  </si>
  <si>
    <t>#2172</t>
  </si>
  <si>
    <t>Easytrim</t>
  </si>
  <si>
    <t>EZ12</t>
  </si>
  <si>
    <t>Clear</t>
  </si>
  <si>
    <t>Anodized</t>
  </si>
  <si>
    <t>EasyTrim</t>
  </si>
  <si>
    <t>EZ24</t>
  </si>
  <si>
    <t>2Pc</t>
  </si>
  <si>
    <t>Vert</t>
  </si>
  <si>
    <t>EZ62</t>
  </si>
  <si>
    <t>O/S</t>
  </si>
  <si>
    <t>EZ63</t>
  </si>
  <si>
    <t>I/S</t>
  </si>
  <si>
    <t>EZ64</t>
  </si>
  <si>
    <t>Horizontal</t>
  </si>
  <si>
    <t>EZ68</t>
  </si>
  <si>
    <t>Gen</t>
  </si>
  <si>
    <t>EASYTRIM</t>
  </si>
  <si>
    <t>EZ7</t>
  </si>
  <si>
    <t>2PC</t>
  </si>
  <si>
    <t>VERT</t>
  </si>
  <si>
    <t>UPNL</t>
  </si>
  <si>
    <t>Upnl</t>
  </si>
  <si>
    <t>Arctc</t>
  </si>
  <si>
    <t>Anod</t>
  </si>
  <si>
    <t>Cobblstn</t>
  </si>
  <si>
    <t>UPnl</t>
  </si>
  <si>
    <t>Custom</t>
  </si>
  <si>
    <t>Stock</t>
  </si>
  <si>
    <t>EZ80</t>
  </si>
  <si>
    <t>LAP</t>
  </si>
  <si>
    <t>J-Trim</t>
  </si>
  <si>
    <t>Silv</t>
  </si>
  <si>
    <t>Warm</t>
  </si>
  <si>
    <t>EZ83</t>
  </si>
  <si>
    <t>EZ84</t>
  </si>
  <si>
    <t>An</t>
  </si>
  <si>
    <t>EZ85</t>
  </si>
  <si>
    <t>F07B</t>
  </si>
  <si>
    <t>U</t>
  </si>
  <si>
    <t>F07T</t>
  </si>
  <si>
    <t>F11T</t>
  </si>
  <si>
    <t>channel</t>
  </si>
  <si>
    <t>Channel</t>
  </si>
  <si>
    <t>Universal</t>
  </si>
  <si>
    <t>EZ10</t>
  </si>
  <si>
    <t>Hrz</t>
  </si>
  <si>
    <t>B-Bse</t>
  </si>
  <si>
    <t>Trm</t>
  </si>
  <si>
    <t>Ano</t>
  </si>
  <si>
    <t>HRZ</t>
  </si>
  <si>
    <t>B-BSE</t>
  </si>
  <si>
    <t>TRM</t>
  </si>
  <si>
    <t>EZ11</t>
  </si>
  <si>
    <t>TO</t>
  </si>
  <si>
    <t>TC</t>
  </si>
  <si>
    <t>BlkAn</t>
  </si>
  <si>
    <t>Arct</t>
  </si>
  <si>
    <t>Pac</t>
  </si>
  <si>
    <t>EZ13</t>
  </si>
  <si>
    <t>Arrow</t>
  </si>
  <si>
    <t>Osc</t>
  </si>
  <si>
    <t>ARROW</t>
  </si>
  <si>
    <t>EZ14</t>
  </si>
  <si>
    <t>Arc</t>
  </si>
  <si>
    <t>EZ15</t>
  </si>
  <si>
    <t>Adj</t>
  </si>
  <si>
    <t>EZ16</t>
  </si>
  <si>
    <t>Transtn</t>
  </si>
  <si>
    <t>Pewtr</t>
  </si>
  <si>
    <t>EZ17</t>
  </si>
  <si>
    <t>Clr</t>
  </si>
  <si>
    <t>EZ18</t>
  </si>
  <si>
    <t>I/s</t>
  </si>
  <si>
    <t>EZ19</t>
  </si>
  <si>
    <t>Sill</t>
  </si>
  <si>
    <t>BlkAnod</t>
  </si>
  <si>
    <t>EZ20</t>
  </si>
  <si>
    <t>2P</t>
  </si>
  <si>
    <t>TERM</t>
  </si>
  <si>
    <t>FT</t>
  </si>
  <si>
    <t>PRIMD</t>
  </si>
  <si>
    <t>Custm</t>
  </si>
  <si>
    <t>EZ21</t>
  </si>
  <si>
    <t>F</t>
  </si>
  <si>
    <t>EZ22</t>
  </si>
  <si>
    <t>Horz</t>
  </si>
  <si>
    <t>EZ23</t>
  </si>
  <si>
    <t>EZ26</t>
  </si>
  <si>
    <t>Sof</t>
  </si>
  <si>
    <t>EZ31</t>
  </si>
  <si>
    <t>1PC</t>
  </si>
  <si>
    <t>EZ33</t>
  </si>
  <si>
    <t>EZ34</t>
  </si>
  <si>
    <t>EZ36</t>
  </si>
  <si>
    <t>BlkAno</t>
  </si>
  <si>
    <t>EZ38</t>
  </si>
  <si>
    <t>EZ3</t>
  </si>
  <si>
    <t>EZ40</t>
  </si>
  <si>
    <t>EZ48</t>
  </si>
  <si>
    <t>Z-Lap</t>
  </si>
  <si>
    <t>EZ1</t>
  </si>
  <si>
    <t>EZ2</t>
  </si>
  <si>
    <t>CORNER</t>
  </si>
  <si>
    <t>EZ4</t>
  </si>
  <si>
    <t>Z</t>
  </si>
  <si>
    <t>GEN</t>
  </si>
  <si>
    <t>EZ5</t>
  </si>
  <si>
    <t>HORIZONTAL</t>
  </si>
  <si>
    <t>ArWht</t>
  </si>
  <si>
    <t>IrnGy</t>
  </si>
  <si>
    <t>GySlt</t>
  </si>
  <si>
    <t>EZ60</t>
  </si>
  <si>
    <t>Perf</t>
  </si>
  <si>
    <t>EZ8</t>
  </si>
  <si>
    <t>General</t>
  </si>
  <si>
    <t>EZ9</t>
  </si>
  <si>
    <t>SOFFIT</t>
  </si>
  <si>
    <t>Anodiz</t>
  </si>
  <si>
    <t>F06B</t>
  </si>
  <si>
    <t>Reveal</t>
  </si>
  <si>
    <t>TRIMET</t>
  </si>
  <si>
    <t>BASEMENT</t>
  </si>
  <si>
    <t>BROWNST</t>
  </si>
  <si>
    <t>CHARCOL</t>
  </si>
  <si>
    <t>CASHMER</t>
  </si>
  <si>
    <t>CHOCOLA</t>
  </si>
  <si>
    <t>HARVSLT</t>
  </si>
  <si>
    <t>Trimet</t>
  </si>
  <si>
    <t>Basement</t>
  </si>
  <si>
    <t>REV</t>
  </si>
  <si>
    <t>Perimeter</t>
  </si>
  <si>
    <t>Ambrwd</t>
  </si>
  <si>
    <t>1358S</t>
  </si>
  <si>
    <t>CedBrk</t>
  </si>
  <si>
    <t>Charwd</t>
  </si>
  <si>
    <t>#13545</t>
  </si>
  <si>
    <t>REND</t>
  </si>
  <si>
    <t>J-TRIM</t>
  </si>
  <si>
    <t>AMBWD</t>
  </si>
  <si>
    <t>CDBRK</t>
  </si>
  <si>
    <t>Cobblestn</t>
  </si>
  <si>
    <t>CHRWD</t>
  </si>
  <si>
    <t>RVRWD</t>
  </si>
  <si>
    <t>SPAMS</t>
  </si>
  <si>
    <t>Smkwd</t>
  </si>
  <si>
    <t>Sycmr</t>
  </si>
  <si>
    <t>Tmbln</t>
  </si>
  <si>
    <t>Uni</t>
  </si>
  <si>
    <t>CELECT</t>
  </si>
  <si>
    <t>2"FACE</t>
  </si>
  <si>
    <t>SHALE</t>
  </si>
  <si>
    <t>#1352</t>
  </si>
  <si>
    <t>5/8"</t>
  </si>
  <si>
    <t>Chrwd</t>
  </si>
  <si>
    <t>GRYOK</t>
  </si>
  <si>
    <t>Timbr</t>
  </si>
  <si>
    <t>Large</t>
  </si>
  <si>
    <t>#13546R</t>
  </si>
  <si>
    <t>Brownston</t>
  </si>
  <si>
    <t>Slat</t>
  </si>
  <si>
    <t>L-Trim</t>
  </si>
  <si>
    <t>#13495</t>
  </si>
  <si>
    <t>Commercial</t>
  </si>
  <si>
    <t>#912701</t>
  </si>
  <si>
    <t>#13547</t>
  </si>
  <si>
    <t>L-TRIM</t>
  </si>
  <si>
    <t>Norske</t>
  </si>
  <si>
    <t>6-1/2"</t>
  </si>
  <si>
    <t>40T</t>
  </si>
  <si>
    <t>Thin</t>
  </si>
  <si>
    <t>Ke</t>
  </si>
  <si>
    <t>#NCSBT008</t>
  </si>
  <si>
    <t>5-3/8"</t>
  </si>
  <si>
    <t>50T</t>
  </si>
  <si>
    <t>Mtl</t>
  </si>
  <si>
    <t>#NCSBP208</t>
  </si>
  <si>
    <t>48T</t>
  </si>
  <si>
    <t>#NCSBP210</t>
  </si>
  <si>
    <t>7-1/4"</t>
  </si>
  <si>
    <t>#NCSBP212</t>
  </si>
  <si>
    <t>72T</t>
  </si>
  <si>
    <t>Blade</t>
  </si>
  <si>
    <t>#NCSBP216</t>
  </si>
  <si>
    <t>80T</t>
  </si>
  <si>
    <t>#NCSBP218</t>
  </si>
  <si>
    <t>Cmp</t>
  </si>
  <si>
    <t>Dk</t>
  </si>
  <si>
    <t>NCSBP226</t>
  </si>
  <si>
    <t>64T</t>
  </si>
  <si>
    <t>NCSBP228</t>
  </si>
  <si>
    <t>60T</t>
  </si>
  <si>
    <t>Mitr</t>
  </si>
  <si>
    <t>#NCSBP253</t>
  </si>
  <si>
    <t>100T</t>
  </si>
  <si>
    <t>Miter</t>
  </si>
  <si>
    <t>#NCSBP257</t>
  </si>
  <si>
    <t>#NCSBP259</t>
  </si>
  <si>
    <t>Fiber</t>
  </si>
  <si>
    <t>6.5"</t>
  </si>
  <si>
    <t>Poly</t>
  </si>
  <si>
    <t>Diamd</t>
  </si>
  <si>
    <t>NCSBP282</t>
  </si>
  <si>
    <t>NCSBP283</t>
  </si>
  <si>
    <t>NCSBP284</t>
  </si>
  <si>
    <t>Sock-Tooth</t>
  </si>
  <si>
    <t>#NCSBS425</t>
  </si>
  <si>
    <t>24T</t>
  </si>
  <si>
    <t>#NCSBP290MP</t>
  </si>
  <si>
    <t>Segmented</t>
  </si>
  <si>
    <t>#NDBP233</t>
  </si>
  <si>
    <t>#NDBP236</t>
  </si>
  <si>
    <t>#NDBP237</t>
  </si>
  <si>
    <t>Diam</t>
  </si>
  <si>
    <t>Cutoff</t>
  </si>
  <si>
    <t>Wheel</t>
  </si>
  <si>
    <t>NDBS334</t>
  </si>
  <si>
    <t>4.5"</t>
  </si>
  <si>
    <t>CutOff</t>
  </si>
  <si>
    <t>Whl</t>
  </si>
  <si>
    <t>NDBS335</t>
  </si>
  <si>
    <t>NDBS338</t>
  </si>
  <si>
    <t>Mag</t>
  </si>
  <si>
    <t>Bit</t>
  </si>
  <si>
    <t>NIBBI235</t>
  </si>
  <si>
    <t>NIBBI236</t>
  </si>
  <si>
    <t>#2</t>
  </si>
  <si>
    <t>#NIBCI318</t>
  </si>
  <si>
    <t>#NIBCI407</t>
  </si>
  <si>
    <t>3-1/2"</t>
  </si>
  <si>
    <t>#NIBCI416</t>
  </si>
  <si>
    <t>Rec</t>
  </si>
  <si>
    <t>#NIBCI441</t>
  </si>
  <si>
    <t>Phillips</t>
  </si>
  <si>
    <t>NIBCI459</t>
  </si>
  <si>
    <t>Phil</t>
  </si>
  <si>
    <t>#NIBCI469</t>
  </si>
  <si>
    <t>#NIBCI477</t>
  </si>
  <si>
    <t>T10</t>
  </si>
  <si>
    <t>2pc</t>
  </si>
  <si>
    <t>#NIBCI511</t>
  </si>
  <si>
    <t>T15</t>
  </si>
  <si>
    <t>#NIBCI512</t>
  </si>
  <si>
    <t>T20</t>
  </si>
  <si>
    <t>#NIBCI513</t>
  </si>
  <si>
    <t>T-25</t>
  </si>
  <si>
    <t>Crd</t>
  </si>
  <si>
    <t>NIBCI514</t>
  </si>
  <si>
    <t>T30</t>
  </si>
  <si>
    <t>#NIBCI515</t>
  </si>
  <si>
    <t>T40</t>
  </si>
  <si>
    <t>#NIBCI516</t>
  </si>
  <si>
    <t>2-9/16X1/4</t>
  </si>
  <si>
    <t>Nut</t>
  </si>
  <si>
    <t>Set</t>
  </si>
  <si>
    <t>#NIBCI560</t>
  </si>
  <si>
    <t>2-9/16X5/16</t>
  </si>
  <si>
    <t>NutSet</t>
  </si>
  <si>
    <t>#NIBCI561</t>
  </si>
  <si>
    <t>2-9/16X3/8</t>
  </si>
  <si>
    <t>#NIBCI562</t>
  </si>
  <si>
    <t>2-9/16X7/16</t>
  </si>
  <si>
    <t>#NIBCI563</t>
  </si>
  <si>
    <t>2-9/16X1/2</t>
  </si>
  <si>
    <t>#NIBCI564</t>
  </si>
  <si>
    <t>10P</t>
  </si>
  <si>
    <t>#NIBPI605</t>
  </si>
  <si>
    <t>#NIBPI606</t>
  </si>
  <si>
    <t>#NIBPI607</t>
  </si>
  <si>
    <t>Asst</t>
  </si>
  <si>
    <t>#NIBPI618</t>
  </si>
  <si>
    <t>Nutsettr</t>
  </si>
  <si>
    <t>5P</t>
  </si>
  <si>
    <t>#NIBPI650</t>
  </si>
  <si>
    <t>42PC</t>
  </si>
  <si>
    <t>Imp</t>
  </si>
  <si>
    <t>#NIBPI703</t>
  </si>
  <si>
    <t>Ultramax</t>
  </si>
  <si>
    <t>NIBPI708</t>
  </si>
  <si>
    <t>2pk</t>
  </si>
  <si>
    <t>NIDBP200</t>
  </si>
  <si>
    <t>3/32"</t>
  </si>
  <si>
    <t>Impact</t>
  </si>
  <si>
    <t>#NIDBP202</t>
  </si>
  <si>
    <t>1/8"</t>
  </si>
  <si>
    <t>NIDBP204</t>
  </si>
  <si>
    <t>5/32"</t>
  </si>
  <si>
    <t>#NIDBP206</t>
  </si>
  <si>
    <t>3/16"</t>
  </si>
  <si>
    <t>#NIDBP208</t>
  </si>
  <si>
    <t>7/32"</t>
  </si>
  <si>
    <t>#NIDBP210</t>
  </si>
  <si>
    <t>NIDBP212</t>
  </si>
  <si>
    <t>5/16"</t>
  </si>
  <si>
    <t>NIDBP216</t>
  </si>
  <si>
    <t>#NIDBP220</t>
  </si>
  <si>
    <t>NIDBP227</t>
  </si>
  <si>
    <t>12PC</t>
  </si>
  <si>
    <t>#NIDBP280</t>
  </si>
  <si>
    <t>13"</t>
  </si>
  <si>
    <t>Cutter</t>
  </si>
  <si>
    <t>Rep</t>
  </si>
  <si>
    <t>NMAP002</t>
  </si>
  <si>
    <t>W/</t>
  </si>
  <si>
    <t>Clamp</t>
  </si>
  <si>
    <t>NMAP006</t>
  </si>
  <si>
    <t>Flr</t>
  </si>
  <si>
    <t>Install</t>
  </si>
  <si>
    <t>KneePad</t>
  </si>
  <si>
    <t>#NMAP009</t>
  </si>
  <si>
    <t>Twin</t>
  </si>
  <si>
    <t>Retractble</t>
  </si>
  <si>
    <t>#NMCP051</t>
  </si>
  <si>
    <t>HD</t>
  </si>
  <si>
    <t>Gel</t>
  </si>
  <si>
    <t>Knee</t>
  </si>
  <si>
    <t>Pads</t>
  </si>
  <si>
    <t>NMCP052</t>
  </si>
  <si>
    <t>SEALANT</t>
  </si>
  <si>
    <t>VOC</t>
  </si>
  <si>
    <t>QUAD</t>
  </si>
  <si>
    <t>#268</t>
  </si>
  <si>
    <t>10OZ</t>
  </si>
  <si>
    <t>Osi</t>
  </si>
  <si>
    <t>Quad</t>
  </si>
  <si>
    <t>9.5OZ</t>
  </si>
  <si>
    <t>#288</t>
  </si>
  <si>
    <t>Foam</t>
  </si>
  <si>
    <t>Clean</t>
  </si>
  <si>
    <t>12OZ</t>
  </si>
  <si>
    <t>#2874891</t>
  </si>
  <si>
    <t>9.5oz</t>
  </si>
  <si>
    <t>#572</t>
  </si>
  <si>
    <t>#458</t>
  </si>
  <si>
    <t>OSI</t>
  </si>
  <si>
    <t>#009</t>
  </si>
  <si>
    <t>#864</t>
  </si>
  <si>
    <t>#581</t>
  </si>
  <si>
    <t>OZ</t>
  </si>
  <si>
    <t>#000</t>
  </si>
  <si>
    <t>CLEAR</t>
  </si>
  <si>
    <t>#563</t>
  </si>
  <si>
    <t>9.5Oz</t>
  </si>
  <si>
    <t>#573</t>
  </si>
  <si>
    <t>Win/Dor</t>
  </si>
  <si>
    <t>Gun/Strw</t>
  </si>
  <si>
    <t>16OZ</t>
  </si>
  <si>
    <t>#567</t>
  </si>
  <si>
    <t>#569</t>
  </si>
  <si>
    <t>#296</t>
  </si>
  <si>
    <t>#861</t>
  </si>
  <si>
    <t>Door</t>
  </si>
  <si>
    <t>#947</t>
  </si>
  <si>
    <t>#896</t>
  </si>
  <si>
    <t>#750</t>
  </si>
  <si>
    <t>#739</t>
  </si>
  <si>
    <t>#727</t>
  </si>
  <si>
    <t>#606</t>
  </si>
  <si>
    <t>Yellow</t>
  </si>
  <si>
    <t>#589</t>
  </si>
  <si>
    <t>#551</t>
  </si>
  <si>
    <t>#545</t>
  </si>
  <si>
    <t>#541</t>
  </si>
  <si>
    <t>#517</t>
  </si>
  <si>
    <t>#513</t>
  </si>
  <si>
    <t>#512</t>
  </si>
  <si>
    <t>#497</t>
  </si>
  <si>
    <t>#465</t>
  </si>
  <si>
    <t>#456</t>
  </si>
  <si>
    <t>#406</t>
  </si>
  <si>
    <t>#404</t>
  </si>
  <si>
    <t>#335</t>
  </si>
  <si>
    <t>#279</t>
  </si>
  <si>
    <t>#267</t>
  </si>
  <si>
    <t>#259</t>
  </si>
  <si>
    <t>#253</t>
  </si>
  <si>
    <t>#245</t>
  </si>
  <si>
    <t>#236</t>
  </si>
  <si>
    <t>#224</t>
  </si>
  <si>
    <t>#219</t>
  </si>
  <si>
    <t>#211</t>
  </si>
  <si>
    <t>#004</t>
  </si>
  <si>
    <t>/</t>
  </si>
  <si>
    <t>#003</t>
  </si>
  <si>
    <t>#943</t>
  </si>
  <si>
    <t>#311</t>
  </si>
  <si>
    <t>#706</t>
  </si>
  <si>
    <t>#496</t>
  </si>
  <si>
    <t>#461</t>
  </si>
  <si>
    <t>#455</t>
  </si>
  <si>
    <t>#333</t>
  </si>
  <si>
    <t>#426</t>
  </si>
  <si>
    <t>#846</t>
  </si>
  <si>
    <t>#274</t>
  </si>
  <si>
    <t>#338</t>
  </si>
  <si>
    <t>#587</t>
  </si>
  <si>
    <t>#810</t>
  </si>
  <si>
    <t>#266</t>
  </si>
  <si>
    <t>#264</t>
  </si>
  <si>
    <t>#519</t>
  </si>
  <si>
    <t>#595</t>
  </si>
  <si>
    <t>#815</t>
  </si>
  <si>
    <t>Sealant</t>
  </si>
  <si>
    <t>Voc</t>
  </si>
  <si>
    <t>#265</t>
  </si>
  <si>
    <t>#565</t>
  </si>
  <si>
    <t>#423</t>
  </si>
  <si>
    <t>#559</t>
  </si>
  <si>
    <t>#207</t>
  </si>
  <si>
    <t>Applicator</t>
  </si>
  <si>
    <t>Gun</t>
  </si>
  <si>
    <t>T</t>
  </si>
  <si>
    <t>#001</t>
  </si>
  <si>
    <t>Airfast</t>
  </si>
  <si>
    <t>Nails</t>
  </si>
  <si>
    <t>7.2M/Bx</t>
  </si>
  <si>
    <t>4.5M/BX</t>
  </si>
  <si>
    <t>2-1/4"</t>
  </si>
  <si>
    <t>4M/BX</t>
  </si>
  <si>
    <t>RINGED</t>
  </si>
  <si>
    <t>STL</t>
  </si>
  <si>
    <t>1.75"</t>
  </si>
  <si>
    <t>1/4LB</t>
  </si>
  <si>
    <t>ANTBRWN</t>
  </si>
  <si>
    <t>COMBRWN</t>
  </si>
  <si>
    <t>CHOCOL</t>
  </si>
  <si>
    <t>IVORY</t>
  </si>
  <si>
    <t>PEBCLAY</t>
  </si>
  <si>
    <t>ATLAS</t>
  </si>
  <si>
    <t>EN</t>
  </si>
  <si>
    <t>ENERGYSHIELD</t>
  </si>
  <si>
    <t>4'X8'</t>
  </si>
  <si>
    <t>KING</t>
  </si>
  <si>
    <t>GREENGRD</t>
  </si>
  <si>
    <t>DC14</t>
  </si>
  <si>
    <t>4'X48'</t>
  </si>
  <si>
    <t>FANFOLD</t>
  </si>
  <si>
    <t>XP38</t>
  </si>
  <si>
    <t>FF</t>
  </si>
  <si>
    <t>2SQ/BD</t>
  </si>
  <si>
    <t>HOMEGUARD</t>
  </si>
  <si>
    <t>HOUSEWRAP</t>
  </si>
  <si>
    <t>9'X100'</t>
  </si>
  <si>
    <t>Ener-Air</t>
  </si>
  <si>
    <t>Sheathing</t>
  </si>
  <si>
    <t>Enerfoil</t>
  </si>
  <si>
    <t>DuPont</t>
  </si>
  <si>
    <t>Tyvek</t>
  </si>
  <si>
    <t>Flexwrap</t>
  </si>
  <si>
    <t>NF</t>
  </si>
  <si>
    <t>9"X75'</t>
  </si>
  <si>
    <t>NOVA</t>
  </si>
  <si>
    <t>ASPIRE</t>
  </si>
  <si>
    <t>HOUSE</t>
  </si>
  <si>
    <t>WRAP</t>
  </si>
  <si>
    <t>WINDOW&amp;DOOR</t>
  </si>
  <si>
    <t>4"X75'</t>
  </si>
  <si>
    <t>TYVEK</t>
  </si>
  <si>
    <t>COMMERCIAL</t>
  </si>
  <si>
    <t>10'X125'</t>
  </si>
  <si>
    <t>DRAIN</t>
  </si>
  <si>
    <t>TAPE</t>
  </si>
  <si>
    <t>Tape</t>
  </si>
  <si>
    <t>6"X100'</t>
  </si>
  <si>
    <t>9"X100'</t>
  </si>
  <si>
    <t>HOME</t>
  </si>
  <si>
    <t>18"X100'</t>
  </si>
  <si>
    <t>TYPAR</t>
  </si>
  <si>
    <t>STRAIGHTFLASH</t>
  </si>
  <si>
    <t>4"X150'</t>
  </si>
  <si>
    <t>9"X125'</t>
  </si>
  <si>
    <t>2"X216'</t>
  </si>
  <si>
    <t>BOW</t>
  </si>
  <si>
    <t>DELTA</t>
  </si>
  <si>
    <t>SEC</t>
  </si>
  <si>
    <t>GENERAT</t>
  </si>
  <si>
    <t>SHANE</t>
  </si>
  <si>
    <t>HOMES</t>
  </si>
  <si>
    <t>SUNSHINE</t>
  </si>
  <si>
    <t>Adfast</t>
  </si>
  <si>
    <t>Adseal</t>
  </si>
  <si>
    <t>#194-22</t>
  </si>
  <si>
    <t>#194-33</t>
  </si>
  <si>
    <t>#194-37</t>
  </si>
  <si>
    <t>#194-88</t>
  </si>
  <si>
    <t>#194-98</t>
  </si>
  <si>
    <t>#602-00004</t>
  </si>
  <si>
    <t>#602-00007</t>
  </si>
  <si>
    <t>#602-00025</t>
  </si>
  <si>
    <t>#602-00050</t>
  </si>
  <si>
    <t>#602-00055</t>
  </si>
  <si>
    <t>#602-00079</t>
  </si>
  <si>
    <t>TXT</t>
  </si>
  <si>
    <t>ADH</t>
  </si>
  <si>
    <t>10.1OZ</t>
  </si>
  <si>
    <t>CHEM</t>
  </si>
  <si>
    <t>NOVALINK</t>
  </si>
  <si>
    <t>FP</t>
  </si>
  <si>
    <t>F1110</t>
  </si>
  <si>
    <t>M-1</t>
  </si>
  <si>
    <t>F1270</t>
  </si>
  <si>
    <t>24/PK</t>
  </si>
  <si>
    <t>DOW</t>
  </si>
  <si>
    <t>CORNING</t>
  </si>
  <si>
    <t>GLAZING</t>
  </si>
  <si>
    <t>10.3OZ</t>
  </si>
  <si>
    <t>#252</t>
  </si>
  <si>
    <t>#283</t>
  </si>
  <si>
    <t>Mulco</t>
  </si>
  <si>
    <t>Supra</t>
  </si>
  <si>
    <t>Elite</t>
  </si>
  <si>
    <t>Slnt</t>
  </si>
  <si>
    <t>#020</t>
  </si>
  <si>
    <t>Translu</t>
  </si>
  <si>
    <t>#703</t>
  </si>
  <si>
    <t>#705</t>
  </si>
  <si>
    <t>CountRd</t>
  </si>
  <si>
    <t>#719</t>
  </si>
  <si>
    <t>#720</t>
  </si>
  <si>
    <t>EveBlue</t>
  </si>
  <si>
    <t>#725</t>
  </si>
  <si>
    <t>Pw</t>
  </si>
  <si>
    <t>Expert</t>
  </si>
  <si>
    <t>#010</t>
  </si>
  <si>
    <t>Transl</t>
  </si>
  <si>
    <t>#330</t>
  </si>
  <si>
    <t>Chocol</t>
  </si>
  <si>
    <t>NPC</t>
  </si>
  <si>
    <t>#900</t>
  </si>
  <si>
    <t>SEAL</t>
  </si>
  <si>
    <t>Npc</t>
  </si>
  <si>
    <t>Color</t>
  </si>
  <si>
    <t>#031</t>
  </si>
  <si>
    <t>#053</t>
  </si>
  <si>
    <t>MD</t>
  </si>
  <si>
    <t>RUSTTAN</t>
  </si>
  <si>
    <t>REPAIR</t>
  </si>
  <si>
    <t>CEM</t>
  </si>
  <si>
    <t>10.5OZ</t>
  </si>
  <si>
    <t>#53003</t>
  </si>
  <si>
    <t>4/4X2X12</t>
  </si>
  <si>
    <t>Rev</t>
  </si>
  <si>
    <t>ALLURA</t>
  </si>
  <si>
    <t>4/4X3X12</t>
  </si>
  <si>
    <t>FC</t>
  </si>
  <si>
    <t>5/4X10X12</t>
  </si>
  <si>
    <t>5/4X12X12</t>
  </si>
  <si>
    <t>5/4X4X12'</t>
  </si>
  <si>
    <t>5/4X6X12'</t>
  </si>
  <si>
    <t>5/4X8X12'</t>
  </si>
  <si>
    <t>Touch</t>
  </si>
  <si>
    <t>Up</t>
  </si>
  <si>
    <t>1QT</t>
  </si>
  <si>
    <t>Brnz</t>
  </si>
  <si>
    <t>HALF</t>
  </si>
  <si>
    <t>RND</t>
  </si>
  <si>
    <t>32X20</t>
  </si>
  <si>
    <t>COL</t>
  </si>
  <si>
    <t>Fisher</t>
  </si>
  <si>
    <t>TrueGrain</t>
  </si>
  <si>
    <t>8.25"</t>
  </si>
  <si>
    <t>Autumn</t>
  </si>
  <si>
    <t>ChrisCrf</t>
  </si>
  <si>
    <t>Cedarton</t>
  </si>
  <si>
    <t>Emp</t>
  </si>
  <si>
    <t>Gold</t>
  </si>
  <si>
    <t>Rsh</t>
  </si>
  <si>
    <t>Harvest</t>
  </si>
  <si>
    <t>Ri</t>
  </si>
  <si>
    <t>Sepia</t>
  </si>
  <si>
    <t>West</t>
  </si>
  <si>
    <t>Cst</t>
  </si>
  <si>
    <t>Wethr</t>
  </si>
  <si>
    <t>Wd</t>
  </si>
  <si>
    <t>TouchUP</t>
  </si>
  <si>
    <t>1G</t>
  </si>
  <si>
    <t>Wst</t>
  </si>
  <si>
    <t>1Q</t>
  </si>
  <si>
    <t>Cedartn</t>
  </si>
  <si>
    <t>Empire</t>
  </si>
  <si>
    <t>R</t>
  </si>
  <si>
    <t>Ba</t>
  </si>
  <si>
    <t>Wthr</t>
  </si>
  <si>
    <t>STRIPS</t>
  </si>
  <si>
    <t>10X16</t>
  </si>
  <si>
    <t>Wh</t>
  </si>
  <si>
    <t>12X16</t>
  </si>
  <si>
    <t>2X16</t>
  </si>
  <si>
    <t>Abys</t>
  </si>
  <si>
    <t>6X16</t>
  </si>
  <si>
    <t>4X16</t>
  </si>
  <si>
    <t>6X10</t>
  </si>
  <si>
    <t>PAINT</t>
  </si>
  <si>
    <t>SNW</t>
  </si>
  <si>
    <t>ABYS</t>
  </si>
  <si>
    <t>Terr</t>
  </si>
  <si>
    <t>Bn</t>
  </si>
  <si>
    <t>Qt</t>
  </si>
  <si>
    <t>Cav</t>
  </si>
  <si>
    <t>Stl</t>
  </si>
  <si>
    <t>Rapd</t>
  </si>
  <si>
    <t>Bl</t>
  </si>
  <si>
    <t>Snd</t>
  </si>
  <si>
    <t>Dun</t>
  </si>
  <si>
    <t>Summ</t>
  </si>
  <si>
    <t>6x16</t>
  </si>
  <si>
    <t>Aby</t>
  </si>
  <si>
    <t>Garden</t>
  </si>
  <si>
    <t>Sha</t>
  </si>
  <si>
    <t>SMART</t>
  </si>
  <si>
    <t>OSCP</t>
  </si>
  <si>
    <t>5/4X4X16</t>
  </si>
  <si>
    <t>5/4X6X16</t>
  </si>
  <si>
    <t>5/4"X4"X16'</t>
  </si>
  <si>
    <t>5/4"X6"X16'</t>
  </si>
  <si>
    <t>5/4"X8"X16'</t>
  </si>
  <si>
    <t>WG</t>
  </si>
  <si>
    <t>19/32"X3"X16'</t>
  </si>
  <si>
    <t>4/4"X2"X16'</t>
  </si>
  <si>
    <t>4/4"X3"X16'</t>
  </si>
  <si>
    <t>5/4"X2"X16'</t>
  </si>
  <si>
    <t>5/4"X10"X16'</t>
  </si>
  <si>
    <t>5/4"X12"X16'</t>
  </si>
  <si>
    <t>Joiner</t>
  </si>
  <si>
    <t>2-Pan</t>
  </si>
  <si>
    <t>#701</t>
  </si>
  <si>
    <t>#702</t>
  </si>
  <si>
    <t>Brushed</t>
  </si>
  <si>
    <t>Pocket</t>
  </si>
  <si>
    <t>Hidden</t>
  </si>
  <si>
    <t>Closure</t>
  </si>
  <si>
    <t>Redwd</t>
  </si>
  <si>
    <t>Inside</t>
  </si>
  <si>
    <t>#707</t>
  </si>
  <si>
    <t>#708</t>
  </si>
  <si>
    <t>#709</t>
  </si>
  <si>
    <t>Open</t>
  </si>
  <si>
    <t>Copper</t>
  </si>
  <si>
    <t>Penny</t>
  </si>
  <si>
    <t>#711</t>
  </si>
  <si>
    <t>Bottom</t>
  </si>
  <si>
    <t>Insert</t>
  </si>
  <si>
    <t>#713</t>
  </si>
  <si>
    <t>Snap-T</t>
  </si>
  <si>
    <t>Brush</t>
  </si>
  <si>
    <t>Graph</t>
  </si>
  <si>
    <t>#714</t>
  </si>
  <si>
    <t>Ebon</t>
  </si>
  <si>
    <t>Graphit</t>
  </si>
  <si>
    <t>#715</t>
  </si>
  <si>
    <t>#716</t>
  </si>
  <si>
    <t>Grap</t>
  </si>
  <si>
    <t>#718</t>
  </si>
  <si>
    <t>Form</t>
  </si>
  <si>
    <t>#733</t>
  </si>
  <si>
    <t>Redw</t>
  </si>
  <si>
    <t>Heart</t>
  </si>
  <si>
    <t>#797</t>
  </si>
  <si>
    <t>#798</t>
  </si>
  <si>
    <t>J-Ch</t>
  </si>
  <si>
    <t>ClasChe</t>
  </si>
  <si>
    <t>#799</t>
  </si>
  <si>
    <t>KnotChe</t>
  </si>
  <si>
    <t>KnotDes</t>
  </si>
  <si>
    <t>Tk</t>
  </si>
  <si>
    <t>Drop</t>
  </si>
  <si>
    <t>#842</t>
  </si>
  <si>
    <t>#902</t>
  </si>
  <si>
    <t>#904</t>
  </si>
  <si>
    <t>#906</t>
  </si>
  <si>
    <t>RP</t>
  </si>
  <si>
    <t>#927</t>
  </si>
  <si>
    <t>Pen</t>
  </si>
  <si>
    <t>Hardw</t>
  </si>
  <si>
    <t>Joint</t>
  </si>
  <si>
    <t>Mld</t>
  </si>
  <si>
    <t>MistGry</t>
  </si>
  <si>
    <t>AutGold</t>
  </si>
  <si>
    <t>Sandlwd</t>
  </si>
  <si>
    <t>Tmbrwlf</t>
  </si>
  <si>
    <t>Yellows</t>
  </si>
  <si>
    <t>16'</t>
  </si>
  <si>
    <t>DADO'D</t>
  </si>
  <si>
    <t>PRM</t>
  </si>
  <si>
    <t>Coach</t>
  </si>
  <si>
    <t>Plate</t>
  </si>
  <si>
    <t>IC</t>
  </si>
  <si>
    <t>1"X1"X16'</t>
  </si>
  <si>
    <t>4"X4"X16'</t>
  </si>
  <si>
    <t>1.5"X1.5"</t>
  </si>
  <si>
    <t>1.75"X1.75"</t>
  </si>
  <si>
    <t>Dado'd</t>
  </si>
  <si>
    <t>Novik</t>
  </si>
  <si>
    <t>Novikvent</t>
  </si>
  <si>
    <t>16"</t>
  </si>
  <si>
    <t>PINE</t>
  </si>
  <si>
    <t>BEAD</t>
  </si>
  <si>
    <t>Plug</t>
  </si>
  <si>
    <t>Mid-AM</t>
  </si>
  <si>
    <t>Mini</t>
  </si>
  <si>
    <t>Block</t>
  </si>
  <si>
    <t>NATURAL</t>
  </si>
  <si>
    <t>ELEM</t>
  </si>
  <si>
    <t>OUTSIDE</t>
  </si>
  <si>
    <t>1X4X12'</t>
  </si>
  <si>
    <t>5/4X10X12'</t>
  </si>
  <si>
    <t>5/4X12X12'</t>
  </si>
  <si>
    <t>Primex</t>
  </si>
  <si>
    <t>Double</t>
  </si>
  <si>
    <t>501R</t>
  </si>
  <si>
    <t>WALLCAP</t>
  </si>
  <si>
    <t>INT/EXH</t>
  </si>
  <si>
    <t>WC3</t>
  </si>
  <si>
    <t>WC4</t>
  </si>
  <si>
    <t>PORCH</t>
  </si>
  <si>
    <t>15"X18"</t>
  </si>
  <si>
    <t>18"X24"</t>
  </si>
  <si>
    <t>Raindog</t>
  </si>
  <si>
    <t>Dryer</t>
  </si>
  <si>
    <t>Hose</t>
  </si>
  <si>
    <t>Bib</t>
  </si>
  <si>
    <t>D7CEDAROCP</t>
  </si>
  <si>
    <t>SANDALWOOD</t>
  </si>
  <si>
    <t>YELLOW</t>
  </si>
  <si>
    <t>Amberwood</t>
  </si>
  <si>
    <t>CEDR</t>
  </si>
  <si>
    <t>S7CEDAROCP</t>
  </si>
  <si>
    <t>Ocp</t>
  </si>
  <si>
    <t>Cottonwood</t>
  </si>
  <si>
    <t>Surf</t>
  </si>
  <si>
    <t>Shadow</t>
  </si>
  <si>
    <t>Sky-HI</t>
  </si>
  <si>
    <t>6'</t>
  </si>
  <si>
    <t>Pole</t>
  </si>
  <si>
    <t>Anchors</t>
  </si>
  <si>
    <t>SKY-HI</t>
  </si>
  <si>
    <t>EXTEND</t>
  </si>
  <si>
    <t>1-MAN</t>
  </si>
  <si>
    <t>Bench</t>
  </si>
  <si>
    <t>Jacks</t>
  </si>
  <si>
    <t>Man</t>
  </si>
  <si>
    <t>24'</t>
  </si>
  <si>
    <t>14"X16'</t>
  </si>
  <si>
    <t>14"X20'</t>
  </si>
  <si>
    <t>14"X24'</t>
  </si>
  <si>
    <t>3"X12'</t>
  </si>
  <si>
    <t>A</t>
  </si>
  <si>
    <t>POLE</t>
  </si>
  <si>
    <t>3"X18'</t>
  </si>
  <si>
    <t>3"X24'</t>
  </si>
  <si>
    <t>3"X6'</t>
  </si>
  <si>
    <t>Brace</t>
  </si>
  <si>
    <t>Spectis</t>
  </si>
  <si>
    <t>OR</t>
  </si>
  <si>
    <t>Bracket</t>
  </si>
  <si>
    <t>BL2479</t>
  </si>
  <si>
    <t>BL2614</t>
  </si>
  <si>
    <t>BL2634</t>
  </si>
  <si>
    <t>BL2869</t>
  </si>
  <si>
    <t>Or</t>
  </si>
  <si>
    <t>BL3045</t>
  </si>
  <si>
    <t>SPECTIS</t>
  </si>
  <si>
    <t>LOUVER</t>
  </si>
  <si>
    <t>W/KEY</t>
  </si>
  <si>
    <t>LORK24</t>
  </si>
  <si>
    <t>CROWN</t>
  </si>
  <si>
    <t>MOULDING</t>
  </si>
  <si>
    <t>MD1859</t>
  </si>
  <si>
    <t>Mntn</t>
  </si>
  <si>
    <t>SAGIREV</t>
  </si>
  <si>
    <t>Coppr</t>
  </si>
  <si>
    <t>Coalwd</t>
  </si>
  <si>
    <t>Maple</t>
  </si>
  <si>
    <t>Vnt</t>
  </si>
  <si>
    <t>Strp</t>
  </si>
  <si>
    <t>Zebrawd</t>
  </si>
  <si>
    <t>Mapl</t>
  </si>
  <si>
    <t>VGv</t>
  </si>
  <si>
    <t>KnotMap</t>
  </si>
  <si>
    <t>Absolute</t>
  </si>
  <si>
    <t>#8X1-1/4"</t>
  </si>
  <si>
    <t>Wafer</t>
  </si>
  <si>
    <t>Screw</t>
  </si>
  <si>
    <t>Wfr</t>
  </si>
  <si>
    <t>SelfTap</t>
  </si>
  <si>
    <t>VSA</t>
  </si>
  <si>
    <t>DRYER</t>
  </si>
  <si>
    <t>FACE</t>
  </si>
  <si>
    <t>ONLY</t>
  </si>
  <si>
    <t>4DV</t>
  </si>
  <si>
    <t>W/Pipe</t>
  </si>
  <si>
    <t>CATHEDRAL</t>
  </si>
  <si>
    <t>22X28</t>
  </si>
  <si>
    <t>MOON</t>
  </si>
  <si>
    <t>31X20</t>
  </si>
  <si>
    <t>34X23</t>
  </si>
  <si>
    <t>PLATE</t>
  </si>
  <si>
    <t>LBP</t>
  </si>
  <si>
    <t>OCTAGON</t>
  </si>
  <si>
    <t>19"</t>
  </si>
  <si>
    <t>22"</t>
  </si>
  <si>
    <t>PBP</t>
  </si>
  <si>
    <t>18"</t>
  </si>
  <si>
    <t>ROUND</t>
  </si>
  <si>
    <t>SMALL</t>
  </si>
  <si>
    <t>15X21</t>
  </si>
  <si>
    <t>RECTANGULAR</t>
  </si>
  <si>
    <t>17X23</t>
  </si>
  <si>
    <t>Rect</t>
  </si>
  <si>
    <t>RECESS</t>
  </si>
  <si>
    <t>PLG</t>
  </si>
  <si>
    <t>WTR</t>
  </si>
  <si>
    <t>SRPW</t>
  </si>
  <si>
    <t>SQUARE</t>
  </si>
  <si>
    <t>12"X12"</t>
  </si>
  <si>
    <t>18"X18"</t>
  </si>
  <si>
    <t>THIRD</t>
  </si>
  <si>
    <t>WAVE</t>
  </si>
  <si>
    <t>3X5</t>
  </si>
  <si>
    <t>FLUSH</t>
  </si>
  <si>
    <t>Third</t>
  </si>
  <si>
    <t>Wave</t>
  </si>
  <si>
    <t>OAB</t>
  </si>
  <si>
    <t>Elec</t>
  </si>
  <si>
    <t>Lt</t>
  </si>
  <si>
    <t>ELEC</t>
  </si>
  <si>
    <t>BLOCK</t>
  </si>
  <si>
    <t>RECESSED</t>
  </si>
  <si>
    <t>REC</t>
  </si>
  <si>
    <t>WATR</t>
  </si>
  <si>
    <t>6WV</t>
  </si>
  <si>
    <t>Coastal</t>
  </si>
  <si>
    <t>Cascade</t>
  </si>
  <si>
    <t>Rosewood</t>
  </si>
  <si>
    <t>Estwing</t>
  </si>
  <si>
    <t>15"</t>
  </si>
  <si>
    <t>Handy</t>
  </si>
  <si>
    <t>Bar</t>
  </si>
  <si>
    <t>HB15</t>
  </si>
  <si>
    <t>SOLID</t>
  </si>
  <si>
    <t>RSD5VSBF</t>
  </si>
  <si>
    <t>4PL</t>
  </si>
  <si>
    <t>CLAS</t>
  </si>
  <si>
    <t>SOFF</t>
  </si>
  <si>
    <t>PLN</t>
  </si>
  <si>
    <t>ANTBRN</t>
  </si>
  <si>
    <t>#132746</t>
  </si>
  <si>
    <t>BROWNS</t>
  </si>
  <si>
    <t>CASHME</t>
  </si>
  <si>
    <t>COMBRN</t>
  </si>
  <si>
    <t>COBBLS</t>
  </si>
  <si>
    <t>GRANIT</t>
  </si>
  <si>
    <t>HARVSL</t>
  </si>
  <si>
    <t>IRONST</t>
  </si>
  <si>
    <t>PEBCLY</t>
  </si>
  <si>
    <t>UNIBRN</t>
  </si>
  <si>
    <t>VNT</t>
  </si>
  <si>
    <t>#131946</t>
  </si>
  <si>
    <t>CLS</t>
  </si>
  <si>
    <t>HVY</t>
  </si>
  <si>
    <t>#134746</t>
  </si>
  <si>
    <t>#133946</t>
  </si>
  <si>
    <t>V-Gv</t>
  </si>
  <si>
    <t>Pln</t>
  </si>
  <si>
    <t>Ambw</t>
  </si>
  <si>
    <t>CeBk</t>
  </si>
  <si>
    <t>Chrw</t>
  </si>
  <si>
    <t>SpMo</t>
  </si>
  <si>
    <t>Smkw</t>
  </si>
  <si>
    <t>Tmbrlne</t>
  </si>
  <si>
    <t>Cebk</t>
  </si>
  <si>
    <t>Rvwd</t>
  </si>
  <si>
    <t>HERRBO</t>
  </si>
  <si>
    <t>HERRINGB</t>
  </si>
  <si>
    <t>SYCAMORE</t>
  </si>
  <si>
    <t>Designer</t>
  </si>
  <si>
    <t>AntBrn</t>
  </si>
  <si>
    <t>#1377</t>
  </si>
  <si>
    <t>Charcl</t>
  </si>
  <si>
    <t>Cashmr</t>
  </si>
  <si>
    <t>ComBrn</t>
  </si>
  <si>
    <t>HarSlt</t>
  </si>
  <si>
    <t>Ironst</t>
  </si>
  <si>
    <t>PebCly</t>
  </si>
  <si>
    <t>9.25"</t>
  </si>
  <si>
    <t>#13695</t>
  </si>
  <si>
    <t>COMM</t>
  </si>
  <si>
    <t>COBBLESTON</t>
  </si>
  <si>
    <t>HARVRD</t>
  </si>
  <si>
    <t>#13730</t>
  </si>
  <si>
    <t>Trad</t>
  </si>
  <si>
    <t>#13725</t>
  </si>
  <si>
    <t>RIBBED</t>
  </si>
  <si>
    <t>HERRINGBON</t>
  </si>
  <si>
    <t>ALUM</t>
  </si>
  <si>
    <t>HERRBN</t>
  </si>
  <si>
    <t>MISC</t>
  </si>
  <si>
    <t>24"X98'</t>
  </si>
  <si>
    <t>CL</t>
  </si>
  <si>
    <t>CANEXEL</t>
  </si>
  <si>
    <t>ACADIA</t>
  </si>
  <si>
    <t>COUNTRYR</t>
  </si>
  <si>
    <t>FOREST</t>
  </si>
  <si>
    <t>Heavy</t>
  </si>
  <si>
    <t>AntBrwn</t>
  </si>
  <si>
    <t>Blk/Com</t>
  </si>
  <si>
    <t>HarvSlt</t>
  </si>
  <si>
    <t>UnivBrn</t>
  </si>
  <si>
    <t>REGULAR</t>
  </si>
  <si>
    <t>HEAVY</t>
  </si>
  <si>
    <t>BLK/COM</t>
  </si>
  <si>
    <t>CHOCOLT</t>
  </si>
  <si>
    <t>UNIVBRN</t>
  </si>
  <si>
    <t>RIVERWOOD</t>
  </si>
  <si>
    <t>Sm</t>
  </si>
  <si>
    <t>Smokewood</t>
  </si>
  <si>
    <t>TIMBERLINE</t>
  </si>
  <si>
    <t>Celect</t>
  </si>
  <si>
    <t>Stn</t>
  </si>
  <si>
    <t>Coastline</t>
  </si>
  <si>
    <t>CarriageRd</t>
  </si>
  <si>
    <t>Grove</t>
  </si>
  <si>
    <t>Cl</t>
  </si>
  <si>
    <t>Oceana</t>
  </si>
  <si>
    <t>Pine</t>
  </si>
  <si>
    <t>Brook</t>
  </si>
  <si>
    <t>Pottery</t>
  </si>
  <si>
    <t>River</t>
  </si>
  <si>
    <t>Shale</t>
  </si>
  <si>
    <t>Wrought</t>
  </si>
  <si>
    <t>Willow</t>
  </si>
  <si>
    <t>HERRBONE</t>
  </si>
  <si>
    <t>Extra</t>
  </si>
  <si>
    <t>Cost</t>
  </si>
  <si>
    <t>for</t>
  </si>
  <si>
    <t>3rd</t>
  </si>
  <si>
    <t>Party</t>
  </si>
  <si>
    <t>Delivery</t>
  </si>
  <si>
    <t>PLATFORM</t>
  </si>
  <si>
    <t>PNEUMATC</t>
  </si>
  <si>
    <t>SHEAR</t>
  </si>
  <si>
    <t>#SA110A</t>
  </si>
  <si>
    <t>Shear</t>
  </si>
  <si>
    <t>Snapper</t>
  </si>
  <si>
    <t>#SS204</t>
  </si>
  <si>
    <t>F/400</t>
  </si>
  <si>
    <t>Series</t>
  </si>
  <si>
    <t>#40253</t>
  </si>
  <si>
    <t>Steelhead</t>
  </si>
  <si>
    <t>#SS404</t>
  </si>
  <si>
    <t>BLADE</t>
  </si>
  <si>
    <t>SERIES</t>
  </si>
  <si>
    <t>#41253</t>
  </si>
  <si>
    <t>Whip</t>
  </si>
  <si>
    <t>Scroll</t>
  </si>
  <si>
    <t>#SS414</t>
  </si>
  <si>
    <t>Gauges</t>
  </si>
  <si>
    <t>Plastic</t>
  </si>
  <si>
    <t>#SA903</t>
  </si>
  <si>
    <t>#SA90338</t>
  </si>
  <si>
    <t>Scribe</t>
  </si>
  <si>
    <t>#SA904</t>
  </si>
  <si>
    <t>Eagle</t>
  </si>
  <si>
    <t>Belair</t>
  </si>
  <si>
    <t>Field</t>
  </si>
  <si>
    <t>#4697</t>
  </si>
  <si>
    <t>CENTURY</t>
  </si>
  <si>
    <t>VINYL</t>
  </si>
  <si>
    <t>BS</t>
  </si>
  <si>
    <t>PLT</t>
  </si>
  <si>
    <t>CVR</t>
  </si>
  <si>
    <t>LSC</t>
  </si>
  <si>
    <t>BPC212</t>
  </si>
  <si>
    <t>Century</t>
  </si>
  <si>
    <t>Bs</t>
  </si>
  <si>
    <t>Plt</t>
  </si>
  <si>
    <t>Cvr</t>
  </si>
  <si>
    <t>TBk</t>
  </si>
  <si>
    <t>42"</t>
  </si>
  <si>
    <t>POST</t>
  </si>
  <si>
    <t>LSCOPP</t>
  </si>
  <si>
    <t>CP42</t>
  </si>
  <si>
    <t>#10X3/4</t>
  </si>
  <si>
    <t>TEK</t>
  </si>
  <si>
    <t>ST</t>
  </si>
  <si>
    <t>SCW</t>
  </si>
  <si>
    <t>CS50</t>
  </si>
  <si>
    <t>30"</t>
  </si>
  <si>
    <t>Temp</t>
  </si>
  <si>
    <t>Glass</t>
  </si>
  <si>
    <t>CTG30</t>
  </si>
  <si>
    <t>TEMP</t>
  </si>
  <si>
    <t>GLASS</t>
  </si>
  <si>
    <t>CTG48</t>
  </si>
  <si>
    <t>54"</t>
  </si>
  <si>
    <t>CTG54</t>
  </si>
  <si>
    <t>60"</t>
  </si>
  <si>
    <t>CTG60</t>
  </si>
  <si>
    <t>66"</t>
  </si>
  <si>
    <t>CTG66</t>
  </si>
  <si>
    <t>END</t>
  </si>
  <si>
    <t>TEXT</t>
  </si>
  <si>
    <t>BLCK</t>
  </si>
  <si>
    <t>EP42</t>
  </si>
  <si>
    <t>LINE</t>
  </si>
  <si>
    <t>COPPR</t>
  </si>
  <si>
    <t>LP42</t>
  </si>
  <si>
    <t>Line</t>
  </si>
  <si>
    <t>Post</t>
  </si>
  <si>
    <t>Txt</t>
  </si>
  <si>
    <t>RUBBER</t>
  </si>
  <si>
    <t>RB10</t>
  </si>
  <si>
    <t>5/8"X10'</t>
  </si>
  <si>
    <t>PICKET</t>
  </si>
  <si>
    <t>COP</t>
  </si>
  <si>
    <t>SP10</t>
  </si>
  <si>
    <t>STAIR</t>
  </si>
  <si>
    <t>COPP</t>
  </si>
  <si>
    <t>SP42</t>
  </si>
  <si>
    <t>5/8"X4'</t>
  </si>
  <si>
    <t>Picket</t>
  </si>
  <si>
    <t>SP4</t>
  </si>
  <si>
    <t>5/8"X6'</t>
  </si>
  <si>
    <t>SP6</t>
  </si>
  <si>
    <t>10'PKG</t>
  </si>
  <si>
    <t>5/8STR</t>
  </si>
  <si>
    <t>PCK</t>
  </si>
  <si>
    <t>SSP10</t>
  </si>
  <si>
    <t>TBK</t>
  </si>
  <si>
    <t>4'PKG</t>
  </si>
  <si>
    <t>PCKT</t>
  </si>
  <si>
    <t>SSP4</t>
  </si>
  <si>
    <t>TXBK</t>
  </si>
  <si>
    <t>6'PKG</t>
  </si>
  <si>
    <t>SSP6</t>
  </si>
  <si>
    <t>8'PKG</t>
  </si>
  <si>
    <t>SSP8</t>
  </si>
  <si>
    <t>T/B</t>
  </si>
  <si>
    <t>GLS</t>
  </si>
  <si>
    <t>RAIL</t>
  </si>
  <si>
    <t>TBRG10</t>
  </si>
  <si>
    <t>LSCOP</t>
  </si>
  <si>
    <t>TBRG8</t>
  </si>
  <si>
    <t>TXBLK</t>
  </si>
  <si>
    <t>TOP/BOTTOM</t>
  </si>
  <si>
    <t>TBR10</t>
  </si>
  <si>
    <t>STR</t>
  </si>
  <si>
    <t>TBRSN10</t>
  </si>
  <si>
    <t>TBR6</t>
  </si>
  <si>
    <t>TBRSN8</t>
  </si>
  <si>
    <t>TBR8</t>
  </si>
  <si>
    <t>TBRSN6</t>
  </si>
  <si>
    <t>PEN</t>
  </si>
  <si>
    <t>TUPP</t>
  </si>
  <si>
    <t>COPPER</t>
  </si>
  <si>
    <t>TOP&amp;BTM</t>
  </si>
  <si>
    <t>BRKTS</t>
  </si>
  <si>
    <t>WB</t>
  </si>
  <si>
    <t>TXTBK</t>
  </si>
  <si>
    <t>FIBERON</t>
  </si>
  <si>
    <t>GOOD</t>
  </si>
  <si>
    <t>LIFE</t>
  </si>
  <si>
    <t>FASC</t>
  </si>
  <si>
    <t>BEACH</t>
  </si>
  <si>
    <t>HS</t>
  </si>
  <si>
    <t>BUNGALOW</t>
  </si>
  <si>
    <t>CABIN</t>
  </si>
  <si>
    <t>CABANA</t>
  </si>
  <si>
    <t>COTTAGE</t>
  </si>
  <si>
    <t>Fiberon</t>
  </si>
  <si>
    <t>Good</t>
  </si>
  <si>
    <t>Life</t>
  </si>
  <si>
    <t>Fasc</t>
  </si>
  <si>
    <t>Tscn</t>
  </si>
  <si>
    <t>Vil</t>
  </si>
  <si>
    <t>GRVD</t>
  </si>
  <si>
    <t>Grvd</t>
  </si>
  <si>
    <t>Bungalow</t>
  </si>
  <si>
    <t>TSCN</t>
  </si>
  <si>
    <t>VIL</t>
  </si>
  <si>
    <t>BE</t>
  </si>
  <si>
    <t>BCH</t>
  </si>
  <si>
    <t>VILL</t>
  </si>
  <si>
    <t>HORZ</t>
  </si>
  <si>
    <t>3/4X11.25X12</t>
  </si>
  <si>
    <t>GSTN</t>
  </si>
  <si>
    <t>PHANTOM</t>
  </si>
  <si>
    <t>FAS</t>
  </si>
  <si>
    <t>900PC/500SF</t>
  </si>
  <si>
    <t>Phantom</t>
  </si>
  <si>
    <t>End</t>
  </si>
  <si>
    <t>Clip</t>
  </si>
  <si>
    <t>25PCS</t>
  </si>
  <si>
    <t>Tiger</t>
  </si>
  <si>
    <t>Claw</t>
  </si>
  <si>
    <t>SHEATHING</t>
  </si>
  <si>
    <t>7/8"X</t>
  </si>
  <si>
    <t>YDS</t>
  </si>
  <si>
    <t>Extension</t>
  </si>
  <si>
    <t>Ladder</t>
  </si>
  <si>
    <t>28'</t>
  </si>
  <si>
    <t>32'</t>
  </si>
  <si>
    <t>Sky-Hi</t>
  </si>
  <si>
    <t>36'</t>
  </si>
  <si>
    <t>SAFETY</t>
  </si>
  <si>
    <t>NET</t>
  </si>
  <si>
    <t>STURDY</t>
  </si>
  <si>
    <t>ALU</t>
  </si>
  <si>
    <t>LADDER</t>
  </si>
  <si>
    <t>JACK</t>
  </si>
  <si>
    <t>#670</t>
  </si>
  <si>
    <t>Sturdy</t>
  </si>
  <si>
    <t>Standoff</t>
  </si>
  <si>
    <t>Alu</t>
  </si>
  <si>
    <t>Multi-Way</t>
  </si>
  <si>
    <t>225#</t>
  </si>
  <si>
    <t>#786</t>
  </si>
  <si>
    <t>7'</t>
  </si>
  <si>
    <t>#787</t>
  </si>
  <si>
    <t>#788</t>
  </si>
  <si>
    <t>ALUMINUM</t>
  </si>
  <si>
    <t>#912L</t>
  </si>
  <si>
    <t>2/Man</t>
  </si>
  <si>
    <t>#A1220</t>
  </si>
  <si>
    <t>LEVELER</t>
  </si>
  <si>
    <t>#CD10</t>
  </si>
  <si>
    <t>1/Man</t>
  </si>
  <si>
    <t>#EP6</t>
  </si>
  <si>
    <t>1/Mn</t>
  </si>
  <si>
    <t>#EP7</t>
  </si>
  <si>
    <t>#EP8</t>
  </si>
  <si>
    <t>#7072</t>
  </si>
  <si>
    <t>Hipstarter</t>
  </si>
  <si>
    <t>Small</t>
  </si>
  <si>
    <t>D/Pipe</t>
  </si>
  <si>
    <t>2-5/8"</t>
  </si>
  <si>
    <t>UniBrown</t>
  </si>
  <si>
    <t>D/PIPE</t>
  </si>
  <si>
    <t>STURDIMOUNT</t>
  </si>
  <si>
    <t>#SMS68TW</t>
  </si>
  <si>
    <t>RECEP</t>
  </si>
  <si>
    <t>#SMR68TW</t>
  </si>
  <si>
    <t>#SMU811TW4</t>
  </si>
  <si>
    <t>11"X33'</t>
  </si>
  <si>
    <t>20"X16.5'</t>
  </si>
  <si>
    <t>Flsh</t>
  </si>
  <si>
    <t>Flexseal</t>
  </si>
  <si>
    <t>Alu-Rex</t>
  </si>
  <si>
    <t>T-Rex</t>
  </si>
  <si>
    <t>ISC</t>
  </si>
  <si>
    <t>IC-5200D</t>
  </si>
  <si>
    <t>Mill</t>
  </si>
  <si>
    <t>M-5200</t>
  </si>
  <si>
    <t>Gutt</t>
  </si>
  <si>
    <t>Cln</t>
  </si>
  <si>
    <t>Sys</t>
  </si>
  <si>
    <t>Gld</t>
  </si>
  <si>
    <t>M-5300</t>
  </si>
  <si>
    <t>OC-5200D</t>
  </si>
  <si>
    <t>INSIDE</t>
  </si>
  <si>
    <t>MITRE</t>
  </si>
  <si>
    <t>DOWNPIPE</t>
  </si>
  <si>
    <t>STRAP</t>
  </si>
  <si>
    <t>GUTTER</t>
  </si>
  <si>
    <t>HANGER</t>
  </si>
  <si>
    <t>Left</t>
  </si>
  <si>
    <t>#11806-6</t>
  </si>
  <si>
    <t>RT</t>
  </si>
  <si>
    <t>ELBOW</t>
  </si>
  <si>
    <t>30D</t>
  </si>
  <si>
    <t>UNIBROWN</t>
  </si>
  <si>
    <t>Harvd</t>
  </si>
  <si>
    <t>Pop-In</t>
  </si>
  <si>
    <t>Outlet</t>
  </si>
  <si>
    <t>Rnd</t>
  </si>
  <si>
    <t>2-3/8"</t>
  </si>
  <si>
    <t>#1188-1</t>
  </si>
  <si>
    <t>12oz</t>
  </si>
  <si>
    <t>HERRBON</t>
  </si>
  <si>
    <t>.0235X11.875"</t>
  </si>
  <si>
    <t>Gut</t>
  </si>
  <si>
    <t>Blk/ComBr</t>
  </si>
  <si>
    <t>.024X11.875"</t>
  </si>
  <si>
    <t>Blk/ComBrn</t>
  </si>
  <si>
    <t>Cobbleston</t>
  </si>
  <si>
    <t>Harvrd</t>
  </si>
  <si>
    <t>ML</t>
  </si>
  <si>
    <t>Zephyr</t>
  </si>
  <si>
    <t>Saxony</t>
  </si>
  <si>
    <t>Villa</t>
  </si>
  <si>
    <t>Manufacture</t>
  </si>
  <si>
    <t>Class</t>
  </si>
  <si>
    <t>IKO Cambridge AR</t>
  </si>
  <si>
    <t>OC Truedef Dura Flex</t>
  </si>
  <si>
    <t>OC Truedef True Definition</t>
  </si>
  <si>
    <t>IKO Armorshake AR</t>
  </si>
  <si>
    <t>GAF Pro-Start Starter</t>
  </si>
  <si>
    <t>IKO Armour Start</t>
  </si>
  <si>
    <t>IKO AR Hip and Ridge 12</t>
  </si>
  <si>
    <t>IKO Ultra HP</t>
  </si>
  <si>
    <t>IKO Ultra HP IR</t>
  </si>
  <si>
    <t>OC Pro-Edge AR Hip &amp; Ridge</t>
  </si>
  <si>
    <t xml:space="preserve">OC Impactridge AR </t>
  </si>
  <si>
    <t>OC Starter Strip Plus</t>
  </si>
  <si>
    <t>GAF Feltbuster Syn Roof Felt</t>
  </si>
  <si>
    <t>Roofnado Sahara Breath Syn</t>
  </si>
  <si>
    <t>IKO Stormtite</t>
  </si>
  <si>
    <t>RhinoRoof U20 Synthetic</t>
  </si>
  <si>
    <t xml:space="preserve">Resisto LB-Pro 36" </t>
  </si>
  <si>
    <t xml:space="preserve">Rhinoroof Gran Self Adhered </t>
  </si>
  <si>
    <t>Sky Lights Flashing LF</t>
  </si>
  <si>
    <t>lf</t>
  </si>
  <si>
    <t>Duraflo Weatherpro Ridge Sol</t>
  </si>
  <si>
    <t>Vent Max Flat Roof Vent 101</t>
  </si>
  <si>
    <t>Vent Max Flat Roof Vent 20</t>
  </si>
  <si>
    <t>4" B-VENT</t>
  </si>
  <si>
    <t>4" STORM</t>
  </si>
  <si>
    <t>4" RAIN CAP</t>
  </si>
  <si>
    <t>7" RAIN CAP</t>
  </si>
  <si>
    <t>7" STORM</t>
  </si>
  <si>
    <t>7" B-VENT</t>
  </si>
  <si>
    <t>8" RAIN CAP</t>
  </si>
  <si>
    <t>8" STORM</t>
  </si>
  <si>
    <t>8" B-VENT</t>
  </si>
  <si>
    <t>10" RAIN CAP</t>
  </si>
  <si>
    <t>10" STORM</t>
  </si>
  <si>
    <t>10" B-VENT</t>
  </si>
  <si>
    <t>Lomenco LOR9-4 9" OMNI RDGE VENT 4'</t>
  </si>
  <si>
    <t xml:space="preserve">LOMANCO 105 UNDER EAVE VENT </t>
  </si>
  <si>
    <t>RG Designer Fascia 10"</t>
  </si>
  <si>
    <t>RG Trad Fascia 6"</t>
  </si>
  <si>
    <t>RG Trad Fascia 7.5"</t>
  </si>
  <si>
    <t>GAF Weatherwatch 36"</t>
  </si>
  <si>
    <t>#15 Plain Felt 36"</t>
  </si>
  <si>
    <t>ABC Supply Co.</t>
  </si>
  <si>
    <t>PO</t>
  </si>
  <si>
    <t>WO</t>
  </si>
  <si>
    <t>Soffits Panels (12' x 16")</t>
  </si>
  <si>
    <t>• INSTALL Hardie SIDING AS PER MANUFACTURERS SPEC.</t>
  </si>
  <si>
    <t>hilarioalex298@yahoo.com</t>
  </si>
  <si>
    <t>403-401-4375</t>
  </si>
  <si>
    <t>Filcan Contracting Ltd.</t>
  </si>
  <si>
    <t>HARDIE CLADDING WORK ORDER</t>
  </si>
  <si>
    <t>Stone Grey</t>
  </si>
  <si>
    <t>Cobble Stone</t>
  </si>
  <si>
    <t>Common Brown</t>
  </si>
  <si>
    <t>Universal Brown</t>
  </si>
  <si>
    <t>Flashing Colours</t>
  </si>
  <si>
    <t>Artic White</t>
  </si>
  <si>
    <t>Navajo Beige</t>
  </si>
  <si>
    <t>Monterey Taupe</t>
  </si>
  <si>
    <t>Khaki Brown</t>
  </si>
  <si>
    <t>Pearl Gray</t>
  </si>
  <si>
    <t>Light Mist</t>
  </si>
  <si>
    <t>Gray Slate</t>
  </si>
  <si>
    <t>Night Gray </t>
  </si>
  <si>
    <t>Boothbay Blue</t>
  </si>
  <si>
    <t>Evening Blue</t>
  </si>
  <si>
    <t>Aged Pewter</t>
  </si>
  <si>
    <t>Iron Gray</t>
  </si>
  <si>
    <t>Deep Ocean</t>
  </si>
  <si>
    <t>Mountain Sage</t>
  </si>
  <si>
    <t>Countrylane Red</t>
  </si>
  <si>
    <t>Rich Espresso</t>
  </si>
  <si>
    <t>James Hardie Colours</t>
  </si>
  <si>
    <t>Caulking - Quad Max</t>
  </si>
  <si>
    <t>Smooth Panels ColorPlus 4' x 8'</t>
  </si>
  <si>
    <t>Smooth Panels ColorPlus 4' x 10'</t>
  </si>
  <si>
    <t>Hardie Sturdi - Hose Bib Mt</t>
  </si>
  <si>
    <t>Hardie Sturdi - Coach Light Mt</t>
  </si>
  <si>
    <t>Hardie Sturdi - Vent Mount</t>
  </si>
  <si>
    <t>Hardie Colour Match 1 1/2" Screws</t>
  </si>
  <si>
    <t>Fasteners - 2 1/4" Coil Nails</t>
  </si>
  <si>
    <t>Staggared - Primed</t>
  </si>
  <si>
    <t>Straight - Primed</t>
  </si>
  <si>
    <t>4x8 - Primed</t>
  </si>
  <si>
    <t>4x10 - Primed</t>
  </si>
  <si>
    <t>Select Panels ColorPlus</t>
  </si>
  <si>
    <t>Cedarmill 4X10 Artic White</t>
  </si>
  <si>
    <t>Cedarmill 4X8 Primed</t>
  </si>
  <si>
    <t>Cedarmill 4X8 Artic White</t>
  </si>
  <si>
    <t>Hardie Touch up Kit (Pint)</t>
  </si>
  <si>
    <t>Select Self Adhearing Membrane</t>
  </si>
  <si>
    <t>Select Trim &amp; Battens Artic White</t>
  </si>
  <si>
    <t>Avalable Colours</t>
  </si>
  <si>
    <t>1, 2, 14</t>
  </si>
  <si>
    <t>1, 14, 20</t>
  </si>
  <si>
    <t>1, 14</t>
  </si>
  <si>
    <t>1, 12</t>
  </si>
  <si>
    <t>Roughsawn - 5/4" X 2.5" X 12'</t>
  </si>
  <si>
    <t>1, 2, 3, 4, 5, 20</t>
  </si>
  <si>
    <t xml:space="preserve">1, 2, 6, 14, </t>
  </si>
  <si>
    <t>Code</t>
  </si>
  <si>
    <t xml:space="preserve">ABC Pricing
as of
February, 2024
for
James Hardie </t>
  </si>
  <si>
    <t>Labour Pricing
as per
Alex Hilario</t>
  </si>
  <si>
    <t>&lt;~~ Insulation add $0.50</t>
  </si>
  <si>
    <t>50 - 100 km From the City   +</t>
  </si>
  <si>
    <t>100 - 200 km From the City   +</t>
  </si>
  <si>
    <t>3M 3015 18" X 75ft Vapor Barrier</t>
  </si>
  <si>
    <t>Haltex Building Paper 20 min 4SQ/rl</t>
  </si>
  <si>
    <t>Haltex Building Paper 30 min 4SQ/rl</t>
  </si>
  <si>
    <t>IKO Acrylistick SA VB 36" x 75'</t>
  </si>
  <si>
    <t>IKO Acrylistick SA VB 6" x 75'</t>
  </si>
  <si>
    <t>Phoenix Vent</t>
  </si>
  <si>
    <t>Euroshield Rundle (Driftwood)</t>
  </si>
  <si>
    <t>Euroshield Beaumont HP</t>
  </si>
  <si>
    <t>Euroshield Beaumont HP (Driftwood)</t>
  </si>
  <si>
    <t>Rundle Euroshield Starter (Driftwood)</t>
  </si>
  <si>
    <t>Euroshield Hip &amp; Ridge Ranch (Driftwood)</t>
  </si>
  <si>
    <t>Euroshield Hip &amp; Ridge Ranch</t>
  </si>
  <si>
    <t>Euroshield Hip &amp; Ridge Rundle</t>
  </si>
  <si>
    <t>Euroshield Hip &amp; Ridge Rundle (Driftwood)</t>
  </si>
  <si>
    <t>Euroshield Hip &amp; Ridge Beaumont</t>
  </si>
  <si>
    <t>Euroshield Hip &amp; Ridge Beaumont (Driftwood)</t>
  </si>
  <si>
    <t>Euroshield Hip &amp; Ridge Vermont</t>
  </si>
  <si>
    <t>Euroshield Hip &amp; Ridge Vermont (Driftwood)</t>
  </si>
  <si>
    <t>PVC Repairs:</t>
  </si>
  <si>
    <t>Setup Fee</t>
  </si>
  <si>
    <t>Hits</t>
  </si>
  <si>
    <t>Markup</t>
  </si>
  <si>
    <t>Window Screen Repairs:</t>
  </si>
  <si>
    <t>Small- Roughly 2ft x 2ft</t>
  </si>
  <si>
    <t>Medium- Roughly 3ft x 3ft</t>
  </si>
  <si>
    <t>Large- Roughly 4ft x 4ft</t>
  </si>
  <si>
    <t>X-Large- Roughly 5ft x 5ft</t>
  </si>
  <si>
    <t>Straight - 6" Exp. - 2 SQ/Lift - PRIMED</t>
  </si>
  <si>
    <t>Staggered - 7" Exp. - 2 SQ/Lift - PRIMED</t>
  </si>
  <si>
    <t>ABC Feburary 2025</t>
  </si>
  <si>
    <t>Tyvek House Wrap 9'x100'</t>
  </si>
  <si>
    <t>Red Zone Peel &amp; Stick 4"</t>
  </si>
  <si>
    <t>Polyiso EnerAir 1/2- 4'x8'</t>
  </si>
  <si>
    <t>Heather.Harms@QXO.com</t>
  </si>
  <si>
    <t>lisa.darwent@abcsupply.com</t>
  </si>
  <si>
    <t>gsc455@gentek.ca</t>
  </si>
  <si>
    <t>4069 112 Ave SE,</t>
  </si>
  <si>
    <t>T2C 2Y1</t>
  </si>
  <si>
    <t>403-640-0906</t>
  </si>
  <si>
    <t>Gentek Building Products</t>
  </si>
  <si>
    <t>Drip Edge - 30ga</t>
  </si>
  <si>
    <t xml:space="preserve">Drip Edge - 26ga - 1.5" </t>
  </si>
  <si>
    <t>Drip Edge - 30ga - 1.5" Spec</t>
  </si>
  <si>
    <t xml:space="preserve">Drip Edge - 30ga - 2" </t>
  </si>
  <si>
    <t>Drip Edge - 26ga</t>
  </si>
  <si>
    <t>Drip Edge - 24ga</t>
  </si>
  <si>
    <t>Drip Edge - 22ga</t>
  </si>
  <si>
    <t>Drip Edge - 24ga 'T' Style</t>
  </si>
  <si>
    <t>Drip Edge - 22ga 'T' Style</t>
  </si>
  <si>
    <t>Rake Edge - 30ga</t>
  </si>
  <si>
    <t>Rake Edge - 30ga - 1" Spec.</t>
  </si>
  <si>
    <t xml:space="preserve">Rake Edge - 30ga - 2" </t>
  </si>
  <si>
    <t>Rake Edge - 26ga</t>
  </si>
  <si>
    <t>Rake Edge - 24ga</t>
  </si>
  <si>
    <t>Rake Edge - 22ga</t>
  </si>
  <si>
    <t>Rake Edge - 24ga 'T' Style</t>
  </si>
  <si>
    <t>Rake Edge - 22ga 'T' Style</t>
  </si>
  <si>
    <t xml:space="preserve">Valley Flashing - 30ga </t>
  </si>
  <si>
    <t xml:space="preserve">Valley Flashing - 28ga </t>
  </si>
  <si>
    <t xml:space="preserve">Valley Flashing - 26ga </t>
  </si>
  <si>
    <t xml:space="preserve">"W" Valley Flashing - 30ga </t>
  </si>
  <si>
    <t xml:space="preserve">"W" Valley Flashing - 28ga </t>
  </si>
  <si>
    <t xml:space="preserve">"W" Valley Flashing - 26ga </t>
  </si>
  <si>
    <t xml:space="preserve">"W" Valley Flashing - 24ga </t>
  </si>
  <si>
    <t xml:space="preserve">"W" Valley Flashing - 22ga </t>
  </si>
  <si>
    <t xml:space="preserve">Rake Edge - 26ga - 1" </t>
  </si>
  <si>
    <t>Wall Flashing - 26ga</t>
  </si>
  <si>
    <t>Step Flashing - 26 ga</t>
  </si>
  <si>
    <t>GAF Timberline Ultra HD HDZ</t>
  </si>
  <si>
    <t>GAF Seal-A-Ridge Armorshield</t>
  </si>
  <si>
    <t>CertainTeed Northgate Assessory</t>
  </si>
  <si>
    <t>Step Flashing - 30 ga</t>
  </si>
  <si>
    <t>Wall Flashing - 30ga</t>
  </si>
  <si>
    <t>GAF Stormguard 36"</t>
  </si>
  <si>
    <t>Malarkey Vista NEX AR</t>
  </si>
  <si>
    <t>Profit should be 30% for commercial or multi family proj.</t>
  </si>
  <si>
    <t xml:space="preserve">Pricing February 01, 2025 New Age Insulation Ltd. </t>
  </si>
  <si>
    <t>Toilet rental / Month</t>
  </si>
  <si>
    <t>Mo.</t>
  </si>
  <si>
    <t>ABC
Waste Potties
Mega Fence</t>
  </si>
  <si>
    <t>Total SQUARE per slope</t>
  </si>
  <si>
    <t>L trim 28ga.</t>
  </si>
  <si>
    <t>Hardie Colours</t>
  </si>
  <si>
    <t>Arctic White</t>
  </si>
  <si>
    <t>Iron Grey</t>
  </si>
  <si>
    <t>Night Grey</t>
  </si>
  <si>
    <t xml:space="preserve">Standing Metal Seam Roofing </t>
  </si>
  <si>
    <t>SQ @</t>
  </si>
  <si>
    <t xml:space="preserve"> A</t>
  </si>
  <si>
    <t>RFP -</t>
  </si>
  <si>
    <t>Screens</t>
  </si>
  <si>
    <t>Supply and Install</t>
  </si>
  <si>
    <t>Metal Flashing</t>
  </si>
  <si>
    <t>Window Screens</t>
  </si>
  <si>
    <t>Window Hits</t>
  </si>
  <si>
    <t>Creative</t>
  </si>
  <si>
    <t>Window Well Cover</t>
  </si>
  <si>
    <t>https://www.rona.ca/en/product/atlantic-ail-62-x-30-in-metal-window-well-cover-wwf1570760cv-22395050</t>
  </si>
  <si>
    <t>Light Fixture</t>
  </si>
  <si>
    <t>https://www.homedepot.ca/product/bel-air-lighting-pershing-7-inch-1-light-white-outdoor-wall-light-with-opal-glass/1001757391</t>
  </si>
  <si>
    <t>Patio Screen door</t>
  </si>
  <si>
    <t>Pillar Cap</t>
  </si>
  <si>
    <t>Masonry Cap</t>
  </si>
  <si>
    <t>ELLISDON - Bid Submission Template</t>
  </si>
  <si>
    <t>Price Increase Rider</t>
  </si>
  <si>
    <t>DOCUMENT 1103-001: Fall Protection Plan</t>
  </si>
  <si>
    <t>Revision: # 003</t>
  </si>
  <si>
    <t>Fall Protection Plan</t>
  </si>
  <si>
    <t>Refer to attached manufacturer’s specifications.</t>
  </si>
  <si>
    <t>Rescue Procedures</t>
  </si>
  <si>
    <t>Contact EMS - 911. If outside of a City, EMS may not have the required equipment or training to perform rescue. In that case, write out alternative rescue plan.</t>
  </si>
  <si>
    <t>Worker Sign-off.</t>
  </si>
  <si>
    <t xml:space="preserve">Fall Protection Plan created by: </t>
  </si>
  <si>
    <r>
      <t>Mega</t>
    </r>
    <r>
      <rPr>
        <u/>
        <sz val="10"/>
        <color rgb="FFFF0000"/>
        <rFont val="Arial Narrow"/>
        <family val="2"/>
      </rPr>
      <t xml:space="preserve"> </t>
    </r>
    <r>
      <rPr>
        <b/>
        <u/>
        <sz val="10"/>
        <color rgb="FFFF0000"/>
        <rFont val="Arial"/>
        <family val="2"/>
      </rPr>
      <t>ROOFING &amp; EXTERIORS Inc.</t>
    </r>
  </si>
  <si>
    <t>143 Huggard Road, Calgary, Alberta T3Z 2C2</t>
  </si>
  <si>
    <t>Phone: (403) 829-9646; (403) 978-1053</t>
  </si>
  <si>
    <t>www.megaroofing.ca</t>
  </si>
  <si>
    <t>Site Address:</t>
  </si>
  <si>
    <t xml:space="preserve">Company Name: </t>
  </si>
  <si>
    <t>Date and period for which the plan is valid:</t>
  </si>
  <si>
    <t>to</t>
  </si>
  <si>
    <t>Fall Hazard(s) at the site.
===================
Outline the specific situation where fall protection is required (i.e.: height, hazards below, roof pitch, snow/ice conditions)</t>
  </si>
  <si>
    <t>Fall Protection System to be
used at the Work Site.
===================
Details about the type of equipment
(travel restraint, fall arrest, fixed
anchor, lifeline, and grab, SRL,
shock-absorber, etc.), brands and
models of components, length of
lanyard, etc.</t>
  </si>
  <si>
    <t>Anchors to be used
===================
Be specific. Describe the precise anchor point, including anchor strength and location relative to
worker. If using a lifeline and rope grab, there are two anchor points, one where the lifeline is tied off; and one where the rope grab is located.
There must be a stop at the lowest acceptable height for the grab. 
Note:
In most cases when using a lifeline there will be swing which adds distance to the fall.</t>
  </si>
  <si>
    <t>Clearance Requirement
====================
A = Length of the Lanyard
B = Extension of Shock Absorber
C = D-Ring Slippage (always 1’)
D = Height of Worker to the D-Ring
E = Safety Factor (2’). Also include any swing distance here.</t>
  </si>
  <si>
    <t>Add A + B + C + D + E + , to determine minimum distance from anchor point to nearest surface below worker.
Clearance requirement = 	 Distance to surface below = 	 
Clearance requirement must be less than the distance from the worker to the nearest surface below the worker.</t>
  </si>
  <si>
    <t>Procedures to assemble, maintain, inspect, use, and disassemble the Fall Protection System.
====================
Be detailed. Or attach specifications and ensure user is familiar with requirements.</t>
  </si>
  <si>
    <t xml:space="preserve">Print Name:
				</t>
  </si>
  <si>
    <t>Signature:</t>
  </si>
  <si>
    <t>Copywrite © Mega 2026</t>
  </si>
  <si>
    <t>Page 1 of 2</t>
  </si>
  <si>
    <t>Health and Safety Manual</t>
  </si>
  <si>
    <r>
      <rPr>
        <b/>
        <i/>
        <u/>
        <sz val="11"/>
        <color theme="0"/>
        <rFont val="Handel Gothic"/>
      </rPr>
      <t>Mega</t>
    </r>
    <r>
      <rPr>
        <b/>
        <i/>
        <u/>
        <sz val="11"/>
        <color theme="0"/>
        <rFont val="Calibri"/>
        <family val="2"/>
        <scheme val="minor"/>
      </rPr>
      <t xml:space="preserve"> ROOFING &amp; EXTERIORS Inc.</t>
    </r>
  </si>
  <si>
    <t>Page 2 of 2</t>
  </si>
  <si>
    <t>•	Prominent Roof Pitch</t>
  </si>
  <si>
    <t xml:space="preserve">The following are identified fall hazard(s) at the site:
•	Fall from a height greater than or equal to 3 meters (10’)
•	Weather Conditions:
•	</t>
  </si>
  <si>
    <t>Effective Date:</t>
  </si>
  <si>
    <t>2026 01 22</t>
  </si>
  <si>
    <t>Convoy</t>
  </si>
  <si>
    <t>Malarkey 1030 SecureStart</t>
  </si>
  <si>
    <t>SENTRY-SAHARA ANCHORDECK BU15-48inX250ft-10SQ</t>
  </si>
  <si>
    <t>Valley Flashing - 24ga</t>
  </si>
  <si>
    <t xml:space="preserve">RoofMart </t>
  </si>
  <si>
    <t>2026 01 23</t>
  </si>
  <si>
    <t>Hal #15 Asphalt Felt, Plain</t>
  </si>
  <si>
    <t>Hal 2sq Felt Heavy Duty</t>
  </si>
  <si>
    <t>Hal #15 Shake Felt 18inch</t>
  </si>
  <si>
    <t>Hal #30 18in Shake Felt</t>
  </si>
  <si>
    <t>CoverPro 2000 Synthetic Underlayment</t>
  </si>
  <si>
    <t>Goldshield Ice &amp; Water Protector</t>
  </si>
  <si>
    <t xml:space="preserve">ABC Pricing
as of
January, 2026
for
James Hardie </t>
  </si>
  <si>
    <t>Select Hardie Plank</t>
  </si>
  <si>
    <t>Hardie Plank - 8.25, CM, Primed, 12'</t>
  </si>
  <si>
    <t>Hardie Plank - 8.25, CM, Statement, 12'</t>
  </si>
  <si>
    <t>Hardie Plank - 8.25, Smooth, Primed, 12'</t>
  </si>
  <si>
    <t>Hardie Plank - 8.25, Smooth, Statement, 12'</t>
  </si>
  <si>
    <t>Smooth 4X8 Primed</t>
  </si>
  <si>
    <t>Smooth 4X10 Primed</t>
  </si>
  <si>
    <t>Smooth 4X8 Artic White</t>
  </si>
  <si>
    <t>Smooth 4X10 Artic White</t>
  </si>
  <si>
    <t>Cedarmill Panels ColorPlus 4' x 8'</t>
  </si>
  <si>
    <t>Cedarmill Panels ColorPlus 4' x 10'</t>
  </si>
  <si>
    <t>Cedarmill 4X10 Primed</t>
  </si>
  <si>
    <t>Panel, Sierra 8, 4x8, Primed</t>
  </si>
  <si>
    <t>Panel, Sierra 8, 4x10, Primed</t>
  </si>
  <si>
    <t>Straight - 6" Exp. - 2 SQ/Lift - PAINTED</t>
  </si>
  <si>
    <t>Staggered - 7" Exp. - 2 SQ/Lift - PAINTED</t>
  </si>
  <si>
    <t>Select - Corner Trim Artic White</t>
  </si>
  <si>
    <t>Bellyband</t>
  </si>
  <si>
    <t>Header</t>
  </si>
  <si>
    <t>Jamb</t>
  </si>
  <si>
    <t>B &amp; B</t>
  </si>
  <si>
    <t>Labour Pricing
as per
Alex Hilario
2026</t>
  </si>
  <si>
    <t>Panel HT</t>
  </si>
  <si>
    <t>Euroshield</t>
  </si>
  <si>
    <t>2026 01 01</t>
  </si>
  <si>
    <t>Alpine Snow Guards PD30Z</t>
  </si>
  <si>
    <t>Alpine Snow Guards Alto8000</t>
  </si>
  <si>
    <t>Euroshield (L) Eave</t>
  </si>
  <si>
    <t>Euroshield (L) Eave DW</t>
  </si>
  <si>
    <t>Euroshield (L) Rake</t>
  </si>
  <si>
    <t>Euroshield (L) Rake DW</t>
  </si>
  <si>
    <t>Euroshield (L) Valley</t>
  </si>
  <si>
    <t>Euroshield (L) Valley DW</t>
  </si>
  <si>
    <t>Slope as a percent</t>
  </si>
  <si>
    <t>Slope as an angle</t>
  </si>
  <si>
    <t>Driver</t>
  </si>
  <si>
    <t>Invoicing</t>
  </si>
  <si>
    <t>%</t>
  </si>
  <si>
    <t>Total Invocing:</t>
  </si>
  <si>
    <t>TOTAL PROJECT PROFIT:</t>
  </si>
  <si>
    <t>UN/Paid</t>
  </si>
  <si>
    <t>C1</t>
  </si>
  <si>
    <t>C2</t>
  </si>
  <si>
    <t>C3</t>
  </si>
  <si>
    <t>C4</t>
  </si>
  <si>
    <t>C5</t>
  </si>
  <si>
    <t>C6</t>
  </si>
  <si>
    <t>Driver Hours - Marwan</t>
  </si>
  <si>
    <t>SOFT METALS - Material &amp; Delivery Costs</t>
  </si>
  <si>
    <t>VINYL - Material &amp; Delivery Costs</t>
  </si>
  <si>
    <t>HARDIE  - Material &amp; Delivery Costs</t>
  </si>
  <si>
    <t>TOTAL SOFT METALS CONTRACT VALUE:</t>
  </si>
  <si>
    <t>TOTAL VINYL CONTRACT VALUE:</t>
  </si>
  <si>
    <t>TOTAL HARDIE CONTRACT VALUE:</t>
  </si>
  <si>
    <t>ROOFING - General Requirements</t>
  </si>
  <si>
    <t>SOFT METALS -  General Requirements</t>
  </si>
  <si>
    <t>ROOFING - Labour</t>
  </si>
  <si>
    <t>SOFT METALS - Labour</t>
  </si>
  <si>
    <t>VINYL - Labour</t>
  </si>
  <si>
    <t>HARDIE - Labour</t>
  </si>
  <si>
    <t>Total Labour Cost:</t>
  </si>
  <si>
    <t>VINYL - General Requirements</t>
  </si>
  <si>
    <t>HARDIE - General Requirements</t>
  </si>
  <si>
    <t>Site Control POT</t>
  </si>
  <si>
    <t>OHP</t>
  </si>
  <si>
    <t>Scaffolding</t>
  </si>
  <si>
    <t>POT</t>
  </si>
  <si>
    <t>Booms</t>
  </si>
  <si>
    <t>Dump</t>
  </si>
  <si>
    <t>SCAFOLDING PURCHASE ORDER</t>
  </si>
  <si>
    <t>METALS PURCHASE ORDER</t>
  </si>
  <si>
    <t>System Details:
Roof Anchors: Installed at the peak (ridge) of a pitched roof, usually attached with nails or screws to structural members.
Full Body Harness: Should be comfortable, lightweight, and properly adjusted, with 5-point adjustments.
Lifelines &amp; Rope Grabs: Verticle or horizontal lifelines with a self-tracking rope grab that locks automatically in a fall.
Shock-Absorbing Lanyard: Limits the impact force on a worker’s body during a fall</t>
  </si>
  <si>
    <t>Anchorage Details:
Permanent Roof Anchors: Usually made of steel or aluminum, these are fastened securely to the structural roof decking or joists, commonly used for high-rise window washing or frequent maintenance.
Portable/Reusable Anchors: Often designed for residential construction, these steel anchors can be reinstalled in different locations.
Standing Seam Anchors: Non-penetrating clamps that securely grip metal roof seams, ideal for preventing damage during installation.
Residential Anchors (Wood): Fixed with multiple fasteners into rafters (2x4, 2x6, etc.), often designed to lie flat under roofing materials.</t>
  </si>
  <si>
    <t>Peter Handsor 403-978-1053 ext. 205 Peter@megaroofing.ca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</si>
</sst>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0">
    <numFmt numFmtId="8" formatCode="&quot;$&quot;#,##0.00;[Red]\-&quot;$&quot;#,##0.00"/>
    <numFmt numFmtId="44" formatCode="_-&quot;$&quot;* #,##0.00_-;\-&quot;$&quot;* #,##0.00_-;_-&quot;$&quot;* &quot;-&quot;??_-;_-@_-"/>
    <numFmt numFmtId="43" formatCode="_-* #,##0.00_-;\-* #,##0.00_-;_-* &quot;-&quot;??_-;_-@_-"/>
    <numFmt numFmtId="164" formatCode="00000"/>
    <numFmt numFmtId="165" formatCode="_(* #,##0.00_);_(* \(#,##0.00\);_(* &quot;-&quot;??_);_(@_)"/>
    <numFmt numFmtId="166" formatCode="[$-1009]d\-mmm\-yy;@"/>
    <numFmt numFmtId="167" formatCode="&quot;$&quot;#,##0.00"/>
    <numFmt numFmtId="168" formatCode="#,##0.0"/>
    <numFmt numFmtId="169" formatCode="0.0"/>
    <numFmt numFmtId="170" formatCode="#,##0_ ;\-#,##0\ "/>
    <numFmt numFmtId="171" formatCode="_-&quot;$&quot;* #,##0_-;\-&quot;$&quot;* #,##0_-;_-&quot;$&quot;* &quot;-&quot;??_-;_-@_-"/>
    <numFmt numFmtId="172" formatCode="&quot;$&quot;#,##0"/>
    <numFmt numFmtId="173" formatCode="[$-1009]mmmm\ d\,\ yyyy;@"/>
    <numFmt numFmtId="174" formatCode="#,##0_ ;[Red]\-#,##0\ "/>
    <numFmt numFmtId="175" formatCode="_-* #,##0_-;\-* #,##0_-;_-* &quot;-&quot;??_-;_-@_-"/>
    <numFmt numFmtId="176" formatCode="#,##0.0_ ;[Red]\-#,##0.0\ "/>
    <numFmt numFmtId="177" formatCode="mmm\ d\,\ yyyy"/>
    <numFmt numFmtId="178" formatCode="yyyy/mm/dd;@"/>
    <numFmt numFmtId="179" formatCode="[$-F800]dddd\,\ mmmm\ dd\,\ yyyy"/>
    <numFmt numFmtId="180" formatCode="0.0%"/>
  </numFmts>
  <fonts count="143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6"/>
      <name val="Arial"/>
      <family val="2"/>
    </font>
    <font>
      <sz val="8"/>
      <name val="Arial"/>
      <family val="2"/>
    </font>
    <font>
      <b/>
      <sz val="11"/>
      <name val="Arial"/>
      <family val="2"/>
    </font>
    <font>
      <sz val="12"/>
      <name val="Arial"/>
      <family val="2"/>
    </font>
    <font>
      <sz val="12"/>
      <name val="Times New Roman"/>
      <family val="1"/>
    </font>
    <font>
      <sz val="10"/>
      <name val="MS Sans Serif"/>
      <family val="2"/>
    </font>
    <font>
      <b/>
      <u/>
      <sz val="9"/>
      <name val="Arial"/>
      <family val="2"/>
    </font>
    <font>
      <sz val="9"/>
      <name val="Arial"/>
      <family val="2"/>
    </font>
    <font>
      <sz val="9"/>
      <name val="Arial Black"/>
      <family val="2"/>
    </font>
    <font>
      <b/>
      <sz val="9"/>
      <color rgb="FFFF0000"/>
      <name val="Arial"/>
      <family val="2"/>
    </font>
    <font>
      <b/>
      <u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9"/>
      <color rgb="FF0000FF"/>
      <name val="Arial"/>
      <family val="2"/>
    </font>
    <font>
      <b/>
      <sz val="9"/>
      <name val="Arial"/>
      <family val="2"/>
    </font>
    <font>
      <sz val="9"/>
      <color indexed="9"/>
      <name val="Arial"/>
      <family val="2"/>
    </font>
    <font>
      <b/>
      <sz val="16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28"/>
      <name val="Agency FB"/>
      <family val="2"/>
    </font>
    <font>
      <sz val="28"/>
      <color theme="1"/>
      <name val="Agency FB"/>
      <family val="2"/>
    </font>
    <font>
      <sz val="8"/>
      <name val="Arial Narrow"/>
      <family val="2"/>
    </font>
    <font>
      <b/>
      <sz val="8"/>
      <name val="Arial"/>
      <family val="2"/>
    </font>
    <font>
      <sz val="8"/>
      <color rgb="FF0000FF"/>
      <name val="Arial"/>
      <family val="2"/>
    </font>
    <font>
      <b/>
      <u/>
      <sz val="8"/>
      <name val="Arial"/>
      <family val="2"/>
    </font>
    <font>
      <sz val="8"/>
      <color rgb="FFFF0000"/>
      <name val="Arial"/>
      <family val="2"/>
    </font>
    <font>
      <sz val="8"/>
      <color theme="1"/>
      <name val="Arial"/>
      <family val="2"/>
    </font>
    <font>
      <sz val="9"/>
      <color theme="5" tint="-0.249977111117893"/>
      <name val="Arial"/>
      <family val="2"/>
    </font>
    <font>
      <sz val="9"/>
      <color rgb="FFC00000"/>
      <name val="Arial"/>
      <family val="2"/>
    </font>
    <font>
      <sz val="6"/>
      <color rgb="FFC00000"/>
      <name val="Arial"/>
      <family val="2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rgb="FFFF0000"/>
      <name val="Arial"/>
      <family val="2"/>
    </font>
    <font>
      <sz val="9"/>
      <color theme="1"/>
      <name val="Arial"/>
      <family val="2"/>
    </font>
    <font>
      <b/>
      <sz val="9"/>
      <color theme="1"/>
      <name val="Arial"/>
      <family val="2"/>
    </font>
    <font>
      <sz val="12"/>
      <color rgb="FF0000FF"/>
      <name val="Arial"/>
      <family val="2"/>
    </font>
    <font>
      <b/>
      <u/>
      <sz val="9"/>
      <color theme="0" tint="-4.9989318521683403E-2"/>
      <name val="Arial"/>
      <family val="2"/>
    </font>
    <font>
      <b/>
      <sz val="11"/>
      <color theme="0" tint="-0.34998626667073579"/>
      <name val="Arial"/>
      <family val="2"/>
    </font>
    <font>
      <sz val="9"/>
      <color theme="0" tint="-0.34998626667073579"/>
      <name val="Arial"/>
      <family val="2"/>
    </font>
    <font>
      <sz val="8"/>
      <color theme="0" tint="-0.34998626667073579"/>
      <name val="Arial"/>
      <family val="2"/>
    </font>
    <font>
      <b/>
      <sz val="9"/>
      <color theme="9" tint="-0.499984740745262"/>
      <name val="Arial"/>
      <family val="2"/>
    </font>
    <font>
      <b/>
      <sz val="9"/>
      <color rgb="FFC00000"/>
      <name val="Arial"/>
      <family val="2"/>
    </font>
    <font>
      <b/>
      <sz val="14"/>
      <color rgb="FFFF0000"/>
      <name val="Arial"/>
      <family val="2"/>
    </font>
    <font>
      <b/>
      <sz val="11"/>
      <color rgb="FFFF0000"/>
      <name val="Arial"/>
      <family val="2"/>
    </font>
    <font>
      <b/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b/>
      <sz val="8"/>
      <color theme="4" tint="-0.249977111117893"/>
      <name val="Arial Narrow"/>
      <family val="2"/>
    </font>
    <font>
      <sz val="11"/>
      <color theme="4" tint="-0.249977111117893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sz val="8"/>
      <color theme="1"/>
      <name val="Times New Roman"/>
      <family val="1"/>
    </font>
    <font>
      <b/>
      <sz val="11"/>
      <name val="Arial Narrow"/>
      <family val="2"/>
    </font>
    <font>
      <sz val="11"/>
      <name val="Arial Narrow"/>
      <family val="2"/>
    </font>
    <font>
      <b/>
      <sz val="12"/>
      <name val="Arial Narrow"/>
      <family val="2"/>
    </font>
    <font>
      <b/>
      <sz val="48"/>
      <color theme="2"/>
      <name val="Arial"/>
      <family val="2"/>
    </font>
    <font>
      <b/>
      <sz val="36"/>
      <color theme="4" tint="0.59999389629810485"/>
      <name val="Arial"/>
      <family val="2"/>
    </font>
    <font>
      <b/>
      <sz val="36"/>
      <color theme="7" tint="0.59999389629810485"/>
      <name val="Arial"/>
      <family val="2"/>
    </font>
    <font>
      <u/>
      <sz val="9"/>
      <color theme="10"/>
      <name val="Calibri"/>
      <family val="2"/>
      <scheme val="minor"/>
    </font>
    <font>
      <sz val="12"/>
      <color rgb="FFFF0000"/>
      <name val="Arial"/>
      <family val="2"/>
    </font>
    <font>
      <b/>
      <sz val="9"/>
      <color theme="2" tint="-0.499984740745262"/>
      <name val="Arial"/>
      <family val="2"/>
    </font>
    <font>
      <sz val="8"/>
      <color theme="1"/>
      <name val="Calibri"/>
      <family val="2"/>
      <scheme val="minor"/>
    </font>
    <font>
      <u/>
      <sz val="8"/>
      <color theme="10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color theme="1"/>
      <name val="Verdana"/>
      <family val="2"/>
    </font>
    <font>
      <sz val="12"/>
      <color theme="7" tint="0.79998168889431442"/>
      <name val="Arial"/>
      <family val="2"/>
    </font>
    <font>
      <sz val="9"/>
      <color theme="7" tint="0.79998168889431442"/>
      <name val="Arial"/>
      <family val="2"/>
    </font>
    <font>
      <sz val="9"/>
      <color theme="7" tint="0.79998168889431442"/>
      <name val="Arial Black"/>
      <family val="2"/>
    </font>
    <font>
      <b/>
      <sz val="11"/>
      <color rgb="FFC00000"/>
      <name val="Calibri"/>
      <family val="2"/>
      <scheme val="minor"/>
    </font>
    <font>
      <sz val="11"/>
      <color rgb="FFC00000"/>
      <name val="Calibri"/>
      <family val="2"/>
      <scheme val="minor"/>
    </font>
    <font>
      <b/>
      <u/>
      <sz val="12"/>
      <name val="Arial"/>
      <family val="2"/>
    </font>
    <font>
      <sz val="8"/>
      <color theme="0" tint="-0.499984740745262"/>
      <name val="Arial"/>
      <family val="2"/>
    </font>
    <font>
      <sz val="11"/>
      <color rgb="FFFF0000"/>
      <name val="Calibri"/>
      <family val="2"/>
      <scheme val="minor"/>
    </font>
    <font>
      <sz val="9"/>
      <color theme="0"/>
      <name val="Arial"/>
      <family val="2"/>
    </font>
    <font>
      <sz val="12"/>
      <color theme="0"/>
      <name val="Arial"/>
      <family val="2"/>
    </font>
    <font>
      <sz val="12"/>
      <color theme="9" tint="-0.249977111117893"/>
      <name val="Arial"/>
      <family val="2"/>
    </font>
    <font>
      <b/>
      <sz val="18"/>
      <color rgb="FFFF000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u/>
      <sz val="14"/>
      <color rgb="FFFF0000"/>
      <name val="Calibri"/>
      <family val="2"/>
      <scheme val="minor"/>
    </font>
    <font>
      <sz val="9"/>
      <color theme="9" tint="-0.499984740745262"/>
      <name val="Arial"/>
      <family val="2"/>
    </font>
    <font>
      <b/>
      <sz val="12"/>
      <name val="Arial"/>
      <family val="2"/>
    </font>
    <font>
      <b/>
      <sz val="11"/>
      <color theme="0"/>
      <name val="Calibri"/>
      <family val="2"/>
      <scheme val="minor"/>
    </font>
    <font>
      <b/>
      <u/>
      <sz val="11"/>
      <color theme="0"/>
      <name val="Calibri"/>
      <family val="2"/>
      <scheme val="minor"/>
    </font>
    <font>
      <sz val="9"/>
      <color theme="9" tint="-0.499984740745262"/>
      <name val="Calibri"/>
      <family val="2"/>
      <scheme val="minor"/>
    </font>
    <font>
      <sz val="11"/>
      <color theme="9" tint="-0.499984740745262"/>
      <name val="Calibri"/>
      <family val="2"/>
      <scheme val="minor"/>
    </font>
    <font>
      <b/>
      <u/>
      <sz val="9"/>
      <color theme="9" tint="-0.499984740745262"/>
      <name val="Arial"/>
      <family val="2"/>
    </font>
    <font>
      <b/>
      <u/>
      <sz val="9"/>
      <color rgb="FFFF0000"/>
      <name val="Arial"/>
      <family val="2"/>
    </font>
    <font>
      <b/>
      <sz val="12"/>
      <color rgb="FFFF0000"/>
      <name val="Arial"/>
      <family val="2"/>
    </font>
    <font>
      <b/>
      <sz val="36"/>
      <color theme="9" tint="0.59999389629810485"/>
      <name val="Arial"/>
      <family val="2"/>
    </font>
    <font>
      <b/>
      <sz val="9"/>
      <color rgb="FFC00000"/>
      <name val="Arial Black"/>
      <family val="2"/>
    </font>
    <font>
      <sz val="9"/>
      <color theme="4" tint="-0.249977111117893"/>
      <name val="Arial"/>
      <family val="2"/>
    </font>
    <font>
      <strike/>
      <sz val="9"/>
      <color theme="7" tint="0.79995117038483843"/>
      <name val="Arial"/>
      <family val="2"/>
    </font>
    <font>
      <b/>
      <u val="singleAccounting"/>
      <sz val="9"/>
      <name val="Arial"/>
      <family val="2"/>
    </font>
    <font>
      <b/>
      <sz val="11"/>
      <color theme="9" tint="-0.249977111117893"/>
      <name val="Arial"/>
      <family val="2"/>
    </font>
    <font>
      <b/>
      <u/>
      <sz val="9"/>
      <color theme="0"/>
      <name val="Arial"/>
      <family val="2"/>
    </font>
    <font>
      <b/>
      <sz val="10"/>
      <name val="Arial"/>
      <family val="2"/>
    </font>
    <font>
      <b/>
      <u/>
      <sz val="9"/>
      <color theme="8" tint="-0.249977111117893"/>
      <name val="Arial"/>
      <family val="2"/>
    </font>
    <font>
      <sz val="9"/>
      <color theme="8" tint="-0.249977111117893"/>
      <name val="Arial"/>
      <family val="2"/>
    </font>
    <font>
      <b/>
      <sz val="9"/>
      <color theme="8" tint="-0.249977111117893"/>
      <name val="Arial"/>
      <family val="2"/>
    </font>
    <font>
      <b/>
      <sz val="36"/>
      <color theme="0"/>
      <name val="Arial"/>
      <family val="2"/>
    </font>
    <font>
      <b/>
      <sz val="10.5"/>
      <color rgb="FFFF0000"/>
      <name val="Arial Narrow"/>
      <family val="2"/>
    </font>
    <font>
      <sz val="10.5"/>
      <color theme="1"/>
      <name val="Arial Narrow"/>
      <family val="2"/>
    </font>
    <font>
      <sz val="11"/>
      <color theme="5" tint="0.59999389629810485"/>
      <name val="Calibri"/>
      <family val="2"/>
      <scheme val="minor"/>
    </font>
    <font>
      <b/>
      <sz val="8"/>
      <color theme="9" tint="-0.499984740745262"/>
      <name val="Arial"/>
      <family val="2"/>
    </font>
    <font>
      <b/>
      <sz val="11"/>
      <color rgb="FFFF0000"/>
      <name val="Handel Gothic"/>
    </font>
    <font>
      <b/>
      <sz val="12.5"/>
      <color rgb="FFFF0000"/>
      <name val="Calibri"/>
      <family val="2"/>
      <scheme val="minor"/>
    </font>
    <font>
      <sz val="11"/>
      <color theme="1"/>
      <name val="Calibri"/>
      <family val="2"/>
    </font>
    <font>
      <b/>
      <sz val="16"/>
      <color rgb="FF000000"/>
      <name val="Calibri"/>
      <family val="2"/>
    </font>
    <font>
      <b/>
      <sz val="11"/>
      <color rgb="FF000000"/>
      <name val="Calibri"/>
      <family val="2"/>
    </font>
    <font>
      <b/>
      <sz val="10"/>
      <color rgb="FFFF0000"/>
      <name val="Arial"/>
      <family val="2"/>
    </font>
    <font>
      <b/>
      <sz val="9"/>
      <color rgb="FFFF0000"/>
      <name val="Calibri"/>
      <family val="2"/>
      <scheme val="minor"/>
    </font>
    <font>
      <b/>
      <sz val="18"/>
      <color rgb="FFFF0000"/>
      <name val="Handel Gothic"/>
    </font>
    <font>
      <b/>
      <sz val="12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theme="1"/>
      <name val="Arial Narrow"/>
      <family val="2"/>
    </font>
    <font>
      <sz val="11"/>
      <color theme="0"/>
      <name val="Calibri"/>
      <family val="2"/>
      <scheme val="minor"/>
    </font>
    <font>
      <sz val="7"/>
      <color theme="0" tint="-0.34998626667073579"/>
      <name val="Arial"/>
      <family val="2"/>
    </font>
    <font>
      <b/>
      <sz val="9"/>
      <color rgb="FF0000FF"/>
      <name val="Arial"/>
      <family val="2"/>
    </font>
    <font>
      <b/>
      <sz val="12"/>
      <color theme="1"/>
      <name val="Arial"/>
      <family val="2"/>
    </font>
    <font>
      <sz val="11"/>
      <color theme="1"/>
      <name val="Arial"/>
      <family val="2"/>
    </font>
    <font>
      <u/>
      <sz val="14"/>
      <color rgb="FFFF0000"/>
      <name val="Handel Gothic"/>
    </font>
    <font>
      <u/>
      <sz val="10"/>
      <color rgb="FFFF0000"/>
      <name val="Arial Narrow"/>
      <family val="2"/>
    </font>
    <font>
      <b/>
      <u/>
      <sz val="10"/>
      <color rgb="FFFF0000"/>
      <name val="Arial"/>
      <family val="2"/>
    </font>
    <font>
      <b/>
      <sz val="14"/>
      <color theme="0"/>
      <name val="Calibri"/>
      <family val="2"/>
      <scheme val="minor"/>
    </font>
    <font>
      <b/>
      <i/>
      <sz val="11"/>
      <color theme="0"/>
      <name val="Calibri"/>
      <family val="2"/>
      <scheme val="minor"/>
    </font>
    <font>
      <b/>
      <i/>
      <u/>
      <sz val="11"/>
      <color theme="0"/>
      <name val="Calibri"/>
      <family val="2"/>
      <scheme val="minor"/>
    </font>
    <font>
      <b/>
      <i/>
      <u/>
      <sz val="11"/>
      <color theme="0"/>
      <name val="Handel Gothic"/>
    </font>
    <font>
      <sz val="10"/>
      <color theme="0"/>
      <name val="Calibri"/>
      <family val="2"/>
      <scheme val="minor"/>
    </font>
    <font>
      <b/>
      <sz val="16"/>
      <color rgb="FFC0000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50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CC99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darkTrellis">
        <fgColor theme="1" tint="0.499984740745262"/>
        <bgColor theme="2" tint="-0.249977111117893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darkTrellis">
        <fgColor theme="1" tint="0.34998626667073579"/>
        <bgColor theme="9" tint="-0.249977111117893"/>
      </patternFill>
    </fill>
    <fill>
      <patternFill patternType="darkHorizontal">
        <bgColor theme="9" tint="-0.249977111117893"/>
      </patternFill>
    </fill>
    <fill>
      <patternFill patternType="darkTrellis">
        <fgColor theme="3" tint="0.79998168889431442"/>
        <bgColor rgb="FFFFFFCC"/>
      </patternFill>
    </fill>
    <fill>
      <patternFill patternType="solid">
        <fgColor rgb="FFC00000"/>
        <bgColor indexed="64"/>
      </patternFill>
    </fill>
    <fill>
      <patternFill patternType="darkTrellis">
        <fgColor theme="0" tint="-0.14996795556505021"/>
        <bgColor theme="0" tint="-4.9989318521683403E-2"/>
      </patternFill>
    </fill>
    <fill>
      <patternFill patternType="lightHorizontal">
        <fgColor theme="7" tint="-0.499984740745262"/>
        <bgColor theme="7" tint="-0.249977111117893"/>
      </patternFill>
    </fill>
    <fill>
      <patternFill patternType="gray0625">
        <fgColor theme="8" tint="-0.24994659260841701"/>
        <bgColor theme="8" tint="0.39991454817346722"/>
      </patternFill>
    </fill>
    <fill>
      <patternFill patternType="gray0625">
        <fgColor theme="0"/>
        <bgColor theme="8" tint="0.79992065187536243"/>
      </patternFill>
    </fill>
    <fill>
      <patternFill patternType="gray0625">
        <fgColor theme="0"/>
        <bgColor theme="8" tint="0.79995117038483843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lightGrid">
        <fgColor rgb="FFFFCCFF"/>
        <bgColor theme="5" tint="0.79992065187536243"/>
      </patternFill>
    </fill>
    <fill>
      <patternFill patternType="lightGrid">
        <fgColor rgb="FFFFCCFF"/>
        <bgColor theme="5" tint="0.79995117038483843"/>
      </patternFill>
    </fill>
    <fill>
      <patternFill patternType="solid">
        <fgColor rgb="FFC6C3C6"/>
        <bgColor rgb="FFC6C3C6"/>
      </patternFill>
    </fill>
    <fill>
      <patternFill patternType="solid">
        <fgColor rgb="FFFABF8F"/>
        <bgColor rgb="FFC6C3C6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93300"/>
        <bgColor indexed="64"/>
      </patternFill>
    </fill>
    <fill>
      <patternFill patternType="solid">
        <fgColor rgb="FF92D050"/>
        <bgColor indexed="64"/>
      </patternFill>
    </fill>
    <fill>
      <patternFill patternType="lightHorizontal">
        <fgColor theme="0"/>
        <bgColor theme="9" tint="0.79995117038483843"/>
      </patternFill>
    </fill>
    <fill>
      <patternFill patternType="solid">
        <fgColor theme="4" tint="0.59999389629810485"/>
        <bgColor indexed="64"/>
      </patternFill>
    </fill>
  </fills>
  <borders count="7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thin">
        <color theme="2" tint="-0.249977111117893"/>
      </left>
      <right style="thin">
        <color theme="2" tint="-0.249977111117893"/>
      </right>
      <top style="thin">
        <color theme="2" tint="-0.249977111117893"/>
      </top>
      <bottom style="thin">
        <color theme="2" tint="-0.249977111117893"/>
      </bottom>
      <diagonal/>
    </border>
    <border>
      <left style="thin">
        <color theme="2" tint="-0.249977111117893"/>
      </left>
      <right/>
      <top style="thin">
        <color theme="2" tint="-0.249977111117893"/>
      </top>
      <bottom style="thin">
        <color theme="2" tint="-0.249977111117893"/>
      </bottom>
      <diagonal/>
    </border>
    <border>
      <left/>
      <right/>
      <top style="thin">
        <color theme="2" tint="-0.249977111117893"/>
      </top>
      <bottom style="thin">
        <color theme="2" tint="-0.249977111117893"/>
      </bottom>
      <diagonal/>
    </border>
    <border>
      <left/>
      <right style="thin">
        <color theme="2" tint="-0.249977111117893"/>
      </right>
      <top style="thin">
        <color theme="2" tint="-0.249977111117893"/>
      </top>
      <bottom style="thin">
        <color theme="2" tint="-0.249977111117893"/>
      </bottom>
      <diagonal/>
    </border>
    <border>
      <left style="thin">
        <color theme="2" tint="-0.249977111117893"/>
      </left>
      <right style="thin">
        <color theme="2" tint="-0.249977111117893"/>
      </right>
      <top style="thin">
        <color theme="2" tint="-0.249977111117893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2" tint="-0.249977111117893"/>
      </bottom>
      <diagonal/>
    </border>
    <border>
      <left style="thin">
        <color indexed="64"/>
      </left>
      <right style="thin">
        <color indexed="64"/>
      </right>
      <top style="thin">
        <color theme="2" tint="-0.249977111117893"/>
      </top>
      <bottom style="thin">
        <color theme="2" tint="-0.249977111117893"/>
      </bottom>
      <diagonal/>
    </border>
    <border>
      <left style="thin">
        <color indexed="64"/>
      </left>
      <right style="thin">
        <color indexed="64"/>
      </right>
      <top style="thin">
        <color theme="2" tint="-0.249977111117893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theme="2" tint="-0.249977111117893"/>
      </bottom>
      <diagonal/>
    </border>
    <border>
      <left style="thin">
        <color theme="2" tint="-0.249977111117893"/>
      </left>
      <right style="thin">
        <color theme="2" tint="-0.249977111117893"/>
      </right>
      <top/>
      <bottom style="thin">
        <color theme="2" tint="-0.249977111117893"/>
      </bottom>
      <diagonal/>
    </border>
    <border>
      <left/>
      <right style="thin">
        <color indexed="64"/>
      </right>
      <top style="thin">
        <color theme="2" tint="-0.249977111117893"/>
      </top>
      <bottom/>
      <diagonal/>
    </border>
    <border>
      <left style="thin">
        <color theme="2" tint="-0.249977111117893"/>
      </left>
      <right/>
      <top style="thin">
        <color theme="2" tint="-0.249977111117893"/>
      </top>
      <bottom/>
      <diagonal/>
    </border>
    <border>
      <left style="thin">
        <color theme="2" tint="-0.249977111117893"/>
      </left>
      <right/>
      <top/>
      <bottom/>
      <diagonal/>
    </border>
    <border>
      <left style="thin">
        <color theme="2" tint="-0.249977111117893"/>
      </left>
      <right/>
      <top/>
      <bottom style="thin">
        <color indexed="64"/>
      </bottom>
      <diagonal/>
    </border>
    <border>
      <left style="thin">
        <color theme="2" tint="-0.249977111117893"/>
      </left>
      <right/>
      <top/>
      <bottom style="thin">
        <color theme="2" tint="-0.249977111117893"/>
      </bottom>
      <diagonal/>
    </border>
    <border>
      <left style="thin">
        <color indexed="64"/>
      </left>
      <right/>
      <top style="thin">
        <color indexed="64"/>
      </top>
      <bottom style="thin">
        <color theme="2" tint="-0.249977111117893"/>
      </bottom>
      <diagonal/>
    </border>
    <border>
      <left/>
      <right/>
      <top style="thin">
        <color indexed="64"/>
      </top>
      <bottom style="thin">
        <color theme="2" tint="-0.249977111117893"/>
      </bottom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6"/>
      </bottom>
      <diagonal/>
    </border>
    <border>
      <left style="thin">
        <color theme="6"/>
      </left>
      <right/>
      <top style="thin">
        <color theme="6"/>
      </top>
      <bottom style="thin">
        <color theme="6"/>
      </bottom>
      <diagonal/>
    </border>
    <border>
      <left/>
      <right/>
      <top style="thin">
        <color theme="6"/>
      </top>
      <bottom style="thin">
        <color theme="6"/>
      </bottom>
      <diagonal/>
    </border>
    <border>
      <left style="thin">
        <color theme="6"/>
      </left>
      <right style="thin">
        <color theme="6"/>
      </right>
      <top style="thin">
        <color theme="6"/>
      </top>
      <bottom/>
      <diagonal/>
    </border>
    <border>
      <left style="thin">
        <color theme="6"/>
      </left>
      <right style="thin">
        <color theme="6"/>
      </right>
      <top/>
      <bottom/>
      <diagonal/>
    </border>
    <border>
      <left/>
      <right style="thin">
        <color theme="6"/>
      </right>
      <top/>
      <bottom/>
      <diagonal/>
    </border>
    <border>
      <left/>
      <right style="thin">
        <color indexed="64"/>
      </right>
      <top/>
      <bottom style="thin">
        <color theme="6"/>
      </bottom>
      <diagonal/>
    </border>
    <border>
      <left/>
      <right/>
      <top style="thin">
        <color theme="6"/>
      </top>
      <bottom/>
      <diagonal/>
    </border>
    <border>
      <left/>
      <right style="thin">
        <color indexed="64"/>
      </right>
      <top style="thin">
        <color theme="2" tint="-0.249977111117893"/>
      </top>
      <bottom style="thin">
        <color theme="2" tint="-0.249977111117893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2" tint="-0.249977111117893"/>
      </top>
      <bottom/>
      <diagonal/>
    </border>
    <border>
      <left style="thin">
        <color indexed="64"/>
      </left>
      <right style="thin">
        <color indexed="64"/>
      </right>
      <top/>
      <bottom style="thin">
        <color theme="2" tint="-0.249977111117893"/>
      </bottom>
      <diagonal/>
    </border>
    <border>
      <left/>
      <right/>
      <top style="thin">
        <color theme="2" tint="-0.249977111117893"/>
      </top>
      <bottom/>
      <diagonal/>
    </border>
    <border>
      <left/>
      <right style="thin">
        <color theme="6"/>
      </right>
      <top style="thin">
        <color theme="6"/>
      </top>
      <bottom style="thin">
        <color theme="6"/>
      </bottom>
      <diagonal/>
    </border>
    <border>
      <left/>
      <right style="thin">
        <color theme="6"/>
      </right>
      <top style="thin">
        <color theme="6"/>
      </top>
      <bottom/>
      <diagonal/>
    </border>
    <border>
      <left style="thin">
        <color theme="6"/>
      </left>
      <right/>
      <top/>
      <bottom/>
      <diagonal/>
    </border>
    <border>
      <left/>
      <right/>
      <top/>
      <bottom style="thin">
        <color theme="2" tint="-0.249977111117893"/>
      </bottom>
      <diagonal/>
    </border>
    <border>
      <left style="thin">
        <color theme="2" tint="-0.249977111117893"/>
      </left>
      <right style="thin">
        <color theme="2" tint="-0.249977111117893"/>
      </right>
      <top/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C00000"/>
      </left>
      <right/>
      <top style="thin">
        <color rgb="FFC00000"/>
      </top>
      <bottom style="thin">
        <color rgb="FFC00000"/>
      </bottom>
      <diagonal/>
    </border>
    <border>
      <left/>
      <right/>
      <top style="thin">
        <color rgb="FFC00000"/>
      </top>
      <bottom style="thin">
        <color rgb="FFC00000"/>
      </bottom>
      <diagonal/>
    </border>
    <border>
      <left/>
      <right style="thin">
        <color rgb="FFC00000"/>
      </right>
      <top style="thin">
        <color rgb="FFC00000"/>
      </top>
      <bottom style="thin">
        <color rgb="FFC00000"/>
      </bottom>
      <diagonal/>
    </border>
    <border>
      <left style="thin">
        <color rgb="FFC00000"/>
      </left>
      <right/>
      <top style="thin">
        <color rgb="FFC00000"/>
      </top>
      <bottom/>
      <diagonal/>
    </border>
    <border>
      <left/>
      <right/>
      <top style="thin">
        <color rgb="FFC00000"/>
      </top>
      <bottom/>
      <diagonal/>
    </border>
    <border>
      <left/>
      <right style="thin">
        <color rgb="FFC00000"/>
      </right>
      <top style="thin">
        <color rgb="FFC00000"/>
      </top>
      <bottom/>
      <diagonal/>
    </border>
    <border>
      <left style="thin">
        <color rgb="FFC00000"/>
      </left>
      <right/>
      <top/>
      <bottom style="thin">
        <color rgb="FFC00000"/>
      </bottom>
      <diagonal/>
    </border>
    <border>
      <left/>
      <right/>
      <top/>
      <bottom style="thin">
        <color rgb="FFC00000"/>
      </bottom>
      <diagonal/>
    </border>
    <border>
      <left/>
      <right style="thin">
        <color rgb="FFC00000"/>
      </right>
      <top/>
      <bottom style="thin">
        <color rgb="FFC00000"/>
      </bottom>
      <diagonal/>
    </border>
  </borders>
  <cellStyleXfs count="10">
    <xf numFmtId="0" fontId="0" fillId="0" borderId="0"/>
    <xf numFmtId="44" fontId="1" fillId="0" borderId="0" applyFont="0" applyFill="0" applyBorder="0" applyAlignment="0" applyProtection="0"/>
    <xf numFmtId="0" fontId="1" fillId="0" borderId="0"/>
    <xf numFmtId="165" fontId="3" fillId="0" borderId="0" applyFont="0" applyFill="0" applyBorder="0" applyAlignment="0" applyProtection="0"/>
    <xf numFmtId="0" fontId="3" fillId="0" borderId="0"/>
    <xf numFmtId="0" fontId="6" fillId="0" borderId="0"/>
    <xf numFmtId="40" fontId="7" fillId="0" borderId="0" applyFont="0" applyFill="0" applyBorder="0" applyAlignment="0" applyProtection="0"/>
    <xf numFmtId="9" fontId="35" fillId="0" borderId="0" applyFont="0" applyFill="0" applyBorder="0" applyAlignment="0" applyProtection="0"/>
    <xf numFmtId="0" fontId="36" fillId="0" borderId="0" applyNumberFormat="0" applyFill="0" applyBorder="0" applyAlignment="0" applyProtection="0"/>
    <xf numFmtId="43" fontId="35" fillId="0" borderId="0" applyFont="0" applyFill="0" applyBorder="0" applyAlignment="0" applyProtection="0"/>
  </cellStyleXfs>
  <cellXfs count="1893">
    <xf numFmtId="0" fontId="0" fillId="0" borderId="0" xfId="0"/>
    <xf numFmtId="0" fontId="5" fillId="0" borderId="0" xfId="5" applyFont="1" applyProtection="1">
      <protection locked="0"/>
    </xf>
    <xf numFmtId="38" fontId="0" fillId="0" borderId="0" xfId="0" applyNumberFormat="1"/>
    <xf numFmtId="44" fontId="0" fillId="0" borderId="0" xfId="1" applyFont="1"/>
    <xf numFmtId="44" fontId="13" fillId="0" borderId="0" xfId="1" applyFont="1"/>
    <xf numFmtId="0" fontId="14" fillId="0" borderId="0" xfId="0" applyFont="1"/>
    <xf numFmtId="0" fontId="0" fillId="0" borderId="13" xfId="0" applyBorder="1"/>
    <xf numFmtId="44" fontId="0" fillId="0" borderId="13" xfId="1" applyFont="1" applyBorder="1"/>
    <xf numFmtId="44" fontId="13" fillId="0" borderId="0" xfId="0" applyNumberFormat="1" applyFont="1"/>
    <xf numFmtId="0" fontId="13" fillId="0" borderId="0" xfId="0" applyFont="1"/>
    <xf numFmtId="44" fontId="14" fillId="0" borderId="0" xfId="1" applyFont="1"/>
    <xf numFmtId="0" fontId="3" fillId="0" borderId="0" xfId="5" applyFont="1" applyProtection="1">
      <protection locked="0"/>
    </xf>
    <xf numFmtId="0" fontId="3" fillId="0" borderId="0" xfId="5" applyFont="1" applyAlignment="1" applyProtection="1">
      <alignment horizontal="right"/>
      <protection locked="0"/>
    </xf>
    <xf numFmtId="0" fontId="9" fillId="0" borderId="0" xfId="4" applyFont="1" applyAlignment="1">
      <alignment vertical="center"/>
    </xf>
    <xf numFmtId="2" fontId="9" fillId="4" borderId="13" xfId="5" applyNumberFormat="1" applyFont="1" applyFill="1" applyBorder="1" applyAlignment="1">
      <alignment horizontal="center" vertical="center" shrinkToFit="1"/>
    </xf>
    <xf numFmtId="40" fontId="9" fillId="4" borderId="13" xfId="6" applyFont="1" applyFill="1" applyBorder="1" applyAlignment="1">
      <alignment horizontal="center" vertical="center"/>
    </xf>
    <xf numFmtId="0" fontId="9" fillId="0" borderId="0" xfId="5" applyFont="1" applyProtection="1">
      <protection locked="0"/>
    </xf>
    <xf numFmtId="0" fontId="9" fillId="0" borderId="0" xfId="5" applyFont="1" applyAlignment="1" applyProtection="1">
      <alignment vertical="center"/>
      <protection locked="0"/>
    </xf>
    <xf numFmtId="0" fontId="13" fillId="0" borderId="17" xfId="0" applyFont="1" applyBorder="1" applyAlignment="1">
      <alignment horizontal="right" vertical="center"/>
    </xf>
    <xf numFmtId="0" fontId="9" fillId="7" borderId="17" xfId="5" applyFont="1" applyFill="1" applyBorder="1" applyAlignment="1" applyProtection="1">
      <alignment vertical="center"/>
      <protection locked="0"/>
    </xf>
    <xf numFmtId="0" fontId="13" fillId="0" borderId="20" xfId="0" applyFont="1" applyBorder="1" applyAlignment="1">
      <alignment horizontal="right" vertical="center"/>
    </xf>
    <xf numFmtId="0" fontId="9" fillId="0" borderId="0" xfId="5" applyFont="1" applyAlignment="1" applyProtection="1">
      <alignment horizontal="right" vertical="center"/>
      <protection locked="0"/>
    </xf>
    <xf numFmtId="1" fontId="9" fillId="0" borderId="0" xfId="5" applyNumberFormat="1" applyFont="1" applyAlignment="1" applyProtection="1">
      <alignment horizontal="right" vertical="center"/>
      <protection locked="0"/>
    </xf>
    <xf numFmtId="2" fontId="9" fillId="0" borderId="0" xfId="5" applyNumberFormat="1" applyFont="1" applyAlignment="1" applyProtection="1">
      <alignment horizontal="right" vertical="center"/>
      <protection locked="0"/>
    </xf>
    <xf numFmtId="1" fontId="9" fillId="0" borderId="0" xfId="5" applyNumberFormat="1" applyFont="1" applyProtection="1">
      <protection locked="0"/>
    </xf>
    <xf numFmtId="1" fontId="9" fillId="3" borderId="8" xfId="4" applyNumberFormat="1" applyFont="1" applyFill="1" applyBorder="1" applyAlignment="1">
      <alignment horizontal="right" vertical="center"/>
    </xf>
    <xf numFmtId="1" fontId="9" fillId="3" borderId="10" xfId="4" applyNumberFormat="1" applyFont="1" applyFill="1" applyBorder="1" applyAlignment="1">
      <alignment horizontal="right" vertical="center"/>
    </xf>
    <xf numFmtId="1" fontId="26" fillId="0" borderId="0" xfId="5" applyNumberFormat="1" applyFont="1" applyAlignment="1" applyProtection="1">
      <alignment horizontal="center"/>
      <protection locked="0"/>
    </xf>
    <xf numFmtId="0" fontId="26" fillId="0" borderId="0" xfId="5" applyFont="1" applyAlignment="1" applyProtection="1">
      <alignment horizontal="left"/>
      <protection locked="0"/>
    </xf>
    <xf numFmtId="0" fontId="26" fillId="0" borderId="0" xfId="5" applyFont="1" applyProtection="1">
      <protection locked="0"/>
    </xf>
    <xf numFmtId="0" fontId="9" fillId="7" borderId="25" xfId="5" applyFont="1" applyFill="1" applyBorder="1" applyAlignment="1" applyProtection="1">
      <alignment vertical="center"/>
      <protection locked="0"/>
    </xf>
    <xf numFmtId="0" fontId="9" fillId="7" borderId="26" xfId="5" applyFont="1" applyFill="1" applyBorder="1" applyAlignment="1" applyProtection="1">
      <alignment vertical="center"/>
      <protection locked="0"/>
    </xf>
    <xf numFmtId="0" fontId="9" fillId="7" borderId="27" xfId="5" applyFont="1" applyFill="1" applyBorder="1" applyAlignment="1" applyProtection="1">
      <alignment vertical="center"/>
      <protection locked="0"/>
    </xf>
    <xf numFmtId="0" fontId="3" fillId="0" borderId="14" xfId="5" applyFont="1" applyBorder="1" applyProtection="1">
      <protection locked="0"/>
    </xf>
    <xf numFmtId="1" fontId="9" fillId="4" borderId="13" xfId="5" applyNumberFormat="1" applyFont="1" applyFill="1" applyBorder="1" applyAlignment="1">
      <alignment horizontal="center" vertical="center" shrinkToFit="1"/>
    </xf>
    <xf numFmtId="0" fontId="9" fillId="0" borderId="8" xfId="5" applyFont="1" applyBorder="1" applyProtection="1">
      <protection locked="0"/>
    </xf>
    <xf numFmtId="0" fontId="9" fillId="0" borderId="2" xfId="5" applyFont="1" applyBorder="1" applyAlignment="1">
      <alignment horizontal="right" vertical="center"/>
    </xf>
    <xf numFmtId="1" fontId="33" fillId="4" borderId="13" xfId="5" applyNumberFormat="1" applyFont="1" applyFill="1" applyBorder="1" applyAlignment="1">
      <alignment horizontal="center" vertical="center" shrinkToFit="1"/>
    </xf>
    <xf numFmtId="38" fontId="9" fillId="0" borderId="0" xfId="6" applyNumberFormat="1" applyFont="1" applyBorder="1" applyAlignment="1" applyProtection="1">
      <alignment horizontal="center" vertical="center" shrinkToFit="1"/>
      <protection locked="0"/>
    </xf>
    <xf numFmtId="0" fontId="37" fillId="0" borderId="5" xfId="0" applyFont="1" applyBorder="1" applyAlignment="1">
      <alignment vertical="center" wrapText="1"/>
    </xf>
    <xf numFmtId="0" fontId="37" fillId="0" borderId="6" xfId="0" applyFont="1" applyBorder="1" applyAlignment="1">
      <alignment vertical="center" wrapText="1"/>
    </xf>
    <xf numFmtId="0" fontId="38" fillId="0" borderId="8" xfId="0" applyFont="1" applyBorder="1" applyAlignment="1">
      <alignment horizontal="center" vertical="center" wrapText="1"/>
    </xf>
    <xf numFmtId="0" fontId="37" fillId="0" borderId="2" xfId="0" applyFont="1" applyBorder="1" applyAlignment="1">
      <alignment vertical="center"/>
    </xf>
    <xf numFmtId="44" fontId="46" fillId="0" borderId="13" xfId="1" applyFont="1" applyFill="1" applyBorder="1" applyAlignment="1" applyProtection="1">
      <alignment horizontal="right" vertical="center"/>
    </xf>
    <xf numFmtId="1" fontId="8" fillId="0" borderId="2" xfId="5" applyNumberFormat="1" applyFont="1" applyBorder="1" applyAlignment="1">
      <alignment horizontal="center" vertical="center"/>
    </xf>
    <xf numFmtId="0" fontId="9" fillId="10" borderId="2" xfId="5" applyFont="1" applyFill="1" applyBorder="1" applyAlignment="1">
      <alignment horizontal="right" vertical="center"/>
    </xf>
    <xf numFmtId="0" fontId="0" fillId="0" borderId="13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49" fontId="14" fillId="0" borderId="0" xfId="0" applyNumberFormat="1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3" fillId="0" borderId="0" xfId="0" applyFont="1" applyAlignment="1">
      <alignment horizontal="center"/>
    </xf>
    <xf numFmtId="0" fontId="58" fillId="0" borderId="0" xfId="2" applyFont="1" applyAlignment="1" applyProtection="1">
      <alignment horizontal="center"/>
      <protection locked="0"/>
    </xf>
    <xf numFmtId="0" fontId="59" fillId="0" borderId="0" xfId="0" applyFont="1" applyAlignment="1">
      <alignment horizontal="center"/>
    </xf>
    <xf numFmtId="0" fontId="60" fillId="0" borderId="0" xfId="0" applyFont="1"/>
    <xf numFmtId="0" fontId="61" fillId="0" borderId="0" xfId="0" applyFont="1"/>
    <xf numFmtId="0" fontId="0" fillId="7" borderId="0" xfId="0" applyFill="1"/>
    <xf numFmtId="0" fontId="31" fillId="0" borderId="0" xfId="0" applyFont="1" applyAlignment="1">
      <alignment horizontal="right" vertical="center" wrapText="1"/>
    </xf>
    <xf numFmtId="0" fontId="62" fillId="0" borderId="0" xfId="0" applyFont="1" applyAlignment="1">
      <alignment horizontal="left" vertical="center" wrapText="1"/>
    </xf>
    <xf numFmtId="8" fontId="31" fillId="0" borderId="0" xfId="0" applyNumberFormat="1" applyFont="1" applyAlignment="1">
      <alignment horizontal="center" vertical="center" wrapText="1"/>
    </xf>
    <xf numFmtId="0" fontId="0" fillId="0" borderId="0" xfId="0" applyAlignment="1">
      <alignment wrapText="1"/>
    </xf>
    <xf numFmtId="44" fontId="61" fillId="0" borderId="0" xfId="1" applyFont="1"/>
    <xf numFmtId="44" fontId="61" fillId="0" borderId="0" xfId="1" applyFont="1" applyFill="1"/>
    <xf numFmtId="0" fontId="26" fillId="0" borderId="0" xfId="5" applyFont="1" applyAlignment="1" applyProtection="1">
      <alignment horizontal="left" vertical="center"/>
      <protection locked="0"/>
    </xf>
    <xf numFmtId="0" fontId="63" fillId="0" borderId="0" xfId="0" applyFont="1" applyAlignment="1">
      <alignment horizontal="left" vertical="center"/>
    </xf>
    <xf numFmtId="0" fontId="64" fillId="0" borderId="0" xfId="0" applyFont="1" applyAlignment="1">
      <alignment horizontal="left" vertical="center"/>
    </xf>
    <xf numFmtId="0" fontId="63" fillId="14" borderId="29" xfId="0" applyFont="1" applyFill="1" applyBorder="1" applyAlignment="1">
      <alignment horizontal="left" vertical="center"/>
    </xf>
    <xf numFmtId="0" fontId="64" fillId="14" borderId="8" xfId="0" applyFont="1" applyFill="1" applyBorder="1" applyAlignment="1">
      <alignment horizontal="left" vertical="center"/>
    </xf>
    <xf numFmtId="0" fontId="63" fillId="14" borderId="32" xfId="0" applyFont="1" applyFill="1" applyBorder="1" applyAlignment="1">
      <alignment horizontal="left" vertical="center"/>
    </xf>
    <xf numFmtId="0" fontId="64" fillId="14" borderId="14" xfId="0" applyFont="1" applyFill="1" applyBorder="1" applyAlignment="1">
      <alignment horizontal="left" vertical="center"/>
    </xf>
    <xf numFmtId="0" fontId="64" fillId="14" borderId="33" xfId="0" applyFont="1" applyFill="1" applyBorder="1" applyAlignment="1">
      <alignment horizontal="left" vertical="center"/>
    </xf>
    <xf numFmtId="0" fontId="0" fillId="6" borderId="22" xfId="0" applyFill="1" applyBorder="1"/>
    <xf numFmtId="0" fontId="0" fillId="6" borderId="14" xfId="0" applyFill="1" applyBorder="1"/>
    <xf numFmtId="44" fontId="26" fillId="0" borderId="0" xfId="1" applyFont="1" applyFill="1" applyAlignment="1">
      <alignment horizontal="left"/>
    </xf>
    <xf numFmtId="0" fontId="9" fillId="0" borderId="4" xfId="5" applyFont="1" applyBorder="1" applyAlignment="1">
      <alignment horizontal="center" vertical="center"/>
    </xf>
    <xf numFmtId="0" fontId="9" fillId="0" borderId="2" xfId="5" applyFont="1" applyBorder="1" applyAlignment="1">
      <alignment horizontal="center" vertical="center"/>
    </xf>
    <xf numFmtId="0" fontId="9" fillId="0" borderId="14" xfId="5" applyFont="1" applyBorder="1" applyAlignment="1" applyProtection="1">
      <alignment vertical="center"/>
      <protection locked="0"/>
    </xf>
    <xf numFmtId="38" fontId="3" fillId="6" borderId="14" xfId="6" applyNumberFormat="1" applyFont="1" applyFill="1" applyBorder="1" applyAlignment="1">
      <alignment horizontal="right" vertical="center"/>
    </xf>
    <xf numFmtId="0" fontId="28" fillId="0" borderId="14" xfId="5" applyFont="1" applyBorder="1" applyAlignment="1" applyProtection="1">
      <alignment horizontal="center" vertical="center"/>
      <protection locked="0"/>
    </xf>
    <xf numFmtId="2" fontId="34" fillId="0" borderId="15" xfId="5" applyNumberFormat="1" applyFont="1" applyBorder="1" applyAlignment="1" applyProtection="1">
      <alignment horizontal="center" vertical="center" shrinkToFit="1"/>
      <protection locked="0"/>
    </xf>
    <xf numFmtId="2" fontId="33" fillId="0" borderId="15" xfId="5" applyNumberFormat="1" applyFont="1" applyBorder="1" applyAlignment="1" applyProtection="1">
      <alignment horizontal="center" vertical="center" shrinkToFit="1"/>
      <protection locked="0"/>
    </xf>
    <xf numFmtId="1" fontId="9" fillId="3" borderId="0" xfId="5" applyNumberFormat="1" applyFont="1" applyFill="1" applyAlignment="1" applyProtection="1">
      <alignment vertical="center"/>
      <protection locked="0"/>
    </xf>
    <xf numFmtId="1" fontId="28" fillId="0" borderId="14" xfId="5" applyNumberFormat="1" applyFont="1" applyBorder="1" applyAlignment="1" applyProtection="1">
      <alignment horizontal="center" vertical="center"/>
      <protection locked="0"/>
    </xf>
    <xf numFmtId="0" fontId="18" fillId="0" borderId="14" xfId="5" applyFont="1" applyBorder="1" applyAlignment="1" applyProtection="1">
      <alignment horizontal="center" vertical="center"/>
      <protection locked="0"/>
    </xf>
    <xf numFmtId="0" fontId="8" fillId="0" borderId="22" xfId="5" applyFont="1" applyBorder="1" applyAlignment="1" applyProtection="1">
      <alignment vertical="center"/>
      <protection locked="0"/>
    </xf>
    <xf numFmtId="0" fontId="8" fillId="0" borderId="14" xfId="5" applyFont="1" applyBorder="1" applyAlignment="1" applyProtection="1">
      <alignment vertical="center"/>
      <protection locked="0"/>
    </xf>
    <xf numFmtId="0" fontId="29" fillId="0" borderId="12" xfId="5" applyFont="1" applyBorder="1" applyAlignment="1" applyProtection="1">
      <alignment vertical="center"/>
      <protection locked="0"/>
    </xf>
    <xf numFmtId="0" fontId="9" fillId="0" borderId="14" xfId="5" applyFont="1" applyBorder="1" applyAlignment="1" applyProtection="1">
      <alignment horizontal="right" vertical="center"/>
      <protection locked="0"/>
    </xf>
    <xf numFmtId="0" fontId="8" fillId="0" borderId="12" xfId="5" applyFont="1" applyBorder="1" applyAlignment="1" applyProtection="1">
      <alignment vertical="center"/>
      <protection locked="0"/>
    </xf>
    <xf numFmtId="1" fontId="9" fillId="0" borderId="0" xfId="5" applyNumberFormat="1" applyFont="1" applyAlignment="1" applyProtection="1">
      <alignment vertical="center"/>
      <protection locked="0"/>
    </xf>
    <xf numFmtId="38" fontId="3" fillId="6" borderId="22" xfId="6" applyNumberFormat="1" applyFont="1" applyFill="1" applyBorder="1" applyAlignment="1">
      <alignment horizontal="right" vertical="center"/>
    </xf>
    <xf numFmtId="0" fontId="18" fillId="0" borderId="22" xfId="5" applyFont="1" applyBorder="1" applyAlignment="1" applyProtection="1">
      <alignment horizontal="center" vertical="center"/>
      <protection locked="0"/>
    </xf>
    <xf numFmtId="2" fontId="33" fillId="0" borderId="22" xfId="5" applyNumberFormat="1" applyFont="1" applyBorder="1" applyAlignment="1" applyProtection="1">
      <alignment horizontal="center" vertical="center" shrinkToFit="1"/>
      <protection locked="0"/>
    </xf>
    <xf numFmtId="0" fontId="3" fillId="0" borderId="14" xfId="5" applyFont="1" applyBorder="1" applyAlignment="1" applyProtection="1">
      <alignment vertical="center"/>
      <protection locked="0"/>
    </xf>
    <xf numFmtId="1" fontId="33" fillId="0" borderId="23" xfId="5" applyNumberFormat="1" applyFont="1" applyBorder="1" applyAlignment="1" applyProtection="1">
      <alignment horizontal="center" vertical="center" shrinkToFit="1"/>
      <protection locked="0"/>
    </xf>
    <xf numFmtId="0" fontId="9" fillId="7" borderId="21" xfId="5" applyFont="1" applyFill="1" applyBorder="1" applyAlignment="1" applyProtection="1">
      <alignment vertical="center"/>
      <protection locked="0"/>
    </xf>
    <xf numFmtId="1" fontId="9" fillId="7" borderId="34" xfId="5" applyNumberFormat="1" applyFont="1" applyFill="1" applyBorder="1" applyAlignment="1" applyProtection="1">
      <alignment vertical="center"/>
      <protection locked="0"/>
    </xf>
    <xf numFmtId="0" fontId="0" fillId="0" borderId="0" xfId="0" applyAlignment="1">
      <alignment vertical="top"/>
    </xf>
    <xf numFmtId="0" fontId="64" fillId="14" borderId="0" xfId="0" applyFont="1" applyFill="1" applyAlignment="1">
      <alignment horizontal="left" vertical="center"/>
    </xf>
    <xf numFmtId="1" fontId="26" fillId="0" borderId="0" xfId="5" applyNumberFormat="1" applyFont="1" applyAlignment="1">
      <alignment horizontal="center"/>
    </xf>
    <xf numFmtId="0" fontId="26" fillId="0" borderId="0" xfId="5" applyFont="1" applyAlignment="1">
      <alignment horizontal="right"/>
    </xf>
    <xf numFmtId="0" fontId="9" fillId="7" borderId="35" xfId="5" applyFont="1" applyFill="1" applyBorder="1" applyAlignment="1" applyProtection="1">
      <alignment vertical="center"/>
      <protection locked="0"/>
    </xf>
    <xf numFmtId="0" fontId="9" fillId="0" borderId="2" xfId="5" applyFont="1" applyBorder="1" applyAlignment="1" applyProtection="1">
      <alignment vertical="center"/>
      <protection locked="0"/>
    </xf>
    <xf numFmtId="0" fontId="9" fillId="0" borderId="4" xfId="5" applyFont="1" applyBorder="1" applyAlignment="1" applyProtection="1">
      <alignment vertical="center"/>
      <protection locked="0"/>
    </xf>
    <xf numFmtId="0" fontId="71" fillId="0" borderId="18" xfId="5" applyFont="1" applyBorder="1" applyAlignment="1" applyProtection="1">
      <alignment horizontal="center" vertical="center"/>
      <protection locked="0"/>
    </xf>
    <xf numFmtId="0" fontId="38" fillId="0" borderId="0" xfId="0" applyFont="1" applyAlignment="1">
      <alignment horizontal="center" vertical="center" wrapText="1"/>
    </xf>
    <xf numFmtId="0" fontId="38" fillId="0" borderId="22" xfId="0" applyFont="1" applyBorder="1" applyAlignment="1">
      <alignment horizontal="center" vertical="center" wrapText="1"/>
    </xf>
    <xf numFmtId="0" fontId="38" fillId="0" borderId="13" xfId="0" applyFont="1" applyBorder="1" applyAlignment="1">
      <alignment horizontal="center" vertical="center" wrapText="1"/>
    </xf>
    <xf numFmtId="0" fontId="37" fillId="0" borderId="4" xfId="0" applyFont="1" applyBorder="1" applyAlignment="1">
      <alignment horizontal="center" vertical="center"/>
    </xf>
    <xf numFmtId="0" fontId="37" fillId="0" borderId="1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57" fillId="0" borderId="0" xfId="0" applyFont="1" applyAlignment="1">
      <alignment horizontal="left"/>
    </xf>
    <xf numFmtId="0" fontId="72" fillId="0" borderId="0" xfId="0" applyFont="1"/>
    <xf numFmtId="0" fontId="73" fillId="0" borderId="0" xfId="8" applyFont="1" applyAlignment="1">
      <alignment horizontal="left" vertical="center"/>
    </xf>
    <xf numFmtId="0" fontId="57" fillId="0" borderId="0" xfId="0" applyFont="1"/>
    <xf numFmtId="0" fontId="73" fillId="0" borderId="0" xfId="8" applyFont="1"/>
    <xf numFmtId="0" fontId="75" fillId="0" borderId="0" xfId="0" applyFont="1"/>
    <xf numFmtId="0" fontId="72" fillId="9" borderId="0" xfId="0" applyFont="1" applyFill="1"/>
    <xf numFmtId="0" fontId="9" fillId="3" borderId="9" xfId="4" applyFont="1" applyFill="1" applyBorder="1" applyAlignment="1">
      <alignment horizontal="right" vertical="center"/>
    </xf>
    <xf numFmtId="0" fontId="9" fillId="3" borderId="11" xfId="4" applyFont="1" applyFill="1" applyBorder="1" applyAlignment="1">
      <alignment horizontal="right" vertical="center"/>
    </xf>
    <xf numFmtId="0" fontId="13" fillId="7" borderId="1" xfId="0" applyFont="1" applyFill="1" applyBorder="1"/>
    <xf numFmtId="0" fontId="58" fillId="7" borderId="2" xfId="2" applyFont="1" applyFill="1" applyBorder="1" applyAlignment="1" applyProtection="1">
      <alignment horizontal="center"/>
      <protection locked="0"/>
    </xf>
    <xf numFmtId="0" fontId="77" fillId="12" borderId="14" xfId="4" applyFont="1" applyFill="1" applyBorder="1" applyAlignment="1">
      <alignment vertical="center"/>
    </xf>
    <xf numFmtId="0" fontId="77" fillId="12" borderId="14" xfId="5" applyFont="1" applyFill="1" applyBorder="1" applyAlignment="1">
      <alignment vertical="center"/>
    </xf>
    <xf numFmtId="44" fontId="60" fillId="7" borderId="4" xfId="1" applyFont="1" applyFill="1" applyBorder="1"/>
    <xf numFmtId="44" fontId="60" fillId="7" borderId="2" xfId="1" applyFont="1" applyFill="1" applyBorder="1"/>
    <xf numFmtId="44" fontId="60" fillId="0" borderId="0" xfId="1" applyFont="1"/>
    <xf numFmtId="0" fontId="79" fillId="0" borderId="0" xfId="0" applyFont="1" applyAlignment="1">
      <alignment horizontal="center"/>
    </xf>
    <xf numFmtId="0" fontId="79" fillId="7" borderId="4" xfId="0" applyFont="1" applyFill="1" applyBorder="1" applyAlignment="1">
      <alignment horizontal="center"/>
    </xf>
    <xf numFmtId="0" fontId="80" fillId="0" borderId="0" xfId="0" applyFont="1" applyAlignment="1">
      <alignment horizontal="center"/>
    </xf>
    <xf numFmtId="0" fontId="9" fillId="0" borderId="9" xfId="5" applyFont="1" applyBorder="1" applyProtection="1">
      <protection locked="0"/>
    </xf>
    <xf numFmtId="0" fontId="77" fillId="12" borderId="47" xfId="5" applyFont="1" applyFill="1" applyBorder="1" applyAlignment="1">
      <alignment vertical="center"/>
    </xf>
    <xf numFmtId="165" fontId="4" fillId="17" borderId="1" xfId="3" applyFont="1" applyFill="1" applyBorder="1" applyAlignment="1">
      <alignment horizontal="right" vertical="center"/>
    </xf>
    <xf numFmtId="0" fontId="36" fillId="17" borderId="0" xfId="8" applyFill="1" applyAlignment="1">
      <alignment vertical="center"/>
    </xf>
    <xf numFmtId="165" fontId="4" fillId="17" borderId="2" xfId="3" applyFont="1" applyFill="1" applyBorder="1" applyAlignment="1">
      <alignment vertical="center"/>
    </xf>
    <xf numFmtId="165" fontId="4" fillId="17" borderId="4" xfId="3" applyFont="1" applyFill="1" applyBorder="1" applyAlignment="1">
      <alignment vertical="center"/>
    </xf>
    <xf numFmtId="49" fontId="19" fillId="7" borderId="6" xfId="3" applyNumberFormat="1" applyFont="1" applyFill="1" applyBorder="1" applyAlignment="1">
      <alignment vertical="center"/>
    </xf>
    <xf numFmtId="49" fontId="19" fillId="7" borderId="7" xfId="3" applyNumberFormat="1" applyFont="1" applyFill="1" applyBorder="1" applyAlignment="1">
      <alignment vertical="center"/>
    </xf>
    <xf numFmtId="49" fontId="9" fillId="7" borderId="0" xfId="3" applyNumberFormat="1" applyFont="1" applyFill="1" applyBorder="1" applyAlignment="1">
      <alignment vertical="center"/>
    </xf>
    <xf numFmtId="49" fontId="9" fillId="7" borderId="9" xfId="3" applyNumberFormat="1" applyFont="1" applyFill="1" applyBorder="1" applyAlignment="1">
      <alignment vertical="center"/>
    </xf>
    <xf numFmtId="44" fontId="11" fillId="16" borderId="36" xfId="5" applyNumberFormat="1" applyFont="1" applyFill="1" applyBorder="1" applyProtection="1">
      <protection locked="0"/>
    </xf>
    <xf numFmtId="0" fontId="63" fillId="2" borderId="30" xfId="0" applyFont="1" applyFill="1" applyBorder="1" applyAlignment="1">
      <alignment vertical="center"/>
    </xf>
    <xf numFmtId="0" fontId="63" fillId="2" borderId="28" xfId="0" applyFont="1" applyFill="1" applyBorder="1" applyAlignment="1">
      <alignment vertical="center"/>
    </xf>
    <xf numFmtId="0" fontId="63" fillId="2" borderId="31" xfId="0" applyFont="1" applyFill="1" applyBorder="1" applyAlignment="1">
      <alignment vertical="center"/>
    </xf>
    <xf numFmtId="0" fontId="9" fillId="7" borderId="13" xfId="5" applyFont="1" applyFill="1" applyBorder="1" applyAlignment="1" applyProtection="1">
      <alignment horizontal="center" vertical="center"/>
      <protection locked="0"/>
    </xf>
    <xf numFmtId="0" fontId="0" fillId="2" borderId="0" xfId="0" applyFill="1"/>
    <xf numFmtId="0" fontId="59" fillId="2" borderId="0" xfId="0" applyFont="1" applyFill="1" applyAlignment="1">
      <alignment horizontal="center"/>
    </xf>
    <xf numFmtId="44" fontId="61" fillId="2" borderId="0" xfId="1" applyFont="1" applyFill="1"/>
    <xf numFmtId="0" fontId="83" fillId="6" borderId="22" xfId="0" applyFont="1" applyFill="1" applyBorder="1"/>
    <xf numFmtId="0" fontId="83" fillId="6" borderId="14" xfId="0" applyFont="1" applyFill="1" applyBorder="1"/>
    <xf numFmtId="0" fontId="0" fillId="19" borderId="0" xfId="0" applyFill="1"/>
    <xf numFmtId="0" fontId="59" fillId="19" borderId="0" xfId="0" applyFont="1" applyFill="1" applyAlignment="1">
      <alignment horizontal="center"/>
    </xf>
    <xf numFmtId="44" fontId="61" fillId="19" borderId="0" xfId="1" applyFont="1" applyFill="1"/>
    <xf numFmtId="0" fontId="80" fillId="19" borderId="0" xfId="0" applyFont="1" applyFill="1" applyAlignment="1">
      <alignment horizontal="center"/>
    </xf>
    <xf numFmtId="0" fontId="0" fillId="19" borderId="0" xfId="0" applyFill="1" applyAlignment="1">
      <alignment vertical="top"/>
    </xf>
    <xf numFmtId="0" fontId="57" fillId="9" borderId="0" xfId="0" applyFont="1" applyFill="1" applyAlignment="1">
      <alignment horizontal="left"/>
    </xf>
    <xf numFmtId="0" fontId="57" fillId="20" borderId="0" xfId="0" applyFont="1" applyFill="1" applyAlignment="1">
      <alignment horizontal="left"/>
    </xf>
    <xf numFmtId="0" fontId="72" fillId="2" borderId="0" xfId="0" applyFont="1" applyFill="1"/>
    <xf numFmtId="0" fontId="72" fillId="19" borderId="0" xfId="0" applyFont="1" applyFill="1"/>
    <xf numFmtId="0" fontId="72" fillId="10" borderId="0" xfId="0" applyFont="1" applyFill="1"/>
    <xf numFmtId="0" fontId="13" fillId="21" borderId="0" xfId="0" applyFont="1" applyFill="1"/>
    <xf numFmtId="0" fontId="13" fillId="5" borderId="1" xfId="0" applyFont="1" applyFill="1" applyBorder="1"/>
    <xf numFmtId="0" fontId="83" fillId="2" borderId="0" xfId="0" applyFont="1" applyFill="1"/>
    <xf numFmtId="0" fontId="83" fillId="19" borderId="0" xfId="0" applyFont="1" applyFill="1"/>
    <xf numFmtId="0" fontId="19" fillId="18" borderId="18" xfId="5" applyFont="1" applyFill="1" applyBorder="1" applyAlignment="1" applyProtection="1">
      <alignment horizontal="center" vertical="center"/>
      <protection locked="0"/>
    </xf>
    <xf numFmtId="0" fontId="37" fillId="12" borderId="14" xfId="5" applyFont="1" applyFill="1" applyBorder="1" applyAlignment="1">
      <alignment horizontal="left" vertical="center"/>
    </xf>
    <xf numFmtId="0" fontId="1" fillId="0" borderId="0" xfId="5" applyFont="1" applyAlignment="1" applyProtection="1">
      <alignment horizontal="center" vertical="center"/>
      <protection locked="0"/>
    </xf>
    <xf numFmtId="0" fontId="83" fillId="12" borderId="0" xfId="0" applyFont="1" applyFill="1"/>
    <xf numFmtId="0" fontId="59" fillId="12" borderId="0" xfId="0" applyFont="1" applyFill="1" applyAlignment="1">
      <alignment horizontal="center"/>
    </xf>
    <xf numFmtId="44" fontId="61" fillId="12" borderId="0" xfId="1" applyFont="1" applyFill="1"/>
    <xf numFmtId="0" fontId="80" fillId="12" borderId="0" xfId="0" applyFont="1" applyFill="1" applyAlignment="1">
      <alignment horizontal="center"/>
    </xf>
    <xf numFmtId="0" fontId="55" fillId="0" borderId="3" xfId="0" applyFont="1" applyBorder="1" applyAlignment="1">
      <alignment vertical="center" wrapText="1"/>
    </xf>
    <xf numFmtId="0" fontId="55" fillId="0" borderId="11" xfId="0" applyFont="1" applyBorder="1" applyAlignment="1">
      <alignment vertical="center" wrapText="1"/>
    </xf>
    <xf numFmtId="38" fontId="9" fillId="0" borderId="3" xfId="6" applyNumberFormat="1" applyFont="1" applyFill="1" applyBorder="1" applyAlignment="1" applyProtection="1">
      <alignment horizontal="center" vertical="center" shrinkToFit="1"/>
      <protection locked="0"/>
    </xf>
    <xf numFmtId="1" fontId="18" fillId="0" borderId="8" xfId="5" applyNumberFormat="1" applyFont="1" applyBorder="1" applyAlignment="1" applyProtection="1">
      <alignment horizontal="center" vertical="center" shrinkToFit="1"/>
      <protection locked="0"/>
    </xf>
    <xf numFmtId="40" fontId="18" fillId="0" borderId="0" xfId="6" applyFont="1" applyFill="1" applyAlignment="1" applyProtection="1">
      <alignment horizontal="center" vertical="center" shrinkToFit="1"/>
      <protection locked="0"/>
    </xf>
    <xf numFmtId="0" fontId="18" fillId="0" borderId="0" xfId="5" applyFont="1" applyAlignment="1" applyProtection="1">
      <alignment horizontal="center" vertical="center" shrinkToFit="1"/>
      <protection locked="0"/>
    </xf>
    <xf numFmtId="0" fontId="18" fillId="0" borderId="9" xfId="5" applyFont="1" applyBorder="1" applyAlignment="1" applyProtection="1">
      <alignment horizontal="center" vertical="center" shrinkToFit="1"/>
      <protection locked="0"/>
    </xf>
    <xf numFmtId="0" fontId="18" fillId="0" borderId="8" xfId="5" applyFont="1" applyBorder="1" applyAlignment="1" applyProtection="1">
      <alignment horizontal="center" vertical="center" shrinkToFit="1"/>
      <protection locked="0"/>
    </xf>
    <xf numFmtId="169" fontId="28" fillId="0" borderId="0" xfId="5" applyNumberFormat="1" applyFont="1" applyAlignment="1" applyProtection="1">
      <alignment horizontal="center" vertical="center" shrinkToFit="1"/>
      <protection locked="0"/>
    </xf>
    <xf numFmtId="1" fontId="18" fillId="0" borderId="8" xfId="5" applyNumberFormat="1" applyFont="1" applyBorder="1" applyAlignment="1">
      <alignment horizontal="center" vertical="center" shrinkToFit="1"/>
    </xf>
    <xf numFmtId="38" fontId="9" fillId="6" borderId="14" xfId="6" applyNumberFormat="1" applyFont="1" applyFill="1" applyBorder="1" applyAlignment="1">
      <alignment horizontal="right" vertical="center"/>
    </xf>
    <xf numFmtId="1" fontId="33" fillId="0" borderId="15" xfId="5" applyNumberFormat="1" applyFont="1" applyBorder="1" applyAlignment="1" applyProtection="1">
      <alignment horizontal="center" vertical="center" shrinkToFit="1"/>
      <protection locked="0"/>
    </xf>
    <xf numFmtId="38" fontId="9" fillId="7" borderId="13" xfId="6" applyNumberFormat="1" applyFont="1" applyFill="1" applyBorder="1" applyAlignment="1" applyProtection="1">
      <alignment horizontal="center" vertical="center" shrinkToFit="1"/>
      <protection locked="0"/>
    </xf>
    <xf numFmtId="38" fontId="3" fillId="6" borderId="12" xfId="6" applyNumberFormat="1" applyFont="1" applyFill="1" applyBorder="1" applyAlignment="1">
      <alignment horizontal="right" vertical="center"/>
    </xf>
    <xf numFmtId="0" fontId="28" fillId="0" borderId="12" xfId="5" applyFont="1" applyBorder="1" applyAlignment="1" applyProtection="1">
      <alignment horizontal="center" vertical="center"/>
      <protection locked="0"/>
    </xf>
    <xf numFmtId="2" fontId="33" fillId="0" borderId="52" xfId="5" applyNumberFormat="1" applyFont="1" applyBorder="1" applyAlignment="1" applyProtection="1">
      <alignment horizontal="center" vertical="center" shrinkToFit="1"/>
      <protection locked="0"/>
    </xf>
    <xf numFmtId="1" fontId="8" fillId="0" borderId="13" xfId="5" applyNumberFormat="1" applyFont="1" applyBorder="1" applyAlignment="1">
      <alignment horizontal="center" vertical="center"/>
    </xf>
    <xf numFmtId="1" fontId="9" fillId="7" borderId="17" xfId="5" applyNumberFormat="1" applyFont="1" applyFill="1" applyBorder="1" applyAlignment="1" applyProtection="1">
      <alignment vertical="center"/>
      <protection locked="0"/>
    </xf>
    <xf numFmtId="0" fontId="0" fillId="0" borderId="8" xfId="0" applyBorder="1"/>
    <xf numFmtId="44" fontId="51" fillId="0" borderId="0" xfId="1" applyFont="1" applyAlignment="1">
      <alignment horizontal="center" vertical="center"/>
    </xf>
    <xf numFmtId="0" fontId="13" fillId="0" borderId="0" xfId="0" applyFont="1" applyAlignment="1">
      <alignment horizontal="left" vertical="center"/>
    </xf>
    <xf numFmtId="44" fontId="50" fillId="0" borderId="0" xfId="1" applyFont="1" applyAlignment="1">
      <alignment horizontal="center" vertical="center"/>
    </xf>
    <xf numFmtId="0" fontId="91" fillId="0" borderId="0" xfId="5" applyFont="1" applyProtection="1">
      <protection locked="0"/>
    </xf>
    <xf numFmtId="0" fontId="9" fillId="7" borderId="53" xfId="5" applyFont="1" applyFill="1" applyBorder="1" applyAlignment="1" applyProtection="1">
      <alignment vertical="center"/>
      <protection locked="0"/>
    </xf>
    <xf numFmtId="0" fontId="8" fillId="7" borderId="1" xfId="5" applyFont="1" applyFill="1" applyBorder="1" applyProtection="1">
      <protection locked="0"/>
    </xf>
    <xf numFmtId="0" fontId="8" fillId="7" borderId="2" xfId="5" applyFont="1" applyFill="1" applyBorder="1" applyProtection="1">
      <protection locked="0"/>
    </xf>
    <xf numFmtId="0" fontId="8" fillId="7" borderId="4" xfId="5" applyFont="1" applyFill="1" applyBorder="1" applyProtection="1">
      <protection locked="0"/>
    </xf>
    <xf numFmtId="0" fontId="9" fillId="7" borderId="54" xfId="5" applyFont="1" applyFill="1" applyBorder="1" applyAlignment="1" applyProtection="1">
      <alignment vertical="center"/>
      <protection locked="0"/>
    </xf>
    <xf numFmtId="0" fontId="9" fillId="0" borderId="0" xfId="5" applyFont="1" applyAlignment="1" applyProtection="1">
      <alignment horizontal="center" vertical="center"/>
      <protection locked="0"/>
    </xf>
    <xf numFmtId="0" fontId="0" fillId="0" borderId="0" xfId="0" applyAlignment="1">
      <alignment horizontal="left" vertical="center"/>
    </xf>
    <xf numFmtId="9" fontId="9" fillId="7" borderId="13" xfId="7" applyFont="1" applyFill="1" applyBorder="1" applyAlignment="1" applyProtection="1">
      <alignment vertical="center"/>
      <protection locked="0"/>
    </xf>
    <xf numFmtId="0" fontId="24" fillId="8" borderId="14" xfId="5" applyFont="1" applyFill="1" applyBorder="1" applyAlignment="1" applyProtection="1">
      <alignment vertical="top"/>
      <protection locked="0"/>
    </xf>
    <xf numFmtId="0" fontId="5" fillId="0" borderId="0" xfId="5" applyFont="1" applyAlignment="1" applyProtection="1">
      <alignment horizontal="center" vertical="center"/>
      <protection locked="0"/>
    </xf>
    <xf numFmtId="0" fontId="9" fillId="10" borderId="17" xfId="5" applyFont="1" applyFill="1" applyBorder="1" applyAlignment="1" applyProtection="1">
      <alignment horizontal="center" vertical="center"/>
      <protection locked="0"/>
    </xf>
    <xf numFmtId="0" fontId="9" fillId="10" borderId="13" xfId="5" applyFont="1" applyFill="1" applyBorder="1" applyAlignment="1" applyProtection="1">
      <alignment horizontal="center" vertical="center"/>
      <protection locked="0"/>
    </xf>
    <xf numFmtId="0" fontId="24" fillId="8" borderId="22" xfId="5" applyFont="1" applyFill="1" applyBorder="1" applyAlignment="1" applyProtection="1">
      <alignment vertical="top"/>
      <protection locked="0"/>
    </xf>
    <xf numFmtId="0" fontId="0" fillId="0" borderId="0" xfId="0" applyAlignment="1">
      <alignment horizontal="right" vertical="center"/>
    </xf>
    <xf numFmtId="0" fontId="9" fillId="0" borderId="1" xfId="5" applyFont="1" applyBorder="1" applyAlignment="1" applyProtection="1">
      <alignment vertical="center"/>
      <protection locked="0"/>
    </xf>
    <xf numFmtId="0" fontId="9" fillId="0" borderId="4" xfId="5" applyFont="1" applyBorder="1" applyProtection="1">
      <protection locked="0"/>
    </xf>
    <xf numFmtId="0" fontId="9" fillId="10" borderId="25" xfId="5" applyFont="1" applyFill="1" applyBorder="1" applyAlignment="1" applyProtection="1">
      <alignment vertical="center"/>
      <protection locked="0"/>
    </xf>
    <xf numFmtId="0" fontId="9" fillId="10" borderId="26" xfId="5" applyFont="1" applyFill="1" applyBorder="1" applyAlignment="1" applyProtection="1">
      <alignment vertical="center"/>
      <protection locked="0"/>
    </xf>
    <xf numFmtId="44" fontId="94" fillId="0" borderId="0" xfId="1" applyFont="1" applyAlignment="1">
      <alignment horizontal="center" vertical="center"/>
    </xf>
    <xf numFmtId="44" fontId="95" fillId="0" borderId="0" xfId="1" applyFont="1" applyBorder="1" applyAlignment="1">
      <alignment horizontal="center" vertical="center"/>
    </xf>
    <xf numFmtId="0" fontId="96" fillId="7" borderId="2" xfId="5" applyFont="1" applyFill="1" applyBorder="1" applyProtection="1">
      <protection locked="0"/>
    </xf>
    <xf numFmtId="44" fontId="95" fillId="0" borderId="3" xfId="1" applyFont="1" applyBorder="1" applyAlignment="1">
      <alignment horizontal="center" vertical="center"/>
    </xf>
    <xf numFmtId="0" fontId="83" fillId="0" borderId="9" xfId="0" applyFont="1" applyBorder="1" applyAlignment="1">
      <alignment horizontal="center" vertical="center"/>
    </xf>
    <xf numFmtId="0" fontId="97" fillId="7" borderId="4" xfId="5" applyFont="1" applyFill="1" applyBorder="1" applyProtection="1">
      <protection locked="0"/>
    </xf>
    <xf numFmtId="0" fontId="83" fillId="0" borderId="0" xfId="0" applyFont="1" applyAlignment="1">
      <alignment horizontal="center" vertical="center"/>
    </xf>
    <xf numFmtId="0" fontId="9" fillId="0" borderId="3" xfId="5" applyFont="1" applyBorder="1" applyAlignment="1">
      <alignment horizontal="right" vertical="center"/>
    </xf>
    <xf numFmtId="0" fontId="9" fillId="10" borderId="3" xfId="5" applyFont="1" applyFill="1" applyBorder="1" applyAlignment="1">
      <alignment horizontal="right" vertical="center"/>
    </xf>
    <xf numFmtId="1" fontId="8" fillId="0" borderId="3" xfId="5" applyNumberFormat="1" applyFont="1" applyBorder="1" applyAlignment="1">
      <alignment horizontal="center" vertical="center"/>
    </xf>
    <xf numFmtId="0" fontId="9" fillId="0" borderId="11" xfId="5" applyFont="1" applyBorder="1" applyAlignment="1">
      <alignment vertical="center"/>
    </xf>
    <xf numFmtId="170" fontId="18" fillId="0" borderId="8" xfId="5" applyNumberFormat="1" applyFont="1" applyBorder="1" applyAlignment="1" applyProtection="1">
      <alignment horizontal="center" vertical="center" shrinkToFit="1"/>
      <protection locked="0"/>
    </xf>
    <xf numFmtId="38" fontId="18" fillId="0" borderId="8" xfId="5" applyNumberFormat="1" applyFont="1" applyBorder="1" applyAlignment="1">
      <alignment horizontal="center" vertical="center" shrinkToFit="1"/>
    </xf>
    <xf numFmtId="38" fontId="8" fillId="0" borderId="13" xfId="6" applyNumberFormat="1" applyFont="1" applyFill="1" applyBorder="1" applyAlignment="1">
      <alignment horizontal="center" vertical="center"/>
    </xf>
    <xf numFmtId="0" fontId="19" fillId="0" borderId="13" xfId="5" applyFont="1" applyBorder="1" applyAlignment="1" applyProtection="1">
      <alignment horizontal="right" vertical="center"/>
      <protection locked="0"/>
    </xf>
    <xf numFmtId="0" fontId="19" fillId="10" borderId="13" xfId="5" applyFont="1" applyFill="1" applyBorder="1" applyAlignment="1" applyProtection="1">
      <alignment horizontal="center" vertical="center"/>
      <protection locked="0"/>
    </xf>
    <xf numFmtId="0" fontId="90" fillId="7" borderId="13" xfId="5" applyFont="1" applyFill="1" applyBorder="1" applyProtection="1">
      <protection locked="0"/>
    </xf>
    <xf numFmtId="0" fontId="8" fillId="12" borderId="1" xfId="5" applyFont="1" applyFill="1" applyBorder="1" applyProtection="1">
      <protection locked="0"/>
    </xf>
    <xf numFmtId="0" fontId="96" fillId="12" borderId="2" xfId="5" applyFont="1" applyFill="1" applyBorder="1" applyProtection="1">
      <protection locked="0"/>
    </xf>
    <xf numFmtId="0" fontId="97" fillId="12" borderId="4" xfId="5" applyFont="1" applyFill="1" applyBorder="1" applyProtection="1">
      <protection locked="0"/>
    </xf>
    <xf numFmtId="0" fontId="9" fillId="0" borderId="14" xfId="5" applyFont="1" applyBorder="1" applyAlignment="1" applyProtection="1">
      <alignment horizontal="left" vertical="center"/>
      <protection locked="0"/>
    </xf>
    <xf numFmtId="0" fontId="9" fillId="0" borderId="0" xfId="5" applyFont="1" applyAlignment="1" applyProtection="1">
      <alignment horizontal="center"/>
      <protection locked="0"/>
    </xf>
    <xf numFmtId="44" fontId="103" fillId="0" borderId="13" xfId="1" applyFont="1" applyBorder="1" applyAlignment="1" applyProtection="1">
      <alignment horizontal="center" vertical="center"/>
    </xf>
    <xf numFmtId="0" fontId="105" fillId="23" borderId="0" xfId="5" applyFont="1" applyFill="1" applyAlignment="1" applyProtection="1">
      <alignment vertical="center"/>
      <protection locked="0"/>
    </xf>
    <xf numFmtId="0" fontId="9" fillId="2" borderId="13" xfId="5" applyFont="1" applyFill="1" applyBorder="1" applyAlignment="1" applyProtection="1">
      <alignment horizontal="center" vertical="center"/>
      <protection locked="0"/>
    </xf>
    <xf numFmtId="0" fontId="105" fillId="24" borderId="11" xfId="5" applyFont="1" applyFill="1" applyBorder="1" applyProtection="1">
      <protection locked="0"/>
    </xf>
    <xf numFmtId="0" fontId="93" fillId="25" borderId="1" xfId="0" applyFont="1" applyFill="1" applyBorder="1" applyAlignment="1">
      <alignment horizontal="left" vertical="center"/>
    </xf>
    <xf numFmtId="0" fontId="92" fillId="25" borderId="13" xfId="0" applyFont="1" applyFill="1" applyBorder="1" applyAlignment="1">
      <alignment horizontal="center" vertical="center"/>
    </xf>
    <xf numFmtId="0" fontId="9" fillId="7" borderId="13" xfId="5" applyFont="1" applyFill="1" applyBorder="1" applyAlignment="1" applyProtection="1">
      <alignment vertical="center"/>
      <protection locked="0"/>
    </xf>
    <xf numFmtId="0" fontId="93" fillId="29" borderId="13" xfId="0" applyFont="1" applyFill="1" applyBorder="1" applyAlignment="1">
      <alignment horizontal="left" vertical="center"/>
    </xf>
    <xf numFmtId="0" fontId="92" fillId="30" borderId="13" xfId="0" applyFont="1" applyFill="1" applyBorder="1" applyAlignment="1">
      <alignment horizontal="center" vertical="center"/>
    </xf>
    <xf numFmtId="0" fontId="92" fillId="30" borderId="13" xfId="0" applyFont="1" applyFill="1" applyBorder="1" applyAlignment="1">
      <alignment horizontal="right" vertical="center"/>
    </xf>
    <xf numFmtId="0" fontId="93" fillId="30" borderId="13" xfId="0" applyFont="1" applyFill="1" applyBorder="1" applyAlignment="1">
      <alignment horizontal="left" vertical="center"/>
    </xf>
    <xf numFmtId="44" fontId="95" fillId="0" borderId="6" xfId="1" applyFont="1" applyBorder="1" applyAlignment="1">
      <alignment horizontal="center" vertical="center"/>
    </xf>
    <xf numFmtId="0" fontId="9" fillId="0" borderId="6" xfId="5" applyFont="1" applyBorder="1" applyProtection="1">
      <protection locked="0"/>
    </xf>
    <xf numFmtId="44" fontId="95" fillId="0" borderId="7" xfId="1" applyFont="1" applyBorder="1" applyAlignment="1">
      <alignment horizontal="center" vertical="center"/>
    </xf>
    <xf numFmtId="0" fontId="9" fillId="0" borderId="10" xfId="5" applyFont="1" applyBorder="1" applyProtection="1">
      <protection locked="0"/>
    </xf>
    <xf numFmtId="0" fontId="9" fillId="0" borderId="3" xfId="5" applyFont="1" applyBorder="1" applyProtection="1">
      <protection locked="0"/>
    </xf>
    <xf numFmtId="44" fontId="95" fillId="0" borderId="9" xfId="1" applyFont="1" applyBorder="1" applyAlignment="1">
      <alignment horizontal="center" vertical="center"/>
    </xf>
    <xf numFmtId="44" fontId="95" fillId="0" borderId="11" xfId="1" applyFont="1" applyBorder="1" applyAlignment="1">
      <alignment horizontal="center" vertical="center"/>
    </xf>
    <xf numFmtId="0" fontId="96" fillId="2" borderId="2" xfId="5" applyFont="1" applyFill="1" applyBorder="1" applyAlignment="1" applyProtection="1">
      <alignment vertical="center"/>
      <protection locked="0"/>
    </xf>
    <xf numFmtId="0" fontId="96" fillId="2" borderId="4" xfId="5" applyFont="1" applyFill="1" applyBorder="1" applyAlignment="1" applyProtection="1">
      <alignment vertical="center"/>
      <protection locked="0"/>
    </xf>
    <xf numFmtId="0" fontId="92" fillId="30" borderId="4" xfId="0" applyFont="1" applyFill="1" applyBorder="1" applyAlignment="1">
      <alignment horizontal="center" vertical="center"/>
    </xf>
    <xf numFmtId="0" fontId="92" fillId="29" borderId="12" xfId="0" applyFont="1" applyFill="1" applyBorder="1" applyAlignment="1">
      <alignment horizontal="center" vertical="center"/>
    </xf>
    <xf numFmtId="0" fontId="107" fillId="2" borderId="1" xfId="5" applyFont="1" applyFill="1" applyBorder="1" applyAlignment="1" applyProtection="1">
      <alignment vertical="center"/>
      <protection locked="0"/>
    </xf>
    <xf numFmtId="0" fontId="108" fillId="2" borderId="13" xfId="5" applyFont="1" applyFill="1" applyBorder="1" applyAlignment="1" applyProtection="1">
      <alignment horizontal="center" vertical="center"/>
      <protection locked="0"/>
    </xf>
    <xf numFmtId="0" fontId="107" fillId="2" borderId="2" xfId="5" applyFont="1" applyFill="1" applyBorder="1" applyAlignment="1" applyProtection="1">
      <alignment vertical="center"/>
      <protection locked="0"/>
    </xf>
    <xf numFmtId="0" fontId="107" fillId="2" borderId="4" xfId="5" applyFont="1" applyFill="1" applyBorder="1" applyAlignment="1" applyProtection="1">
      <alignment vertical="center"/>
      <protection locked="0"/>
    </xf>
    <xf numFmtId="1" fontId="28" fillId="0" borderId="8" xfId="5" applyNumberFormat="1" applyFont="1" applyBorder="1" applyAlignment="1" applyProtection="1">
      <alignment horizontal="center" vertical="center" shrinkToFit="1"/>
      <protection locked="0"/>
    </xf>
    <xf numFmtId="40" fontId="28" fillId="0" borderId="0" xfId="6" applyFont="1" applyAlignment="1" applyProtection="1">
      <alignment horizontal="center" vertical="center" shrinkToFit="1"/>
      <protection locked="0"/>
    </xf>
    <xf numFmtId="0" fontId="28" fillId="0" borderId="0" xfId="5" applyFont="1" applyAlignment="1" applyProtection="1">
      <alignment horizontal="center" vertical="center" shrinkToFit="1"/>
      <protection locked="0"/>
    </xf>
    <xf numFmtId="0" fontId="28" fillId="0" borderId="9" xfId="5" applyFont="1" applyBorder="1" applyAlignment="1" applyProtection="1">
      <alignment horizontal="center" vertical="center" shrinkToFit="1"/>
      <protection locked="0"/>
    </xf>
    <xf numFmtId="1" fontId="30" fillId="0" borderId="8" xfId="5" applyNumberFormat="1" applyFont="1" applyBorder="1" applyAlignment="1" applyProtection="1">
      <alignment horizontal="center" vertical="center" shrinkToFit="1"/>
      <protection locked="0"/>
    </xf>
    <xf numFmtId="40" fontId="28" fillId="0" borderId="6" xfId="6" applyFont="1" applyBorder="1" applyAlignment="1" applyProtection="1">
      <alignment horizontal="center" vertical="center" shrinkToFit="1"/>
      <protection locked="0"/>
    </xf>
    <xf numFmtId="0" fontId="28" fillId="0" borderId="7" xfId="5" applyFont="1" applyBorder="1" applyAlignment="1" applyProtection="1">
      <alignment horizontal="center" vertical="center" shrinkToFit="1"/>
      <protection locked="0"/>
    </xf>
    <xf numFmtId="40" fontId="18" fillId="0" borderId="0" xfId="6" applyFont="1" applyAlignment="1" applyProtection="1">
      <alignment horizontal="center" vertical="center" shrinkToFit="1"/>
      <protection locked="0"/>
    </xf>
    <xf numFmtId="40" fontId="18" fillId="0" borderId="0" xfId="6" applyFont="1" applyAlignment="1" applyProtection="1">
      <alignment horizontal="center" vertical="center" shrinkToFit="1"/>
    </xf>
    <xf numFmtId="0" fontId="18" fillId="0" borderId="8" xfId="5" applyFont="1" applyBorder="1" applyAlignment="1">
      <alignment horizontal="center" vertical="center" shrinkToFit="1"/>
    </xf>
    <xf numFmtId="175" fontId="18" fillId="0" borderId="8" xfId="5" applyNumberFormat="1" applyFont="1" applyBorder="1" applyAlignment="1">
      <alignment horizontal="center" vertical="center" shrinkToFit="1"/>
    </xf>
    <xf numFmtId="1" fontId="28" fillId="0" borderId="5" xfId="5" applyNumberFormat="1" applyFont="1" applyBorder="1" applyAlignment="1" applyProtection="1">
      <alignment horizontal="center" vertical="center" shrinkToFit="1"/>
      <protection locked="0"/>
    </xf>
    <xf numFmtId="1" fontId="28" fillId="0" borderId="14" xfId="5" applyNumberFormat="1" applyFont="1" applyBorder="1" applyAlignment="1" applyProtection="1">
      <alignment horizontal="center" vertical="center" shrinkToFit="1"/>
      <protection locked="0"/>
    </xf>
    <xf numFmtId="2" fontId="33" fillId="0" borderId="6" xfId="5" applyNumberFormat="1" applyFont="1" applyBorder="1" applyAlignment="1" applyProtection="1">
      <alignment horizontal="center" vertical="center" shrinkToFit="1"/>
      <protection locked="0"/>
    </xf>
    <xf numFmtId="2" fontId="33" fillId="0" borderId="0" xfId="5" applyNumberFormat="1" applyFont="1" applyAlignment="1" applyProtection="1">
      <alignment horizontal="center" vertical="center" shrinkToFit="1"/>
      <protection locked="0"/>
    </xf>
    <xf numFmtId="2" fontId="33" fillId="0" borderId="3" xfId="5" applyNumberFormat="1" applyFont="1" applyBorder="1" applyAlignment="1" applyProtection="1">
      <alignment horizontal="center" vertical="center" shrinkToFit="1"/>
      <protection locked="0"/>
    </xf>
    <xf numFmtId="2" fontId="33" fillId="7" borderId="14" xfId="5" applyNumberFormat="1" applyFont="1" applyFill="1" applyBorder="1" applyAlignment="1" applyProtection="1">
      <alignment horizontal="center" vertical="center" shrinkToFit="1"/>
      <protection locked="0"/>
    </xf>
    <xf numFmtId="0" fontId="9" fillId="10" borderId="13" xfId="5" applyFont="1" applyFill="1" applyBorder="1" applyAlignment="1">
      <alignment horizontal="center" vertical="center"/>
    </xf>
    <xf numFmtId="0" fontId="18" fillId="0" borderId="22" xfId="5" applyFont="1" applyBorder="1" applyAlignment="1">
      <alignment horizontal="center" vertical="center"/>
    </xf>
    <xf numFmtId="174" fontId="33" fillId="0" borderId="23" xfId="5" applyNumberFormat="1" applyFont="1" applyBorder="1" applyAlignment="1">
      <alignment horizontal="center" vertical="center" shrinkToFit="1"/>
    </xf>
    <xf numFmtId="0" fontId="18" fillId="0" borderId="14" xfId="5" applyFont="1" applyBorder="1" applyAlignment="1">
      <alignment horizontal="center" vertical="center"/>
    </xf>
    <xf numFmtId="174" fontId="33" fillId="0" borderId="15" xfId="5" applyNumberFormat="1" applyFont="1" applyBorder="1" applyAlignment="1">
      <alignment horizontal="center" vertical="center" shrinkToFit="1"/>
    </xf>
    <xf numFmtId="176" fontId="33" fillId="0" borderId="15" xfId="5" applyNumberFormat="1" applyFont="1" applyBorder="1" applyAlignment="1">
      <alignment horizontal="center" vertical="center" shrinkToFit="1"/>
    </xf>
    <xf numFmtId="0" fontId="9" fillId="0" borderId="3" xfId="5" applyFont="1" applyBorder="1" applyAlignment="1">
      <alignment horizontal="center" vertical="center"/>
    </xf>
    <xf numFmtId="0" fontId="9" fillId="0" borderId="11" xfId="5" applyFont="1" applyBorder="1" applyAlignment="1">
      <alignment horizontal="center" vertical="center"/>
    </xf>
    <xf numFmtId="0" fontId="18" fillId="0" borderId="12" xfId="5" applyFont="1" applyBorder="1" applyAlignment="1" applyProtection="1">
      <alignment horizontal="center" vertical="center"/>
      <protection locked="0"/>
    </xf>
    <xf numFmtId="2" fontId="33" fillId="0" borderId="23" xfId="5" applyNumberFormat="1" applyFont="1" applyBorder="1" applyAlignment="1" applyProtection="1">
      <alignment horizontal="center" vertical="center" shrinkToFit="1"/>
      <protection locked="0"/>
    </xf>
    <xf numFmtId="1" fontId="18" fillId="0" borderId="0" xfId="5" applyNumberFormat="1" applyFont="1" applyAlignment="1" applyProtection="1">
      <alignment horizontal="center" vertical="center" shrinkToFit="1"/>
      <protection locked="0"/>
    </xf>
    <xf numFmtId="38" fontId="18" fillId="0" borderId="0" xfId="6" applyNumberFormat="1" applyFont="1" applyFill="1" applyAlignment="1" applyProtection="1">
      <alignment horizontal="center" vertical="center" shrinkToFit="1"/>
      <protection locked="0"/>
    </xf>
    <xf numFmtId="38" fontId="18" fillId="7" borderId="13" xfId="6" applyNumberFormat="1" applyFont="1" applyFill="1" applyBorder="1" applyAlignment="1" applyProtection="1">
      <alignment horizontal="center" vertical="center" shrinkToFit="1"/>
      <protection locked="0"/>
    </xf>
    <xf numFmtId="0" fontId="9" fillId="9" borderId="13" xfId="5" applyFont="1" applyFill="1" applyBorder="1" applyAlignment="1" applyProtection="1">
      <alignment horizontal="center" vertical="center"/>
      <protection locked="0"/>
    </xf>
    <xf numFmtId="40" fontId="28" fillId="0" borderId="0" xfId="6" applyFont="1" applyBorder="1" applyAlignment="1" applyProtection="1">
      <alignment horizontal="center" vertical="center" shrinkToFit="1"/>
      <protection locked="0"/>
    </xf>
    <xf numFmtId="0" fontId="76" fillId="12" borderId="22" xfId="2" applyFont="1" applyFill="1" applyBorder="1" applyAlignment="1">
      <alignment vertical="center"/>
    </xf>
    <xf numFmtId="0" fontId="5" fillId="0" borderId="0" xfId="2" applyFont="1" applyAlignment="1" applyProtection="1">
      <alignment vertical="center"/>
      <protection locked="0"/>
    </xf>
    <xf numFmtId="0" fontId="20" fillId="0" borderId="0" xfId="5" applyFont="1" applyAlignment="1" applyProtection="1">
      <alignment vertical="center"/>
      <protection locked="0"/>
    </xf>
    <xf numFmtId="0" fontId="77" fillId="12" borderId="12" xfId="5" applyFont="1" applyFill="1" applyBorder="1" applyAlignment="1">
      <alignment vertical="center"/>
    </xf>
    <xf numFmtId="0" fontId="77" fillId="12" borderId="14" xfId="5" applyFont="1" applyFill="1" applyBorder="1" applyAlignment="1">
      <alignment horizontal="center" vertical="center"/>
    </xf>
    <xf numFmtId="0" fontId="77" fillId="12" borderId="0" xfId="5" applyFont="1" applyFill="1" applyAlignment="1">
      <alignment horizontal="center" vertical="center"/>
    </xf>
    <xf numFmtId="0" fontId="77" fillId="12" borderId="13" xfId="5" applyFont="1" applyFill="1" applyBorder="1" applyAlignment="1">
      <alignment vertical="center"/>
    </xf>
    <xf numFmtId="44" fontId="46" fillId="0" borderId="22" xfId="1" applyFont="1" applyFill="1" applyBorder="1" applyAlignment="1">
      <alignment horizontal="right" vertical="center"/>
    </xf>
    <xf numFmtId="44" fontId="45" fillId="8" borderId="13" xfId="1" applyFont="1" applyFill="1" applyBorder="1" applyAlignment="1">
      <alignment horizontal="right" vertical="center"/>
    </xf>
    <xf numFmtId="0" fontId="77" fillId="12" borderId="22" xfId="5" applyFont="1" applyFill="1" applyBorder="1" applyAlignment="1">
      <alignment vertical="center"/>
    </xf>
    <xf numFmtId="1" fontId="18" fillId="0" borderId="14" xfId="5" applyNumberFormat="1" applyFont="1" applyBorder="1" applyAlignment="1" applyProtection="1">
      <alignment horizontal="center" vertical="center"/>
      <protection locked="0"/>
    </xf>
    <xf numFmtId="49" fontId="9" fillId="7" borderId="13" xfId="5" applyNumberFormat="1" applyFont="1" applyFill="1" applyBorder="1" applyAlignment="1" applyProtection="1">
      <alignment vertical="center"/>
      <protection locked="0"/>
    </xf>
    <xf numFmtId="38" fontId="9" fillId="6" borderId="9" xfId="6" applyNumberFormat="1" applyFont="1" applyFill="1" applyBorder="1" applyAlignment="1">
      <alignment horizontal="right" vertical="center"/>
    </xf>
    <xf numFmtId="175" fontId="9" fillId="0" borderId="0" xfId="9" applyNumberFormat="1" applyFont="1" applyAlignment="1" applyProtection="1">
      <alignment vertical="center"/>
      <protection locked="0"/>
    </xf>
    <xf numFmtId="0" fontId="3" fillId="0" borderId="13" xfId="5" applyFont="1" applyBorder="1" applyAlignment="1" applyProtection="1">
      <alignment vertical="center"/>
      <protection locked="0"/>
    </xf>
    <xf numFmtId="175" fontId="9" fillId="7" borderId="13" xfId="9" applyNumberFormat="1" applyFont="1" applyFill="1" applyBorder="1" applyAlignment="1" applyProtection="1">
      <alignment vertical="center"/>
      <protection locked="0"/>
    </xf>
    <xf numFmtId="49" fontId="32" fillId="7" borderId="13" xfId="5" applyNumberFormat="1" applyFont="1" applyFill="1" applyBorder="1" applyAlignment="1" applyProtection="1">
      <alignment vertical="center"/>
      <protection locked="0"/>
    </xf>
    <xf numFmtId="0" fontId="77" fillId="12" borderId="14" xfId="5" applyFont="1" applyFill="1" applyBorder="1" applyAlignment="1">
      <alignment vertical="center" wrapText="1"/>
    </xf>
    <xf numFmtId="0" fontId="102" fillId="12" borderId="14" xfId="5" applyFont="1" applyFill="1" applyBorder="1" applyAlignment="1">
      <alignment vertical="center" wrapText="1"/>
    </xf>
    <xf numFmtId="44" fontId="27" fillId="0" borderId="13" xfId="1" applyFont="1" applyFill="1" applyBorder="1" applyAlignment="1" applyProtection="1">
      <alignment vertical="center"/>
      <protection locked="0"/>
    </xf>
    <xf numFmtId="0" fontId="3" fillId="0" borderId="0" xfId="5" applyFont="1" applyAlignment="1" applyProtection="1">
      <alignment vertical="center"/>
      <protection locked="0"/>
    </xf>
    <xf numFmtId="0" fontId="9" fillId="0" borderId="9" xfId="5" applyFont="1" applyBorder="1" applyAlignment="1" applyProtection="1">
      <alignment vertical="center"/>
      <protection locked="0"/>
    </xf>
    <xf numFmtId="0" fontId="0" fillId="0" borderId="13" xfId="0" applyBorder="1" applyAlignment="1">
      <alignment vertical="center"/>
    </xf>
    <xf numFmtId="0" fontId="9" fillId="0" borderId="13" xfId="5" applyFont="1" applyBorder="1" applyAlignment="1" applyProtection="1">
      <alignment vertical="center"/>
      <protection locked="0"/>
    </xf>
    <xf numFmtId="175" fontId="9" fillId="11" borderId="13" xfId="9" applyNumberFormat="1" applyFont="1" applyFill="1" applyBorder="1" applyAlignment="1" applyProtection="1">
      <alignment vertical="center"/>
    </xf>
    <xf numFmtId="49" fontId="9" fillId="0" borderId="9" xfId="5" applyNumberFormat="1" applyFont="1" applyBorder="1" applyAlignment="1" applyProtection="1">
      <alignment vertical="center"/>
      <protection locked="0"/>
    </xf>
    <xf numFmtId="0" fontId="8" fillId="0" borderId="4" xfId="5" applyFont="1" applyBorder="1" applyAlignment="1">
      <alignment vertical="center"/>
    </xf>
    <xf numFmtId="38" fontId="9" fillId="6" borderId="22" xfId="6" applyNumberFormat="1" applyFont="1" applyFill="1" applyBorder="1" applyAlignment="1" applyProtection="1">
      <alignment horizontal="right" vertical="center"/>
    </xf>
    <xf numFmtId="0" fontId="9" fillId="0" borderId="7" xfId="5" applyFont="1" applyBorder="1" applyAlignment="1" applyProtection="1">
      <alignment vertical="center"/>
      <protection locked="0"/>
    </xf>
    <xf numFmtId="38" fontId="9" fillId="6" borderId="14" xfId="6" applyNumberFormat="1" applyFont="1" applyFill="1" applyBorder="1" applyAlignment="1" applyProtection="1">
      <alignment horizontal="right" vertical="center"/>
    </xf>
    <xf numFmtId="38" fontId="9" fillId="6" borderId="8" xfId="6" applyNumberFormat="1" applyFont="1" applyFill="1" applyBorder="1" applyAlignment="1" applyProtection="1">
      <alignment horizontal="right" vertical="center"/>
    </xf>
    <xf numFmtId="1" fontId="18" fillId="0" borderId="12" xfId="5" applyNumberFormat="1" applyFont="1" applyBorder="1" applyAlignment="1" applyProtection="1">
      <alignment horizontal="center" vertical="center"/>
      <protection locked="0"/>
    </xf>
    <xf numFmtId="1" fontId="18" fillId="7" borderId="13" xfId="5" applyNumberFormat="1" applyFont="1" applyFill="1" applyBorder="1" applyAlignment="1" applyProtection="1">
      <alignment horizontal="center" vertical="center"/>
      <protection locked="0"/>
    </xf>
    <xf numFmtId="44" fontId="46" fillId="0" borderId="14" xfId="1" applyFont="1" applyFill="1" applyBorder="1" applyAlignment="1">
      <alignment horizontal="right" vertical="center"/>
    </xf>
    <xf numFmtId="44" fontId="45" fillId="8" borderId="12" xfId="1" applyFont="1" applyFill="1" applyBorder="1" applyAlignment="1">
      <alignment horizontal="right" vertical="center"/>
    </xf>
    <xf numFmtId="0" fontId="77" fillId="12" borderId="48" xfId="5" applyFont="1" applyFill="1" applyBorder="1" applyAlignment="1">
      <alignment vertical="center"/>
    </xf>
    <xf numFmtId="38" fontId="9" fillId="6" borderId="8" xfId="6" applyNumberFormat="1" applyFont="1" applyFill="1" applyBorder="1" applyAlignment="1">
      <alignment horizontal="right" vertical="center"/>
    </xf>
    <xf numFmtId="0" fontId="5" fillId="0" borderId="0" xfId="5" applyFont="1" applyAlignment="1" applyProtection="1">
      <alignment vertical="center"/>
      <protection locked="0"/>
    </xf>
    <xf numFmtId="1" fontId="18" fillId="7" borderId="4" xfId="5" applyNumberFormat="1" applyFont="1" applyFill="1" applyBorder="1" applyAlignment="1" applyProtection="1">
      <alignment horizontal="center" vertical="center"/>
      <protection locked="0"/>
    </xf>
    <xf numFmtId="0" fontId="69" fillId="0" borderId="14" xfId="8" applyFont="1" applyBorder="1" applyAlignment="1" applyProtection="1">
      <alignment horizontal="center" vertical="center"/>
      <protection locked="0"/>
    </xf>
    <xf numFmtId="0" fontId="9" fillId="0" borderId="14" xfId="5" applyFont="1" applyBorder="1" applyAlignment="1">
      <alignment vertical="center"/>
    </xf>
    <xf numFmtId="44" fontId="46" fillId="0" borderId="13" xfId="1" applyFont="1" applyBorder="1" applyAlignment="1" applyProtection="1">
      <alignment horizontal="right" vertical="center"/>
    </xf>
    <xf numFmtId="0" fontId="9" fillId="0" borderId="9" xfId="5" applyFont="1" applyBorder="1" applyAlignment="1">
      <alignment vertical="center"/>
    </xf>
    <xf numFmtId="0" fontId="77" fillId="12" borderId="43" xfId="5" applyFont="1" applyFill="1" applyBorder="1" applyAlignment="1">
      <alignment vertical="center"/>
    </xf>
    <xf numFmtId="0" fontId="77" fillId="12" borderId="46" xfId="5" applyFont="1" applyFill="1" applyBorder="1" applyAlignment="1">
      <alignment vertical="center"/>
    </xf>
    <xf numFmtId="38" fontId="9" fillId="6" borderId="9" xfId="6" applyNumberFormat="1" applyFont="1" applyFill="1" applyBorder="1" applyAlignment="1" applyProtection="1">
      <alignment horizontal="right" vertical="center"/>
    </xf>
    <xf numFmtId="0" fontId="9" fillId="0" borderId="0" xfId="5" applyFont="1" applyAlignment="1">
      <alignment vertical="center"/>
    </xf>
    <xf numFmtId="1" fontId="18" fillId="0" borderId="14" xfId="5" applyNumberFormat="1" applyFont="1" applyBorder="1" applyAlignment="1">
      <alignment horizontal="center" vertical="center"/>
    </xf>
    <xf numFmtId="40" fontId="18" fillId="0" borderId="0" xfId="6" applyFont="1" applyAlignment="1" applyProtection="1">
      <alignment vertical="center" shrinkToFit="1"/>
    </xf>
    <xf numFmtId="0" fontId="18" fillId="0" borderId="0" xfId="5" applyFont="1" applyAlignment="1">
      <alignment vertical="center" shrinkToFit="1"/>
    </xf>
    <xf numFmtId="0" fontId="18" fillId="0" borderId="9" xfId="5" applyFont="1" applyBorder="1" applyAlignment="1">
      <alignment vertical="center" shrinkToFit="1"/>
    </xf>
    <xf numFmtId="38" fontId="9" fillId="0" borderId="14" xfId="6" applyNumberFormat="1" applyFont="1" applyBorder="1" applyAlignment="1" applyProtection="1">
      <alignment horizontal="right" vertical="center"/>
    </xf>
    <xf numFmtId="2" fontId="33" fillId="0" borderId="15" xfId="5" applyNumberFormat="1" applyFont="1" applyBorder="1" applyAlignment="1">
      <alignment horizontal="center" vertical="center" shrinkToFit="1"/>
    </xf>
    <xf numFmtId="38" fontId="9" fillId="0" borderId="16" xfId="6" applyNumberFormat="1" applyFont="1" applyBorder="1" applyAlignment="1" applyProtection="1">
      <alignment horizontal="right" vertical="center"/>
    </xf>
    <xf numFmtId="168" fontId="9" fillId="0" borderId="0" xfId="5" applyNumberFormat="1" applyFont="1" applyAlignment="1">
      <alignment vertical="center"/>
    </xf>
    <xf numFmtId="38" fontId="100" fillId="2" borderId="23" xfId="6" applyNumberFormat="1" applyFont="1" applyFill="1" applyBorder="1" applyAlignment="1" applyProtection="1">
      <alignment horizontal="center" vertical="center" shrinkToFit="1"/>
    </xf>
    <xf numFmtId="9" fontId="101" fillId="2" borderId="24" xfId="7" applyFont="1" applyFill="1" applyBorder="1" applyAlignment="1" applyProtection="1">
      <alignment horizontal="right" vertical="center"/>
    </xf>
    <xf numFmtId="38" fontId="10" fillId="2" borderId="22" xfId="6" applyNumberFormat="1" applyFont="1" applyFill="1" applyBorder="1" applyAlignment="1" applyProtection="1">
      <alignment horizontal="right" vertical="center"/>
    </xf>
    <xf numFmtId="0" fontId="78" fillId="12" borderId="14" xfId="5" applyFont="1" applyFill="1" applyBorder="1" applyAlignment="1">
      <alignment horizontal="right" vertical="center"/>
    </xf>
    <xf numFmtId="0" fontId="78" fillId="12" borderId="47" xfId="5" applyFont="1" applyFill="1" applyBorder="1" applyAlignment="1">
      <alignment horizontal="right" vertical="center"/>
    </xf>
    <xf numFmtId="38" fontId="10" fillId="2" borderId="7" xfId="6" applyNumberFormat="1" applyFont="1" applyFill="1" applyBorder="1" applyAlignment="1" applyProtection="1">
      <alignment horizontal="right" vertical="center"/>
    </xf>
    <xf numFmtId="0" fontId="10" fillId="0" borderId="0" xfId="5" applyFont="1" applyAlignment="1">
      <alignment horizontal="right" vertical="center"/>
    </xf>
    <xf numFmtId="0" fontId="9" fillId="12" borderId="14" xfId="5" applyFont="1" applyFill="1" applyBorder="1" applyAlignment="1" applyProtection="1">
      <alignment vertical="center"/>
      <protection locked="0"/>
    </xf>
    <xf numFmtId="44" fontId="37" fillId="0" borderId="22" xfId="1" applyFont="1" applyBorder="1" applyAlignment="1" applyProtection="1">
      <alignment horizontal="center" vertical="center" shrinkToFit="1"/>
    </xf>
    <xf numFmtId="44" fontId="9" fillId="0" borderId="22" xfId="1" applyFont="1" applyBorder="1" applyAlignment="1" applyProtection="1">
      <alignment vertical="center"/>
    </xf>
    <xf numFmtId="0" fontId="69" fillId="0" borderId="0" xfId="8" applyFont="1" applyFill="1" applyAlignment="1">
      <alignment vertical="center"/>
    </xf>
    <xf numFmtId="40" fontId="9" fillId="0" borderId="6" xfId="6" applyFont="1" applyFill="1" applyBorder="1" applyAlignment="1" applyProtection="1">
      <alignment vertical="center" shrinkToFit="1"/>
      <protection locked="0"/>
    </xf>
    <xf numFmtId="1" fontId="9" fillId="0" borderId="7" xfId="5" applyNumberFormat="1" applyFont="1" applyBorder="1" applyAlignment="1">
      <alignment horizontal="center" vertical="center"/>
    </xf>
    <xf numFmtId="0" fontId="0" fillId="0" borderId="0" xfId="0" applyAlignment="1">
      <alignment vertical="center"/>
    </xf>
    <xf numFmtId="40" fontId="9" fillId="0" borderId="6" xfId="6" applyFont="1" applyBorder="1" applyAlignment="1" applyProtection="1">
      <alignment vertical="center" shrinkToFit="1"/>
      <protection locked="0"/>
    </xf>
    <xf numFmtId="0" fontId="76" fillId="12" borderId="14" xfId="5" applyFont="1" applyFill="1" applyBorder="1" applyAlignment="1">
      <alignment vertical="center"/>
    </xf>
    <xf numFmtId="44" fontId="9" fillId="0" borderId="0" xfId="1" applyFont="1" applyFill="1" applyBorder="1" applyAlignment="1" applyProtection="1">
      <alignment vertical="center"/>
    </xf>
    <xf numFmtId="0" fontId="76" fillId="0" borderId="0" xfId="5" applyFont="1" applyAlignment="1">
      <alignment vertical="center"/>
    </xf>
    <xf numFmtId="44" fontId="9" fillId="0" borderId="14" xfId="5" applyNumberFormat="1" applyFont="1" applyBorder="1" applyAlignment="1">
      <alignment vertical="center"/>
    </xf>
    <xf numFmtId="172" fontId="33" fillId="0" borderId="0" xfId="1" applyNumberFormat="1" applyFont="1" applyFill="1" applyBorder="1" applyAlignment="1" applyProtection="1">
      <alignment horizontal="right" vertical="center" shrinkToFit="1"/>
      <protection locked="0"/>
    </xf>
    <xf numFmtId="38" fontId="9" fillId="0" borderId="0" xfId="6" applyNumberFormat="1" applyFont="1" applyFill="1" applyBorder="1" applyAlignment="1" applyProtection="1">
      <alignment horizontal="center" vertical="center" shrinkToFit="1"/>
      <protection locked="0"/>
    </xf>
    <xf numFmtId="44" fontId="9" fillId="0" borderId="9" xfId="1" applyFont="1" applyFill="1" applyBorder="1" applyAlignment="1">
      <alignment horizontal="center" vertical="center" shrinkToFit="1"/>
    </xf>
    <xf numFmtId="44" fontId="9" fillId="0" borderId="9" xfId="1" applyFont="1" applyBorder="1" applyAlignment="1">
      <alignment horizontal="center" vertical="center"/>
    </xf>
    <xf numFmtId="49" fontId="9" fillId="0" borderId="8" xfId="1" applyNumberFormat="1" applyFont="1" applyBorder="1" applyAlignment="1" applyProtection="1">
      <alignment vertical="center"/>
    </xf>
    <xf numFmtId="44" fontId="9" fillId="0" borderId="13" xfId="5" applyNumberFormat="1" applyFont="1" applyBorder="1" applyAlignment="1">
      <alignment vertical="center"/>
    </xf>
    <xf numFmtId="172" fontId="33" fillId="0" borderId="3" xfId="1" applyNumberFormat="1" applyFont="1" applyFill="1" applyBorder="1" applyAlignment="1" applyProtection="1">
      <alignment horizontal="right" vertical="center" shrinkToFit="1"/>
      <protection locked="0"/>
    </xf>
    <xf numFmtId="44" fontId="9" fillId="0" borderId="11" xfId="1" applyFont="1" applyFill="1" applyBorder="1" applyAlignment="1">
      <alignment horizontal="center" vertical="center"/>
    </xf>
    <xf numFmtId="44" fontId="9" fillId="0" borderId="8" xfId="1" applyFont="1" applyBorder="1" applyAlignment="1" applyProtection="1">
      <alignment vertical="center"/>
    </xf>
    <xf numFmtId="172" fontId="9" fillId="0" borderId="11" xfId="1" applyNumberFormat="1" applyFont="1" applyFill="1" applyBorder="1" applyAlignment="1">
      <alignment horizontal="center" vertical="center"/>
    </xf>
    <xf numFmtId="38" fontId="11" fillId="4" borderId="13" xfId="6" applyNumberFormat="1" applyFont="1" applyFill="1" applyBorder="1" applyAlignment="1" applyProtection="1">
      <alignment horizontal="right" vertical="center"/>
    </xf>
    <xf numFmtId="44" fontId="9" fillId="0" borderId="0" xfId="1" applyFont="1" applyBorder="1" applyAlignment="1" applyProtection="1">
      <alignment vertical="center"/>
    </xf>
    <xf numFmtId="44" fontId="46" fillId="0" borderId="13" xfId="1" applyFont="1" applyFill="1" applyBorder="1" applyAlignment="1">
      <alignment horizontal="right" vertical="center"/>
    </xf>
    <xf numFmtId="40" fontId="18" fillId="0" borderId="0" xfId="6" applyFont="1" applyAlignment="1" applyProtection="1">
      <alignment vertical="center" shrinkToFit="1"/>
      <protection locked="0"/>
    </xf>
    <xf numFmtId="0" fontId="18" fillId="0" borderId="0" xfId="5" applyFont="1" applyAlignment="1" applyProtection="1">
      <alignment vertical="center" shrinkToFit="1"/>
      <protection locked="0"/>
    </xf>
    <xf numFmtId="0" fontId="18" fillId="0" borderId="9" xfId="5" applyFont="1" applyBorder="1" applyAlignment="1" applyProtection="1">
      <alignment vertical="center" shrinkToFit="1"/>
      <protection locked="0"/>
    </xf>
    <xf numFmtId="2" fontId="34" fillId="0" borderId="0" xfId="5" applyNumberFormat="1" applyFont="1" applyAlignment="1" applyProtection="1">
      <alignment horizontal="center" vertical="center" shrinkToFit="1"/>
      <protection locked="0"/>
    </xf>
    <xf numFmtId="1" fontId="5" fillId="0" borderId="0" xfId="5" applyNumberFormat="1" applyFont="1" applyAlignment="1">
      <alignment horizontal="center" vertical="center"/>
    </xf>
    <xf numFmtId="1" fontId="9" fillId="0" borderId="0" xfId="5" applyNumberFormat="1" applyFont="1" applyAlignment="1">
      <alignment horizontal="center" vertical="center"/>
    </xf>
    <xf numFmtId="168" fontId="5" fillId="0" borderId="0" xfId="5" applyNumberFormat="1" applyFont="1" applyAlignment="1" applyProtection="1">
      <alignment vertical="center"/>
      <protection locked="0"/>
    </xf>
    <xf numFmtId="44" fontId="5" fillId="0" borderId="0" xfId="1" applyFont="1" applyAlignment="1" applyProtection="1">
      <alignment vertical="center"/>
      <protection locked="0"/>
    </xf>
    <xf numFmtId="167" fontId="11" fillId="0" borderId="13" xfId="1" applyNumberFormat="1" applyFont="1" applyFill="1" applyBorder="1" applyAlignment="1">
      <alignment horizontal="right" vertical="center"/>
    </xf>
    <xf numFmtId="38" fontId="9" fillId="6" borderId="22" xfId="6" applyNumberFormat="1" applyFont="1" applyFill="1" applyBorder="1" applyAlignment="1">
      <alignment horizontal="right" vertical="center"/>
    </xf>
    <xf numFmtId="44" fontId="27" fillId="0" borderId="13" xfId="1" applyFont="1" applyBorder="1" applyAlignment="1">
      <alignment horizontal="right" vertical="center"/>
    </xf>
    <xf numFmtId="44" fontId="27" fillId="2" borderId="4" xfId="1" applyFont="1" applyFill="1" applyBorder="1" applyAlignment="1">
      <alignment horizontal="right" vertical="center"/>
    </xf>
    <xf numFmtId="167" fontId="11" fillId="0" borderId="12" xfId="1" applyNumberFormat="1" applyFont="1" applyFill="1" applyBorder="1" applyAlignment="1">
      <alignment horizontal="right" vertical="center"/>
    </xf>
    <xf numFmtId="0" fontId="81" fillId="0" borderId="0" xfId="5" applyFont="1" applyAlignment="1" applyProtection="1">
      <alignment vertical="center"/>
      <protection locked="0"/>
    </xf>
    <xf numFmtId="0" fontId="77" fillId="0" borderId="0" xfId="5" applyFont="1" applyAlignment="1">
      <alignment vertical="center"/>
    </xf>
    <xf numFmtId="38" fontId="9" fillId="6" borderId="12" xfId="6" applyNumberFormat="1" applyFont="1" applyFill="1" applyBorder="1" applyAlignment="1">
      <alignment horizontal="right" vertical="center"/>
    </xf>
    <xf numFmtId="167" fontId="11" fillId="0" borderId="1" xfId="1" applyNumberFormat="1" applyFont="1" applyFill="1" applyBorder="1" applyAlignment="1">
      <alignment horizontal="right" vertical="center"/>
    </xf>
    <xf numFmtId="167" fontId="3" fillId="6" borderId="14" xfId="6" applyNumberFormat="1" applyFont="1" applyFill="1" applyBorder="1" applyAlignment="1">
      <alignment horizontal="right" vertical="center"/>
    </xf>
    <xf numFmtId="0" fontId="9" fillId="6" borderId="14" xfId="6" applyNumberFormat="1" applyFont="1" applyFill="1" applyBorder="1" applyAlignment="1" applyProtection="1">
      <alignment horizontal="right" vertical="center"/>
    </xf>
    <xf numFmtId="0" fontId="9" fillId="0" borderId="8" xfId="1" applyNumberFormat="1" applyFont="1" applyBorder="1" applyAlignment="1" applyProtection="1">
      <alignment vertical="center"/>
    </xf>
    <xf numFmtId="38" fontId="9" fillId="6" borderId="7" xfId="6" applyNumberFormat="1" applyFont="1" applyFill="1" applyBorder="1" applyAlignment="1">
      <alignment horizontal="right" vertical="center"/>
    </xf>
    <xf numFmtId="0" fontId="9" fillId="0" borderId="8" xfId="5" applyFont="1" applyBorder="1" applyAlignment="1" applyProtection="1">
      <alignment vertical="center"/>
      <protection locked="0"/>
    </xf>
    <xf numFmtId="38" fontId="9" fillId="6" borderId="11" xfId="6" applyNumberFormat="1" applyFont="1" applyFill="1" applyBorder="1" applyAlignment="1">
      <alignment horizontal="right" vertical="center"/>
    </xf>
    <xf numFmtId="167" fontId="11" fillId="0" borderId="5" xfId="1" applyNumberFormat="1" applyFont="1" applyFill="1" applyBorder="1" applyAlignment="1">
      <alignment horizontal="right" vertical="center"/>
    </xf>
    <xf numFmtId="0" fontId="28" fillId="0" borderId="22" xfId="5" applyFont="1" applyBorder="1" applyAlignment="1" applyProtection="1">
      <alignment horizontal="center" vertical="center"/>
      <protection locked="0"/>
    </xf>
    <xf numFmtId="167" fontId="3" fillId="6" borderId="22" xfId="6" applyNumberFormat="1" applyFont="1" applyFill="1" applyBorder="1" applyAlignment="1">
      <alignment horizontal="right" vertical="center"/>
    </xf>
    <xf numFmtId="167" fontId="3" fillId="6" borderId="12" xfId="6" applyNumberFormat="1" applyFont="1" applyFill="1" applyBorder="1" applyAlignment="1">
      <alignment horizontal="right" vertical="center"/>
    </xf>
    <xf numFmtId="167" fontId="9" fillId="0" borderId="8" xfId="1" applyNumberFormat="1" applyFont="1" applyBorder="1" applyAlignment="1" applyProtection="1">
      <alignment vertical="center"/>
    </xf>
    <xf numFmtId="167" fontId="45" fillId="8" borderId="13" xfId="1" applyNumberFormat="1" applyFont="1" applyFill="1" applyBorder="1" applyAlignment="1">
      <alignment horizontal="right" vertical="center"/>
    </xf>
    <xf numFmtId="44" fontId="70" fillId="0" borderId="13" xfId="1" applyFont="1" applyBorder="1" applyAlignment="1" applyProtection="1">
      <alignment vertical="center"/>
    </xf>
    <xf numFmtId="44" fontId="48" fillId="0" borderId="13" xfId="1" applyFont="1" applyBorder="1" applyAlignment="1">
      <alignment horizontal="center" vertical="center"/>
    </xf>
    <xf numFmtId="44" fontId="84" fillId="0" borderId="0" xfId="1" applyFont="1" applyBorder="1" applyAlignment="1" applyProtection="1">
      <alignment vertical="center"/>
    </xf>
    <xf numFmtId="0" fontId="85" fillId="0" borderId="0" xfId="5" applyFont="1" applyAlignment="1" applyProtection="1">
      <alignment vertical="center"/>
      <protection locked="0"/>
    </xf>
    <xf numFmtId="1" fontId="5" fillId="0" borderId="0" xfId="5" applyNumberFormat="1" applyFont="1" applyAlignment="1" applyProtection="1">
      <alignment horizontal="center" vertical="center"/>
      <protection locked="0"/>
    </xf>
    <xf numFmtId="40" fontId="3" fillId="0" borderId="0" xfId="6" applyFont="1" applyAlignment="1" applyProtection="1">
      <alignment vertical="center" shrinkToFit="1"/>
      <protection locked="0"/>
    </xf>
    <xf numFmtId="1" fontId="47" fillId="0" borderId="0" xfId="5" applyNumberFormat="1" applyFont="1" applyAlignment="1">
      <alignment horizontal="center" vertical="center"/>
    </xf>
    <xf numFmtId="2" fontId="33" fillId="7" borderId="13" xfId="5" applyNumberFormat="1" applyFont="1" applyFill="1" applyBorder="1" applyAlignment="1" applyProtection="1">
      <alignment horizontal="center" vertical="center" shrinkToFit="1"/>
      <protection locked="0"/>
    </xf>
    <xf numFmtId="0" fontId="76" fillId="12" borderId="8" xfId="5" applyFont="1" applyFill="1" applyBorder="1" applyAlignment="1">
      <alignment vertical="center"/>
    </xf>
    <xf numFmtId="0" fontId="77" fillId="12" borderId="8" xfId="5" applyFont="1" applyFill="1" applyBorder="1" applyAlignment="1">
      <alignment vertical="center"/>
    </xf>
    <xf numFmtId="44" fontId="9" fillId="0" borderId="5" xfId="1" applyFont="1" applyBorder="1" applyAlignment="1" applyProtection="1">
      <alignment vertical="center"/>
    </xf>
    <xf numFmtId="44" fontId="9" fillId="0" borderId="7" xfId="1" applyFont="1" applyBorder="1" applyAlignment="1" applyProtection="1">
      <alignment vertical="center"/>
    </xf>
    <xf numFmtId="44" fontId="9" fillId="0" borderId="9" xfId="1" applyFont="1" applyBorder="1" applyAlignment="1" applyProtection="1">
      <alignment vertical="center"/>
    </xf>
    <xf numFmtId="44" fontId="9" fillId="0" borderId="10" xfId="1" applyFont="1" applyBorder="1" applyAlignment="1" applyProtection="1">
      <alignment vertical="center"/>
    </xf>
    <xf numFmtId="44" fontId="9" fillId="0" borderId="11" xfId="1" applyFont="1" applyBorder="1" applyAlignment="1" applyProtection="1">
      <alignment vertical="center"/>
    </xf>
    <xf numFmtId="44" fontId="9" fillId="36" borderId="1" xfId="1" applyFont="1" applyFill="1" applyBorder="1" applyAlignment="1" applyProtection="1">
      <alignment vertical="center"/>
    </xf>
    <xf numFmtId="44" fontId="9" fillId="36" borderId="2" xfId="1" applyFont="1" applyFill="1" applyBorder="1" applyAlignment="1" applyProtection="1">
      <alignment vertical="center"/>
    </xf>
    <xf numFmtId="44" fontId="9" fillId="36" borderId="4" xfId="1" applyFont="1" applyFill="1" applyBorder="1" applyAlignment="1" applyProtection="1">
      <alignment vertical="center"/>
    </xf>
    <xf numFmtId="175" fontId="9" fillId="0" borderId="0" xfId="9" applyNumberFormat="1" applyFont="1" applyFill="1" applyAlignment="1" applyProtection="1">
      <alignment vertical="center"/>
      <protection locked="0"/>
    </xf>
    <xf numFmtId="1" fontId="1" fillId="0" borderId="0" xfId="5" applyNumberFormat="1" applyFont="1" applyAlignment="1" applyProtection="1">
      <alignment horizontal="center" vertical="center"/>
      <protection locked="0"/>
    </xf>
    <xf numFmtId="0" fontId="9" fillId="7" borderId="13" xfId="5" applyFont="1" applyFill="1" applyBorder="1" applyAlignment="1">
      <alignment horizontal="right" vertical="center"/>
    </xf>
    <xf numFmtId="44" fontId="46" fillId="0" borderId="7" xfId="1" applyFont="1" applyFill="1" applyBorder="1" applyAlignment="1">
      <alignment horizontal="right" vertical="center"/>
    </xf>
    <xf numFmtId="49" fontId="9" fillId="7" borderId="12" xfId="5" applyNumberFormat="1" applyFont="1" applyFill="1" applyBorder="1" applyAlignment="1" applyProtection="1">
      <alignment vertical="center"/>
      <protection locked="0"/>
    </xf>
    <xf numFmtId="175" fontId="9" fillId="11" borderId="22" xfId="9" applyNumberFormat="1" applyFont="1" applyFill="1" applyBorder="1" applyAlignment="1" applyProtection="1">
      <alignment vertical="center"/>
    </xf>
    <xf numFmtId="1" fontId="18" fillId="7" borderId="7" xfId="5" applyNumberFormat="1" applyFont="1" applyFill="1" applyBorder="1" applyAlignment="1" applyProtection="1">
      <alignment horizontal="center" vertical="center"/>
      <protection locked="0"/>
    </xf>
    <xf numFmtId="0" fontId="82" fillId="11" borderId="12" xfId="5" applyFont="1" applyFill="1" applyBorder="1" applyAlignment="1">
      <alignment vertical="center"/>
    </xf>
    <xf numFmtId="38" fontId="37" fillId="0" borderId="0" xfId="6" applyNumberFormat="1" applyFont="1" applyAlignment="1" applyProtection="1">
      <alignment horizontal="center" vertical="center" shrinkToFit="1"/>
      <protection locked="0"/>
    </xf>
    <xf numFmtId="0" fontId="82" fillId="11" borderId="12" xfId="5" applyFont="1" applyFill="1" applyBorder="1" applyAlignment="1">
      <alignment horizontal="center" vertical="center"/>
    </xf>
    <xf numFmtId="2" fontId="18" fillId="0" borderId="8" xfId="5" applyNumberFormat="1" applyFont="1" applyBorder="1" applyAlignment="1">
      <alignment horizontal="center" vertical="center" shrinkToFit="1"/>
    </xf>
    <xf numFmtId="175" fontId="18" fillId="0" borderId="8" xfId="5" applyNumberFormat="1" applyFont="1" applyBorder="1" applyAlignment="1" applyProtection="1">
      <alignment horizontal="center" vertical="center" shrinkToFit="1"/>
      <protection locked="0"/>
    </xf>
    <xf numFmtId="169" fontId="18" fillId="0" borderId="8" xfId="5" applyNumberFormat="1" applyFont="1" applyBorder="1" applyAlignment="1" applyProtection="1">
      <alignment horizontal="center" vertical="center" shrinkToFit="1"/>
      <protection locked="0"/>
    </xf>
    <xf numFmtId="38" fontId="18" fillId="0" borderId="8" xfId="5" applyNumberFormat="1" applyFont="1" applyBorder="1" applyAlignment="1" applyProtection="1">
      <alignment horizontal="center" vertical="center" shrinkToFit="1"/>
      <protection locked="0"/>
    </xf>
    <xf numFmtId="1" fontId="28" fillId="0" borderId="22" xfId="5" applyNumberFormat="1" applyFont="1" applyBorder="1" applyAlignment="1" applyProtection="1">
      <alignment horizontal="center" vertical="center" shrinkToFit="1"/>
      <protection locked="0"/>
    </xf>
    <xf numFmtId="1" fontId="30" fillId="0" borderId="12" xfId="5" applyNumberFormat="1" applyFont="1" applyBorder="1" applyAlignment="1" applyProtection="1">
      <alignment horizontal="center" vertical="center" shrinkToFit="1"/>
      <protection locked="0"/>
    </xf>
    <xf numFmtId="49" fontId="19" fillId="7" borderId="6" xfId="3" applyNumberFormat="1" applyFont="1" applyFill="1" applyBorder="1" applyAlignment="1">
      <alignment horizontal="left" vertical="center"/>
    </xf>
    <xf numFmtId="49" fontId="9" fillId="7" borderId="0" xfId="3" applyNumberFormat="1" applyFont="1" applyFill="1" applyBorder="1" applyAlignment="1">
      <alignment horizontal="left" vertical="center"/>
    </xf>
    <xf numFmtId="0" fontId="113" fillId="0" borderId="0" xfId="0" applyFont="1"/>
    <xf numFmtId="0" fontId="111" fillId="0" borderId="0" xfId="0" applyFont="1" applyAlignment="1">
      <alignment horizontal="left" vertical="center" wrapText="1"/>
    </xf>
    <xf numFmtId="0" fontId="111" fillId="0" borderId="0" xfId="0" applyFont="1" applyAlignment="1">
      <alignment horizontal="center" vertical="center" wrapText="1"/>
    </xf>
    <xf numFmtId="0" fontId="112" fillId="0" borderId="0" xfId="0" applyFont="1" applyAlignment="1">
      <alignment horizontal="left" vertical="center" wrapText="1"/>
    </xf>
    <xf numFmtId="0" fontId="112" fillId="0" borderId="0" xfId="0" applyFont="1" applyAlignment="1">
      <alignment horizontal="center" vertical="center" wrapText="1"/>
    </xf>
    <xf numFmtId="44" fontId="112" fillId="0" borderId="0" xfId="1" applyFont="1" applyBorder="1" applyAlignment="1">
      <alignment horizontal="center" vertical="center" wrapText="1"/>
    </xf>
    <xf numFmtId="0" fontId="112" fillId="9" borderId="0" xfId="0" applyFont="1" applyFill="1" applyAlignment="1">
      <alignment horizontal="left" vertical="center" wrapText="1"/>
    </xf>
    <xf numFmtId="0" fontId="112" fillId="9" borderId="0" xfId="0" applyFont="1" applyFill="1" applyAlignment="1">
      <alignment horizontal="center" vertical="center" wrapText="1"/>
    </xf>
    <xf numFmtId="44" fontId="112" fillId="9" borderId="0" xfId="1" applyFont="1" applyFill="1" applyBorder="1" applyAlignment="1">
      <alignment horizontal="center" vertical="center" wrapText="1"/>
    </xf>
    <xf numFmtId="44" fontId="112" fillId="9" borderId="0" xfId="1" applyFont="1" applyFill="1" applyAlignment="1">
      <alignment horizontal="center" vertical="center" wrapText="1"/>
    </xf>
    <xf numFmtId="44" fontId="112" fillId="0" borderId="0" xfId="1" applyFont="1" applyAlignment="1">
      <alignment horizontal="center" vertical="center" wrapText="1"/>
    </xf>
    <xf numFmtId="0" fontId="56" fillId="19" borderId="0" xfId="0" applyFont="1" applyFill="1"/>
    <xf numFmtId="0" fontId="9" fillId="0" borderId="17" xfId="5" applyFont="1" applyBorder="1" applyAlignment="1" applyProtection="1">
      <alignment vertical="center"/>
      <protection locked="0"/>
    </xf>
    <xf numFmtId="0" fontId="27" fillId="8" borderId="17" xfId="5" applyFont="1" applyFill="1" applyBorder="1" applyAlignment="1" applyProtection="1">
      <alignment horizontal="center" vertical="center" wrapText="1"/>
      <protection locked="0"/>
    </xf>
    <xf numFmtId="44" fontId="33" fillId="8" borderId="15" xfId="5" applyNumberFormat="1" applyFont="1" applyFill="1" applyBorder="1" applyAlignment="1" applyProtection="1">
      <alignment horizontal="center" vertical="center" shrinkToFit="1"/>
      <protection locked="0"/>
    </xf>
    <xf numFmtId="171" fontId="3" fillId="0" borderId="8" xfId="1" applyNumberFormat="1" applyFont="1" applyBorder="1" applyAlignment="1" applyProtection="1">
      <alignment vertical="center"/>
    </xf>
    <xf numFmtId="44" fontId="3" fillId="0" borderId="8" xfId="1" applyFont="1" applyBorder="1" applyAlignment="1" applyProtection="1">
      <alignment vertical="center"/>
    </xf>
    <xf numFmtId="38" fontId="100" fillId="2" borderId="61" xfId="6" applyNumberFormat="1" applyFont="1" applyFill="1" applyBorder="1" applyAlignment="1" applyProtection="1">
      <alignment horizontal="center" vertical="center" shrinkToFit="1"/>
    </xf>
    <xf numFmtId="38" fontId="100" fillId="2" borderId="13" xfId="6" applyNumberFormat="1" applyFont="1" applyFill="1" applyBorder="1" applyAlignment="1" applyProtection="1">
      <alignment horizontal="center" vertical="center" shrinkToFit="1"/>
    </xf>
    <xf numFmtId="43" fontId="9" fillId="7" borderId="13" xfId="9" applyFont="1" applyFill="1" applyBorder="1" applyAlignment="1" applyProtection="1">
      <alignment vertical="center"/>
      <protection locked="0"/>
    </xf>
    <xf numFmtId="43" fontId="9" fillId="0" borderId="0" xfId="5" applyNumberFormat="1" applyFont="1" applyProtection="1">
      <protection locked="0"/>
    </xf>
    <xf numFmtId="0" fontId="1" fillId="0" borderId="0" xfId="5" applyFont="1" applyAlignment="1" applyProtection="1">
      <alignment vertical="center"/>
      <protection locked="0"/>
    </xf>
    <xf numFmtId="0" fontId="28" fillId="0" borderId="6" xfId="5" applyFont="1" applyBorder="1" applyAlignment="1" applyProtection="1">
      <alignment horizontal="center" vertical="center" shrinkToFit="1"/>
      <protection locked="0"/>
    </xf>
    <xf numFmtId="0" fontId="9" fillId="0" borderId="60" xfId="5" applyFont="1" applyBorder="1" applyAlignment="1" applyProtection="1">
      <alignment vertical="center"/>
      <protection locked="0"/>
    </xf>
    <xf numFmtId="0" fontId="9" fillId="0" borderId="35" xfId="5" applyFont="1" applyBorder="1" applyAlignment="1" applyProtection="1">
      <alignment vertical="center"/>
      <protection locked="0"/>
    </xf>
    <xf numFmtId="0" fontId="9" fillId="27" borderId="22" xfId="5" applyFont="1" applyFill="1" applyBorder="1" applyProtection="1">
      <protection locked="0"/>
    </xf>
    <xf numFmtId="0" fontId="9" fillId="27" borderId="14" xfId="5" applyFont="1" applyFill="1" applyBorder="1" applyProtection="1">
      <protection locked="0"/>
    </xf>
    <xf numFmtId="0" fontId="92" fillId="29" borderId="11" xfId="0" applyFont="1" applyFill="1" applyBorder="1" applyAlignment="1">
      <alignment horizontal="center" vertical="center"/>
    </xf>
    <xf numFmtId="0" fontId="5" fillId="27" borderId="0" xfId="5" applyFont="1" applyFill="1" applyProtection="1">
      <protection locked="0"/>
    </xf>
    <xf numFmtId="0" fontId="9" fillId="27" borderId="9" xfId="5" applyFont="1" applyFill="1" applyBorder="1" applyProtection="1">
      <protection locked="0"/>
    </xf>
    <xf numFmtId="0" fontId="9" fillId="27" borderId="11" xfId="5" applyFont="1" applyFill="1" applyBorder="1" applyProtection="1">
      <protection locked="0"/>
    </xf>
    <xf numFmtId="0" fontId="85" fillId="23" borderId="1" xfId="5" applyFont="1" applyFill="1" applyBorder="1" applyAlignment="1" applyProtection="1">
      <alignment horizontal="center" vertical="center"/>
      <protection locked="0"/>
    </xf>
    <xf numFmtId="0" fontId="85" fillId="23" borderId="4" xfId="5" applyFont="1" applyFill="1" applyBorder="1" applyAlignment="1" applyProtection="1">
      <alignment horizontal="center" vertical="center"/>
      <protection locked="0"/>
    </xf>
    <xf numFmtId="0" fontId="0" fillId="0" borderId="3" xfId="0" applyBorder="1"/>
    <xf numFmtId="0" fontId="0" fillId="0" borderId="9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9" fillId="0" borderId="14" xfId="5" applyFont="1" applyBorder="1" applyAlignment="1" applyProtection="1">
      <alignment horizontal="center" vertical="center"/>
      <protection locked="0"/>
    </xf>
    <xf numFmtId="20" fontId="9" fillId="0" borderId="14" xfId="5" applyNumberFormat="1" applyFont="1" applyBorder="1" applyAlignment="1" applyProtection="1">
      <alignment horizontal="center" vertical="center"/>
      <protection locked="0"/>
    </xf>
    <xf numFmtId="171" fontId="114" fillId="8" borderId="13" xfId="1" applyNumberFormat="1" applyFont="1" applyFill="1" applyBorder="1" applyAlignment="1">
      <alignment horizontal="right" vertical="center"/>
    </xf>
    <xf numFmtId="0" fontId="19" fillId="16" borderId="0" xfId="5" applyFont="1" applyFill="1" applyAlignment="1" applyProtection="1">
      <alignment vertical="center"/>
      <protection locked="0"/>
    </xf>
    <xf numFmtId="0" fontId="19" fillId="16" borderId="3" xfId="5" applyFont="1" applyFill="1" applyBorder="1" applyAlignment="1" applyProtection="1">
      <alignment vertical="center"/>
      <protection locked="0"/>
    </xf>
    <xf numFmtId="0" fontId="78" fillId="12" borderId="0" xfId="5" applyFont="1" applyFill="1" applyAlignment="1">
      <alignment horizontal="right" vertical="center"/>
    </xf>
    <xf numFmtId="0" fontId="78" fillId="12" borderId="58" xfId="5" applyFont="1" applyFill="1" applyBorder="1" applyAlignment="1">
      <alignment horizontal="right" vertical="center"/>
    </xf>
    <xf numFmtId="44" fontId="9" fillId="16" borderId="8" xfId="1" applyFont="1" applyFill="1" applyBorder="1" applyAlignment="1" applyProtection="1">
      <alignment vertical="center"/>
    </xf>
    <xf numFmtId="0" fontId="5" fillId="16" borderId="9" xfId="5" applyFont="1" applyFill="1" applyBorder="1" applyAlignment="1" applyProtection="1">
      <alignment vertical="center"/>
      <protection locked="0"/>
    </xf>
    <xf numFmtId="44" fontId="9" fillId="16" borderId="10" xfId="1" applyFont="1" applyFill="1" applyBorder="1" applyAlignment="1" applyProtection="1">
      <alignment vertical="center"/>
    </xf>
    <xf numFmtId="0" fontId="5" fillId="16" borderId="11" xfId="5" applyFont="1" applyFill="1" applyBorder="1" applyAlignment="1" applyProtection="1">
      <alignment vertical="center"/>
      <protection locked="0"/>
    </xf>
    <xf numFmtId="49" fontId="9" fillId="16" borderId="30" xfId="1" applyNumberFormat="1" applyFont="1" applyFill="1" applyBorder="1" applyAlignment="1" applyProtection="1">
      <alignment vertical="center"/>
    </xf>
    <xf numFmtId="0" fontId="5" fillId="16" borderId="28" xfId="5" applyFont="1" applyFill="1" applyBorder="1" applyAlignment="1" applyProtection="1">
      <alignment vertical="center"/>
      <protection locked="0"/>
    </xf>
    <xf numFmtId="0" fontId="5" fillId="16" borderId="31" xfId="5" applyFont="1" applyFill="1" applyBorder="1" applyAlignment="1" applyProtection="1">
      <alignment vertical="center"/>
      <protection locked="0"/>
    </xf>
    <xf numFmtId="0" fontId="0" fillId="5" borderId="0" xfId="0" applyFill="1"/>
    <xf numFmtId="0" fontId="59" fillId="5" borderId="0" xfId="0" applyFont="1" applyFill="1" applyAlignment="1">
      <alignment horizontal="center"/>
    </xf>
    <xf numFmtId="44" fontId="61" fillId="5" borderId="0" xfId="1" applyFont="1" applyFill="1"/>
    <xf numFmtId="0" fontId="80" fillId="5" borderId="0" xfId="0" applyFont="1" applyFill="1" applyAlignment="1">
      <alignment horizontal="center"/>
    </xf>
    <xf numFmtId="0" fontId="3" fillId="0" borderId="13" xfId="5" applyFont="1" applyBorder="1" applyAlignment="1" applyProtection="1">
      <alignment horizontal="center" vertical="center"/>
      <protection locked="0"/>
    </xf>
    <xf numFmtId="44" fontId="3" fillId="0" borderId="13" xfId="1" applyFont="1" applyBorder="1" applyAlignment="1" applyProtection="1">
      <alignment vertical="center"/>
      <protection locked="0"/>
    </xf>
    <xf numFmtId="0" fontId="27" fillId="0" borderId="13" xfId="5" applyFont="1" applyBorder="1" applyAlignment="1" applyProtection="1">
      <alignment vertical="center"/>
      <protection locked="0"/>
    </xf>
    <xf numFmtId="49" fontId="9" fillId="22" borderId="13" xfId="5" applyNumberFormat="1" applyFont="1" applyFill="1" applyBorder="1" applyAlignment="1" applyProtection="1">
      <alignment vertical="center"/>
      <protection locked="0"/>
    </xf>
    <xf numFmtId="0" fontId="36" fillId="0" borderId="0" xfId="8" applyAlignment="1">
      <alignment vertical="center"/>
    </xf>
    <xf numFmtId="0" fontId="36" fillId="0" borderId="0" xfId="8" applyAlignment="1">
      <alignment horizontal="left" vertical="center"/>
    </xf>
    <xf numFmtId="0" fontId="36" fillId="0" borderId="0" xfId="8" applyFill="1" applyAlignment="1">
      <alignment horizontal="left" vertical="center"/>
    </xf>
    <xf numFmtId="0" fontId="118" fillId="0" borderId="0" xfId="0" applyFont="1"/>
    <xf numFmtId="0" fontId="117" fillId="0" borderId="0" xfId="0" applyFont="1"/>
    <xf numFmtId="0" fontId="119" fillId="0" borderId="0" xfId="0" applyFont="1"/>
    <xf numFmtId="0" fontId="119" fillId="38" borderId="0" xfId="0" applyFont="1" applyFill="1"/>
    <xf numFmtId="0" fontId="119" fillId="37" borderId="0" xfId="0" applyFont="1" applyFill="1"/>
    <xf numFmtId="0" fontId="59" fillId="20" borderId="0" xfId="0" applyFont="1" applyFill="1" applyAlignment="1">
      <alignment horizontal="center"/>
    </xf>
    <xf numFmtId="44" fontId="61" fillId="20" borderId="0" xfId="1" applyFont="1" applyFill="1"/>
    <xf numFmtId="0" fontId="80" fillId="20" borderId="0" xfId="0" applyFont="1" applyFill="1" applyAlignment="1">
      <alignment horizontal="center"/>
    </xf>
    <xf numFmtId="0" fontId="117" fillId="0" borderId="0" xfId="0" applyFont="1" applyAlignment="1">
      <alignment horizontal="left" vertical="center"/>
    </xf>
    <xf numFmtId="0" fontId="119" fillId="38" borderId="0" xfId="0" applyFont="1" applyFill="1" applyAlignment="1">
      <alignment horizontal="left" vertical="center"/>
    </xf>
    <xf numFmtId="14" fontId="117" fillId="0" borderId="0" xfId="0" applyNumberFormat="1" applyFont="1" applyAlignment="1">
      <alignment horizontal="left" vertical="center"/>
    </xf>
    <xf numFmtId="16" fontId="117" fillId="0" borderId="0" xfId="0" applyNumberFormat="1" applyFont="1" applyAlignment="1">
      <alignment horizontal="left" vertical="center"/>
    </xf>
    <xf numFmtId="44" fontId="117" fillId="0" borderId="0" xfId="1" applyFont="1" applyAlignment="1">
      <alignment horizontal="right"/>
    </xf>
    <xf numFmtId="44" fontId="119" fillId="37" borderId="0" xfId="1" applyFont="1" applyFill="1" applyAlignment="1">
      <alignment horizontal="right"/>
    </xf>
    <xf numFmtId="0" fontId="117" fillId="20" borderId="0" xfId="0" applyFont="1" applyFill="1"/>
    <xf numFmtId="0" fontId="117" fillId="20" borderId="0" xfId="0" applyFont="1" applyFill="1" applyAlignment="1">
      <alignment horizontal="left" vertical="center"/>
    </xf>
    <xf numFmtId="44" fontId="117" fillId="20" borderId="0" xfId="1" applyFont="1" applyFill="1" applyAlignment="1">
      <alignment horizontal="right"/>
    </xf>
    <xf numFmtId="0" fontId="56" fillId="20" borderId="0" xfId="0" applyFont="1" applyFill="1"/>
    <xf numFmtId="0" fontId="0" fillId="20" borderId="0" xfId="0" applyFill="1"/>
    <xf numFmtId="0" fontId="0" fillId="20" borderId="0" xfId="0" applyFill="1" applyAlignment="1">
      <alignment vertical="top"/>
    </xf>
    <xf numFmtId="2" fontId="33" fillId="20" borderId="15" xfId="5" applyNumberFormat="1" applyFont="1" applyFill="1" applyBorder="1" applyAlignment="1" applyProtection="1">
      <alignment horizontal="center" vertical="center" shrinkToFit="1"/>
      <protection locked="0"/>
    </xf>
    <xf numFmtId="2" fontId="33" fillId="20" borderId="13" xfId="5" applyNumberFormat="1" applyFont="1" applyFill="1" applyBorder="1" applyAlignment="1" applyProtection="1">
      <alignment horizontal="center" vertical="center" shrinkToFit="1"/>
      <protection locked="0"/>
    </xf>
    <xf numFmtId="14" fontId="117" fillId="20" borderId="0" xfId="0" applyNumberFormat="1" applyFont="1" applyFill="1" applyAlignment="1">
      <alignment horizontal="left" vertical="center"/>
    </xf>
    <xf numFmtId="0" fontId="9" fillId="20" borderId="8" xfId="5" applyFont="1" applyFill="1" applyBorder="1" applyProtection="1">
      <protection locked="0"/>
    </xf>
    <xf numFmtId="0" fontId="83" fillId="20" borderId="9" xfId="0" applyFont="1" applyFill="1" applyBorder="1" applyAlignment="1">
      <alignment horizontal="center" vertical="center"/>
    </xf>
    <xf numFmtId="0" fontId="9" fillId="20" borderId="5" xfId="5" applyFont="1" applyFill="1" applyBorder="1" applyProtection="1">
      <protection locked="0"/>
    </xf>
    <xf numFmtId="0" fontId="117" fillId="9" borderId="0" xfId="0" applyFont="1" applyFill="1"/>
    <xf numFmtId="0" fontId="117" fillId="9" borderId="0" xfId="0" applyFont="1" applyFill="1" applyAlignment="1">
      <alignment horizontal="left" vertical="center"/>
    </xf>
    <xf numFmtId="44" fontId="117" fillId="9" borderId="0" xfId="1" applyFont="1" applyFill="1" applyAlignment="1">
      <alignment horizontal="right"/>
    </xf>
    <xf numFmtId="16" fontId="117" fillId="9" borderId="0" xfId="0" applyNumberFormat="1" applyFont="1" applyFill="1" applyAlignment="1">
      <alignment horizontal="left" vertical="center"/>
    </xf>
    <xf numFmtId="14" fontId="117" fillId="9" borderId="0" xfId="0" applyNumberFormat="1" applyFont="1" applyFill="1" applyAlignment="1">
      <alignment horizontal="left" vertical="center"/>
    </xf>
    <xf numFmtId="0" fontId="117" fillId="14" borderId="0" xfId="0" applyFont="1" applyFill="1"/>
    <xf numFmtId="0" fontId="117" fillId="14" borderId="0" xfId="0" applyFont="1" applyFill="1" applyAlignment="1">
      <alignment horizontal="left" vertical="center"/>
    </xf>
    <xf numFmtId="44" fontId="117" fillId="14" borderId="0" xfId="1" applyFont="1" applyFill="1" applyAlignment="1">
      <alignment horizontal="right"/>
    </xf>
    <xf numFmtId="0" fontId="49" fillId="7" borderId="1" xfId="0" applyFont="1" applyFill="1" applyBorder="1"/>
    <xf numFmtId="0" fontId="49" fillId="7" borderId="2" xfId="0" applyFont="1" applyFill="1" applyBorder="1"/>
    <xf numFmtId="0" fontId="49" fillId="7" borderId="4" xfId="0" applyFont="1" applyFill="1" applyBorder="1"/>
    <xf numFmtId="0" fontId="92" fillId="25" borderId="8" xfId="0" applyFont="1" applyFill="1" applyBorder="1" applyAlignment="1">
      <alignment horizontal="center" vertical="center"/>
    </xf>
    <xf numFmtId="44" fontId="95" fillId="39" borderId="0" xfId="1" applyFont="1" applyFill="1" applyBorder="1" applyAlignment="1">
      <alignment horizontal="center" vertical="center"/>
    </xf>
    <xf numFmtId="0" fontId="117" fillId="39" borderId="0" xfId="0" applyFont="1" applyFill="1"/>
    <xf numFmtId="0" fontId="117" fillId="39" borderId="0" xfId="0" applyFont="1" applyFill="1" applyAlignment="1">
      <alignment horizontal="left" vertical="center"/>
    </xf>
    <xf numFmtId="44" fontId="117" fillId="39" borderId="0" xfId="1" applyFont="1" applyFill="1" applyAlignment="1">
      <alignment horizontal="right"/>
    </xf>
    <xf numFmtId="16" fontId="117" fillId="39" borderId="0" xfId="0" applyNumberFormat="1" applyFont="1" applyFill="1" applyAlignment="1">
      <alignment horizontal="left" vertical="center"/>
    </xf>
    <xf numFmtId="0" fontId="117" fillId="0" borderId="0" xfId="0" applyFont="1" applyAlignment="1">
      <alignment horizontal="center" vertical="center"/>
    </xf>
    <xf numFmtId="0" fontId="8" fillId="7" borderId="13" xfId="5" applyFont="1" applyFill="1" applyBorder="1" applyProtection="1">
      <protection locked="0"/>
    </xf>
    <xf numFmtId="0" fontId="0" fillId="5" borderId="8" xfId="0" applyFill="1" applyBorder="1"/>
    <xf numFmtId="44" fontId="95" fillId="5" borderId="0" xfId="1" applyFont="1" applyFill="1" applyBorder="1" applyAlignment="1">
      <alignment horizontal="center" vertical="center"/>
    </xf>
    <xf numFmtId="0" fontId="83" fillId="5" borderId="9" xfId="0" applyFont="1" applyFill="1" applyBorder="1" applyAlignment="1">
      <alignment horizontal="center" vertical="center"/>
    </xf>
    <xf numFmtId="0" fontId="0" fillId="5" borderId="10" xfId="0" applyFill="1" applyBorder="1"/>
    <xf numFmtId="44" fontId="95" fillId="5" borderId="3" xfId="1" applyFont="1" applyFill="1" applyBorder="1" applyAlignment="1">
      <alignment horizontal="center" vertical="center"/>
    </xf>
    <xf numFmtId="0" fontId="83" fillId="5" borderId="11" xfId="0" applyFont="1" applyFill="1" applyBorder="1" applyAlignment="1">
      <alignment horizontal="center" vertical="center"/>
    </xf>
    <xf numFmtId="44" fontId="19" fillId="0" borderId="8" xfId="1" applyFont="1" applyBorder="1" applyAlignment="1" applyProtection="1">
      <alignment vertical="center"/>
    </xf>
    <xf numFmtId="0" fontId="9" fillId="39" borderId="0" xfId="5" applyFont="1" applyFill="1" applyProtection="1">
      <protection locked="0"/>
    </xf>
    <xf numFmtId="0" fontId="9" fillId="39" borderId="9" xfId="5" applyFont="1" applyFill="1" applyBorder="1" applyProtection="1">
      <protection locked="0"/>
    </xf>
    <xf numFmtId="0" fontId="27" fillId="9" borderId="13" xfId="5" applyFont="1" applyFill="1" applyBorder="1" applyAlignment="1" applyProtection="1">
      <alignment vertical="center"/>
      <protection locked="0"/>
    </xf>
    <xf numFmtId="44" fontId="27" fillId="9" borderId="13" xfId="1" applyFont="1" applyFill="1" applyBorder="1" applyAlignment="1" applyProtection="1">
      <alignment vertical="center"/>
      <protection locked="0"/>
    </xf>
    <xf numFmtId="44" fontId="3" fillId="9" borderId="13" xfId="5" applyNumberFormat="1" applyFont="1" applyFill="1" applyBorder="1" applyAlignment="1" applyProtection="1">
      <alignment vertical="center"/>
      <protection locked="0"/>
    </xf>
    <xf numFmtId="0" fontId="9" fillId="9" borderId="1" xfId="5" applyFont="1" applyFill="1" applyBorder="1" applyAlignment="1" applyProtection="1">
      <alignment vertical="center"/>
      <protection locked="0"/>
    </xf>
    <xf numFmtId="0" fontId="3" fillId="9" borderId="2" xfId="5" applyFont="1" applyFill="1" applyBorder="1" applyAlignment="1" applyProtection="1">
      <alignment vertical="center"/>
      <protection locked="0"/>
    </xf>
    <xf numFmtId="0" fontId="9" fillId="9" borderId="2" xfId="5" applyFont="1" applyFill="1" applyBorder="1" applyAlignment="1" applyProtection="1">
      <alignment vertical="center"/>
      <protection locked="0"/>
    </xf>
    <xf numFmtId="0" fontId="3" fillId="9" borderId="4" xfId="5" applyFont="1" applyFill="1" applyBorder="1" applyAlignment="1" applyProtection="1">
      <alignment vertical="center"/>
      <protection locked="0"/>
    </xf>
    <xf numFmtId="0" fontId="3" fillId="0" borderId="8" xfId="5" applyFont="1" applyBorder="1" applyAlignment="1" applyProtection="1">
      <alignment vertical="center"/>
      <protection locked="0"/>
    </xf>
    <xf numFmtId="44" fontId="3" fillId="0" borderId="0" xfId="5" applyNumberFormat="1" applyFont="1" applyAlignment="1" applyProtection="1">
      <alignment vertical="center"/>
      <protection locked="0"/>
    </xf>
    <xf numFmtId="44" fontId="3" fillId="9" borderId="0" xfId="5" applyNumberFormat="1" applyFont="1" applyFill="1" applyAlignment="1" applyProtection="1">
      <alignment vertical="center"/>
      <protection locked="0"/>
    </xf>
    <xf numFmtId="44" fontId="3" fillId="0" borderId="9" xfId="5" applyNumberFormat="1" applyFont="1" applyBorder="1" applyAlignment="1" applyProtection="1">
      <alignment vertical="center"/>
      <protection locked="0"/>
    </xf>
    <xf numFmtId="0" fontId="14" fillId="0" borderId="11" xfId="0" applyFont="1" applyBorder="1" applyAlignment="1">
      <alignment horizontal="center" vertical="center" wrapText="1"/>
    </xf>
    <xf numFmtId="14" fontId="121" fillId="9" borderId="2" xfId="0" applyNumberFormat="1" applyFont="1" applyFill="1" applyBorder="1" applyAlignment="1">
      <alignment vertical="center"/>
    </xf>
    <xf numFmtId="0" fontId="0" fillId="9" borderId="13" xfId="0" applyFill="1" applyBorder="1" applyAlignment="1">
      <alignment horizontal="center" vertical="center"/>
    </xf>
    <xf numFmtId="0" fontId="121" fillId="9" borderId="2" xfId="0" applyFont="1" applyFill="1" applyBorder="1" applyAlignment="1">
      <alignment vertical="center"/>
    </xf>
    <xf numFmtId="14" fontId="88" fillId="9" borderId="4" xfId="0" applyNumberFormat="1" applyFont="1" applyFill="1" applyBorder="1" applyAlignment="1">
      <alignment vertical="center"/>
    </xf>
    <xf numFmtId="0" fontId="51" fillId="0" borderId="0" xfId="0" applyFont="1" applyAlignment="1">
      <alignment vertical="center" wrapText="1"/>
    </xf>
    <xf numFmtId="1" fontId="54" fillId="0" borderId="0" xfId="0" applyNumberFormat="1" applyFont="1" applyAlignment="1">
      <alignment horizontal="center" vertical="center" wrapText="1"/>
    </xf>
    <xf numFmtId="0" fontId="51" fillId="0" borderId="8" xfId="0" applyFont="1" applyBorder="1" applyAlignment="1">
      <alignment vertical="center" wrapText="1"/>
    </xf>
    <xf numFmtId="0" fontId="51" fillId="0" borderId="9" xfId="0" applyFont="1" applyBorder="1" applyAlignment="1">
      <alignment vertical="center" wrapText="1"/>
    </xf>
    <xf numFmtId="0" fontId="0" fillId="0" borderId="7" xfId="0" applyBorder="1" applyAlignment="1">
      <alignment vertical="center"/>
    </xf>
    <xf numFmtId="0" fontId="49" fillId="0" borderId="1" xfId="0" applyFont="1" applyBorder="1" applyAlignment="1">
      <alignment vertical="center"/>
    </xf>
    <xf numFmtId="0" fontId="0" fillId="0" borderId="2" xfId="0" applyBorder="1" applyAlignment="1">
      <alignment vertical="center"/>
    </xf>
    <xf numFmtId="0" fontId="13" fillId="0" borderId="5" xfId="0" applyFont="1" applyBorder="1" applyAlignment="1">
      <alignment vertical="center"/>
    </xf>
    <xf numFmtId="0" fontId="13" fillId="0" borderId="6" xfId="0" applyFont="1" applyBorder="1" applyAlignment="1">
      <alignment vertical="center"/>
    </xf>
    <xf numFmtId="0" fontId="13" fillId="0" borderId="7" xfId="0" applyFont="1" applyBorder="1" applyAlignment="1">
      <alignment vertical="center"/>
    </xf>
    <xf numFmtId="0" fontId="49" fillId="0" borderId="5" xfId="0" applyFont="1" applyBorder="1" applyAlignment="1">
      <alignment vertical="center"/>
    </xf>
    <xf numFmtId="38" fontId="0" fillId="0" borderId="4" xfId="0" applyNumberFormat="1" applyBorder="1" applyAlignment="1">
      <alignment horizontal="center" vertical="center"/>
    </xf>
    <xf numFmtId="39" fontId="13" fillId="0" borderId="6" xfId="0" applyNumberFormat="1" applyFont="1" applyBorder="1" applyAlignment="1">
      <alignment horizontal="left" vertical="center" wrapText="1"/>
    </xf>
    <xf numFmtId="0" fontId="13" fillId="0" borderId="6" xfId="0" applyFont="1" applyBorder="1" applyAlignment="1">
      <alignment vertical="center" wrapText="1"/>
    </xf>
    <xf numFmtId="20" fontId="13" fillId="9" borderId="7" xfId="0" applyNumberFormat="1" applyFont="1" applyFill="1" applyBorder="1" applyAlignment="1">
      <alignment horizontal="center" vertical="center" wrapText="1"/>
    </xf>
    <xf numFmtId="0" fontId="14" fillId="0" borderId="0" xfId="0" applyFont="1" applyAlignment="1">
      <alignment horizontal="right" vertical="center"/>
    </xf>
    <xf numFmtId="0" fontId="13" fillId="0" borderId="0" xfId="0" applyFont="1" applyAlignment="1">
      <alignment vertical="center"/>
    </xf>
    <xf numFmtId="0" fontId="49" fillId="0" borderId="6" xfId="0" applyFont="1" applyBorder="1" applyAlignment="1">
      <alignment vertical="center"/>
    </xf>
    <xf numFmtId="0" fontId="0" fillId="0" borderId="6" xfId="0" applyBorder="1" applyAlignment="1">
      <alignment vertical="center"/>
    </xf>
    <xf numFmtId="0" fontId="52" fillId="0" borderId="11" xfId="0" applyFont="1" applyBorder="1" applyAlignment="1">
      <alignment vertical="center"/>
    </xf>
    <xf numFmtId="14" fontId="0" fillId="0" borderId="0" xfId="0" applyNumberFormat="1" applyAlignment="1">
      <alignment vertical="center"/>
    </xf>
    <xf numFmtId="0" fontId="0" fillId="0" borderId="1" xfId="0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38" fontId="0" fillId="0" borderId="13" xfId="0" applyNumberFormat="1" applyBorder="1" applyAlignment="1">
      <alignment horizontal="center" vertical="center"/>
    </xf>
    <xf numFmtId="1" fontId="13" fillId="0" borderId="13" xfId="0" applyNumberFormat="1" applyFont="1" applyBorder="1" applyAlignment="1">
      <alignment horizontal="right" vertical="center" wrapText="1"/>
    </xf>
    <xf numFmtId="1" fontId="13" fillId="0" borderId="1" xfId="0" applyNumberFormat="1" applyFont="1" applyBorder="1" applyAlignment="1">
      <alignment horizontal="right" vertical="center" wrapText="1"/>
    </xf>
    <xf numFmtId="0" fontId="51" fillId="0" borderId="0" xfId="0" applyFont="1" applyAlignment="1">
      <alignment vertical="center"/>
    </xf>
    <xf numFmtId="0" fontId="49" fillId="0" borderId="0" xfId="0" applyFont="1" applyAlignment="1">
      <alignment vertical="center"/>
    </xf>
    <xf numFmtId="0" fontId="0" fillId="0" borderId="1" xfId="0" applyBorder="1" applyAlignment="1">
      <alignment horizontal="center" vertical="center"/>
    </xf>
    <xf numFmtId="0" fontId="52" fillId="0" borderId="0" xfId="0" applyFont="1" applyAlignment="1">
      <alignment horizontal="left" vertical="center"/>
    </xf>
    <xf numFmtId="0" fontId="52" fillId="0" borderId="0" xfId="0" applyFont="1" applyAlignment="1">
      <alignment vertical="center"/>
    </xf>
    <xf numFmtId="0" fontId="39" fillId="0" borderId="8" xfId="0" applyFont="1" applyBorder="1" applyAlignment="1">
      <alignment vertical="center"/>
    </xf>
    <xf numFmtId="0" fontId="39" fillId="0" borderId="9" xfId="0" applyFont="1" applyBorder="1" applyAlignment="1">
      <alignment vertical="center"/>
    </xf>
    <xf numFmtId="38" fontId="0" fillId="0" borderId="1" xfId="0" applyNumberFormat="1" applyBorder="1" applyAlignment="1">
      <alignment horizontal="center" vertical="center"/>
    </xf>
    <xf numFmtId="49" fontId="0" fillId="0" borderId="1" xfId="0" applyNumberFormat="1" applyBorder="1" applyAlignment="1">
      <alignment vertical="center"/>
    </xf>
    <xf numFmtId="0" fontId="0" fillId="0" borderId="4" xfId="0" applyBorder="1" applyAlignment="1">
      <alignment vertical="center"/>
    </xf>
    <xf numFmtId="0" fontId="0" fillId="0" borderId="12" xfId="0" applyBorder="1" applyAlignment="1">
      <alignment vertical="center"/>
    </xf>
    <xf numFmtId="0" fontId="14" fillId="0" borderId="13" xfId="0" applyFont="1" applyBorder="1" applyAlignment="1">
      <alignment horizontal="center" vertical="center" wrapText="1"/>
    </xf>
    <xf numFmtId="0" fontId="83" fillId="0" borderId="1" xfId="0" applyFont="1" applyBorder="1" applyAlignment="1">
      <alignment horizontal="center" vertical="center"/>
    </xf>
    <xf numFmtId="0" fontId="83" fillId="0" borderId="2" xfId="0" applyFont="1" applyBorder="1" applyAlignment="1">
      <alignment vertical="center"/>
    </xf>
    <xf numFmtId="0" fontId="83" fillId="0" borderId="4" xfId="0" applyFont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0" fontId="0" fillId="9" borderId="4" xfId="0" applyFill="1" applyBorder="1" applyAlignment="1">
      <alignment horizontal="center" vertical="center"/>
    </xf>
    <xf numFmtId="0" fontId="39" fillId="0" borderId="6" xfId="0" applyFont="1" applyBorder="1" applyAlignment="1">
      <alignment vertical="center"/>
    </xf>
    <xf numFmtId="0" fontId="39" fillId="0" borderId="7" xfId="0" applyFont="1" applyBorder="1" applyAlignment="1">
      <alignment vertical="center"/>
    </xf>
    <xf numFmtId="49" fontId="0" fillId="0" borderId="9" xfId="0" applyNumberFormat="1" applyBorder="1" applyAlignment="1">
      <alignment vertical="center"/>
    </xf>
    <xf numFmtId="0" fontId="13" fillId="0" borderId="2" xfId="0" applyFont="1" applyBorder="1" applyAlignment="1">
      <alignment vertical="center"/>
    </xf>
    <xf numFmtId="0" fontId="13" fillId="0" borderId="4" xfId="0" applyFont="1" applyBorder="1" applyAlignment="1">
      <alignment vertical="center"/>
    </xf>
    <xf numFmtId="1" fontId="124" fillId="0" borderId="1" xfId="0" applyNumberFormat="1" applyFont="1" applyBorder="1" applyAlignment="1">
      <alignment horizontal="center" vertical="center"/>
    </xf>
    <xf numFmtId="0" fontId="124" fillId="0" borderId="4" xfId="0" applyFont="1" applyBorder="1" applyAlignment="1">
      <alignment horizontal="center" vertical="center"/>
    </xf>
    <xf numFmtId="0" fontId="124" fillId="0" borderId="1" xfId="0" applyFont="1" applyBorder="1" applyAlignment="1">
      <alignment horizontal="center" vertical="center"/>
    </xf>
    <xf numFmtId="44" fontId="61" fillId="40" borderId="0" xfId="1" applyFont="1" applyFill="1"/>
    <xf numFmtId="16" fontId="11" fillId="9" borderId="10" xfId="0" applyNumberFormat="1" applyFont="1" applyFill="1" applyBorder="1" applyAlignment="1">
      <alignment vertical="center"/>
    </xf>
    <xf numFmtId="16" fontId="11" fillId="9" borderId="3" xfId="0" applyNumberFormat="1" applyFont="1" applyFill="1" applyBorder="1" applyAlignment="1">
      <alignment vertical="center"/>
    </xf>
    <xf numFmtId="0" fontId="49" fillId="0" borderId="8" xfId="0" applyFont="1" applyBorder="1" applyAlignment="1">
      <alignment vertical="center"/>
    </xf>
    <xf numFmtId="0" fontId="39" fillId="0" borderId="5" xfId="0" applyFont="1" applyBorder="1" applyAlignment="1">
      <alignment vertical="center"/>
    </xf>
    <xf numFmtId="173" fontId="49" fillId="9" borderId="11" xfId="0" applyNumberFormat="1" applyFont="1" applyFill="1" applyBorder="1" applyAlignment="1">
      <alignment horizontal="center" vertical="center"/>
    </xf>
    <xf numFmtId="0" fontId="50" fillId="0" borderId="8" xfId="0" applyFont="1" applyBorder="1" applyAlignment="1">
      <alignment vertical="center"/>
    </xf>
    <xf numFmtId="173" fontId="49" fillId="9" borderId="3" xfId="0" applyNumberFormat="1" applyFont="1" applyFill="1" applyBorder="1" applyAlignment="1">
      <alignment horizontal="center" vertical="center"/>
    </xf>
    <xf numFmtId="44" fontId="106" fillId="0" borderId="8" xfId="1" applyFont="1" applyBorder="1" applyAlignment="1" applyProtection="1">
      <alignment vertical="center"/>
    </xf>
    <xf numFmtId="171" fontId="3" fillId="0" borderId="0" xfId="1" applyNumberFormat="1" applyFont="1" applyAlignment="1" applyProtection="1">
      <alignment vertical="center"/>
      <protection locked="0"/>
    </xf>
    <xf numFmtId="171" fontId="5" fillId="0" borderId="0" xfId="5" applyNumberFormat="1" applyFont="1" applyAlignment="1" applyProtection="1">
      <alignment vertical="center"/>
      <protection locked="0"/>
    </xf>
    <xf numFmtId="0" fontId="1" fillId="10" borderId="0" xfId="5" applyFont="1" applyFill="1" applyAlignment="1" applyProtection="1">
      <alignment horizontal="center" vertical="center"/>
      <protection locked="0"/>
    </xf>
    <xf numFmtId="0" fontId="5" fillId="10" borderId="0" xfId="5" applyFont="1" applyFill="1" applyAlignment="1" applyProtection="1">
      <alignment vertical="center"/>
      <protection locked="0"/>
    </xf>
    <xf numFmtId="2" fontId="33" fillId="41" borderId="14" xfId="5" applyNumberFormat="1" applyFont="1" applyFill="1" applyBorder="1" applyAlignment="1" applyProtection="1">
      <alignment horizontal="center" vertical="center" shrinkToFit="1"/>
      <protection locked="0"/>
    </xf>
    <xf numFmtId="44" fontId="33" fillId="0" borderId="8" xfId="1" applyFont="1" applyBorder="1" applyAlignment="1" applyProtection="1">
      <alignment vertical="center"/>
    </xf>
    <xf numFmtId="44" fontId="95" fillId="42" borderId="6" xfId="1" applyFont="1" applyFill="1" applyBorder="1" applyAlignment="1">
      <alignment horizontal="center" vertical="center"/>
    </xf>
    <xf numFmtId="44" fontId="95" fillId="42" borderId="0" xfId="1" applyFont="1" applyFill="1" applyBorder="1" applyAlignment="1">
      <alignment horizontal="center" vertical="center"/>
    </xf>
    <xf numFmtId="2" fontId="33" fillId="42" borderId="15" xfId="5" applyNumberFormat="1" applyFont="1" applyFill="1" applyBorder="1" applyAlignment="1" applyProtection="1">
      <alignment horizontal="center" vertical="center" shrinkToFit="1"/>
      <protection locked="0"/>
    </xf>
    <xf numFmtId="2" fontId="33" fillId="42" borderId="14" xfId="5" applyNumberFormat="1" applyFont="1" applyFill="1" applyBorder="1" applyAlignment="1" applyProtection="1">
      <alignment horizontal="center" vertical="center" shrinkToFit="1"/>
      <protection locked="0"/>
    </xf>
    <xf numFmtId="2" fontId="33" fillId="42" borderId="13" xfId="5" applyNumberFormat="1" applyFont="1" applyFill="1" applyBorder="1" applyAlignment="1" applyProtection="1">
      <alignment horizontal="center" vertical="center" shrinkToFit="1"/>
      <protection locked="0"/>
    </xf>
    <xf numFmtId="1" fontId="9" fillId="10" borderId="17" xfId="5" applyNumberFormat="1" applyFont="1" applyFill="1" applyBorder="1" applyAlignment="1" applyProtection="1">
      <alignment vertical="center"/>
      <protection locked="0"/>
    </xf>
    <xf numFmtId="1" fontId="9" fillId="22" borderId="17" xfId="5" applyNumberFormat="1" applyFont="1" applyFill="1" applyBorder="1" applyAlignment="1" applyProtection="1">
      <alignment vertical="center"/>
      <protection locked="0"/>
    </xf>
    <xf numFmtId="44" fontId="95" fillId="2" borderId="0" xfId="1" applyFont="1" applyFill="1" applyBorder="1" applyAlignment="1">
      <alignment horizontal="center" vertical="center"/>
    </xf>
    <xf numFmtId="44" fontId="33" fillId="0" borderId="15" xfId="5" applyNumberFormat="1" applyFont="1" applyBorder="1" applyAlignment="1" applyProtection="1">
      <alignment horizontal="center" vertical="center" shrinkToFit="1"/>
      <protection locked="0"/>
    </xf>
    <xf numFmtId="0" fontId="18" fillId="10" borderId="13" xfId="5" applyFont="1" applyFill="1" applyBorder="1" applyAlignment="1" applyProtection="1">
      <alignment horizontal="center" vertical="center" shrinkToFit="1"/>
      <protection locked="0"/>
    </xf>
    <xf numFmtId="1" fontId="18" fillId="0" borderId="56" xfId="5" applyNumberFormat="1" applyFont="1" applyBorder="1" applyAlignment="1" applyProtection="1">
      <alignment horizontal="center" vertical="center"/>
      <protection locked="0"/>
    </xf>
    <xf numFmtId="2" fontId="33" fillId="0" borderId="43" xfId="5" applyNumberFormat="1" applyFont="1" applyBorder="1" applyAlignment="1" applyProtection="1">
      <alignment horizontal="center" vertical="center" shrinkToFit="1"/>
      <protection locked="0"/>
    </xf>
    <xf numFmtId="38" fontId="9" fillId="0" borderId="43" xfId="5" applyNumberFormat="1" applyFont="1" applyBorder="1" applyAlignment="1" applyProtection="1">
      <alignment vertical="center"/>
      <protection locked="0"/>
    </xf>
    <xf numFmtId="1" fontId="18" fillId="0" borderId="57" xfId="5" applyNumberFormat="1" applyFont="1" applyBorder="1" applyAlignment="1" applyProtection="1">
      <alignment horizontal="center" vertical="center"/>
      <protection locked="0"/>
    </xf>
    <xf numFmtId="2" fontId="33" fillId="0" borderId="46" xfId="5" applyNumberFormat="1" applyFont="1" applyBorder="1" applyAlignment="1" applyProtection="1">
      <alignment horizontal="center" vertical="center" shrinkToFit="1"/>
      <protection locked="0"/>
    </xf>
    <xf numFmtId="38" fontId="9" fillId="0" borderId="46" xfId="5" applyNumberFormat="1" applyFont="1" applyBorder="1" applyAlignment="1" applyProtection="1">
      <alignment vertical="center"/>
      <protection locked="0"/>
    </xf>
    <xf numFmtId="2" fontId="33" fillId="22" borderId="13" xfId="5" applyNumberFormat="1" applyFont="1" applyFill="1" applyBorder="1" applyAlignment="1" applyProtection="1">
      <alignment horizontal="center" vertical="center" shrinkToFit="1"/>
      <protection locked="0"/>
    </xf>
    <xf numFmtId="1" fontId="18" fillId="0" borderId="48" xfId="5" applyNumberFormat="1" applyFont="1" applyBorder="1" applyAlignment="1" applyProtection="1">
      <alignment horizontal="center" vertical="center"/>
      <protection locked="0"/>
    </xf>
    <xf numFmtId="2" fontId="33" fillId="0" borderId="47" xfId="5" applyNumberFormat="1" applyFont="1" applyBorder="1" applyAlignment="1" applyProtection="1">
      <alignment horizontal="center" vertical="center" shrinkToFit="1"/>
      <protection locked="0"/>
    </xf>
    <xf numFmtId="38" fontId="9" fillId="0" borderId="47" xfId="5" applyNumberFormat="1" applyFont="1" applyBorder="1" applyAlignment="1" applyProtection="1">
      <alignment vertical="center"/>
      <protection locked="0"/>
    </xf>
    <xf numFmtId="0" fontId="36" fillId="0" borderId="0" xfId="8"/>
    <xf numFmtId="2" fontId="33" fillId="2" borderId="15" xfId="5" applyNumberFormat="1" applyFont="1" applyFill="1" applyBorder="1" applyAlignment="1" applyProtection="1">
      <alignment horizontal="center" vertical="center" shrinkToFit="1"/>
      <protection locked="0"/>
    </xf>
    <xf numFmtId="0" fontId="80" fillId="2" borderId="0" xfId="0" applyFont="1" applyFill="1" applyAlignment="1">
      <alignment horizontal="center"/>
    </xf>
    <xf numFmtId="0" fontId="56" fillId="2" borderId="0" xfId="0" applyFont="1" applyFill="1"/>
    <xf numFmtId="38" fontId="10" fillId="2" borderId="1" xfId="6" applyNumberFormat="1" applyFont="1" applyFill="1" applyBorder="1" applyAlignment="1" applyProtection="1">
      <alignment vertical="center"/>
    </xf>
    <xf numFmtId="38" fontId="10" fillId="2" borderId="2" xfId="6" applyNumberFormat="1" applyFont="1" applyFill="1" applyBorder="1" applyAlignment="1" applyProtection="1">
      <alignment vertical="center"/>
    </xf>
    <xf numFmtId="44" fontId="37" fillId="43" borderId="14" xfId="1" applyFont="1" applyFill="1" applyBorder="1" applyAlignment="1" applyProtection="1">
      <alignment horizontal="center" vertical="center" shrinkToFit="1"/>
    </xf>
    <xf numFmtId="171" fontId="5" fillId="44" borderId="0" xfId="5" applyNumberFormat="1" applyFont="1" applyFill="1" applyAlignment="1" applyProtection="1">
      <alignment vertical="center"/>
      <protection locked="0"/>
    </xf>
    <xf numFmtId="1" fontId="26" fillId="0" borderId="0" xfId="5" applyNumberFormat="1" applyFont="1" applyAlignment="1" applyProtection="1">
      <alignment horizontal="left"/>
      <protection locked="0"/>
    </xf>
    <xf numFmtId="38" fontId="0" fillId="0" borderId="4" xfId="0" applyNumberFormat="1" applyBorder="1" applyAlignment="1">
      <alignment horizontal="center" vertical="top"/>
    </xf>
    <xf numFmtId="0" fontId="26" fillId="0" borderId="0" xfId="5" applyFont="1" applyAlignment="1">
      <alignment horizontal="left"/>
    </xf>
    <xf numFmtId="0" fontId="0" fillId="7" borderId="13" xfId="0" applyFill="1" applyBorder="1" applyAlignment="1">
      <alignment horizontal="center" vertical="center"/>
    </xf>
    <xf numFmtId="0" fontId="0" fillId="0" borderId="8" xfId="0" applyBorder="1" applyAlignment="1">
      <alignment vertical="center"/>
    </xf>
    <xf numFmtId="0" fontId="0" fillId="0" borderId="9" xfId="0" applyBorder="1" applyAlignment="1">
      <alignment vertical="center"/>
    </xf>
    <xf numFmtId="0" fontId="0" fillId="0" borderId="10" xfId="0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11" xfId="0" applyBorder="1" applyAlignment="1">
      <alignment vertical="center"/>
    </xf>
    <xf numFmtId="0" fontId="0" fillId="0" borderId="5" xfId="0" applyBorder="1" applyAlignment="1">
      <alignment vertical="center"/>
    </xf>
    <xf numFmtId="0" fontId="49" fillId="0" borderId="0" xfId="0" applyFont="1" applyAlignment="1">
      <alignment horizontal="right" vertical="center"/>
    </xf>
    <xf numFmtId="0" fontId="13" fillId="0" borderId="4" xfId="0" applyFont="1" applyBorder="1" applyAlignment="1">
      <alignment horizontal="left" vertical="center"/>
    </xf>
    <xf numFmtId="0" fontId="13" fillId="0" borderId="1" xfId="0" applyFont="1" applyBorder="1" applyAlignment="1">
      <alignment horizontal="left" vertical="center"/>
    </xf>
    <xf numFmtId="0" fontId="13" fillId="0" borderId="2" xfId="0" applyFont="1" applyBorder="1" applyAlignment="1">
      <alignment horizontal="left" vertical="center"/>
    </xf>
    <xf numFmtId="0" fontId="126" fillId="0" borderId="0" xfId="0" applyFont="1" applyAlignment="1">
      <alignment vertical="center"/>
    </xf>
    <xf numFmtId="38" fontId="0" fillId="0" borderId="22" xfId="0" applyNumberFormat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" xfId="0" applyBorder="1" applyAlignment="1">
      <alignment horizontal="left" vertical="center"/>
    </xf>
    <xf numFmtId="173" fontId="49" fillId="9" borderId="10" xfId="0" applyNumberFormat="1" applyFont="1" applyFill="1" applyBorder="1" applyAlignment="1">
      <alignment vertical="center"/>
    </xf>
    <xf numFmtId="173" fontId="49" fillId="9" borderId="3" xfId="0" applyNumberFormat="1" applyFont="1" applyFill="1" applyBorder="1" applyAlignment="1">
      <alignment vertical="center"/>
    </xf>
    <xf numFmtId="173" fontId="49" fillId="9" borderId="11" xfId="0" applyNumberFormat="1" applyFont="1" applyFill="1" applyBorder="1" applyAlignment="1">
      <alignment vertical="center"/>
    </xf>
    <xf numFmtId="178" fontId="13" fillId="9" borderId="3" xfId="0" applyNumberFormat="1" applyFont="1" applyFill="1" applyBorder="1" applyAlignment="1">
      <alignment vertical="center"/>
    </xf>
    <xf numFmtId="14" fontId="11" fillId="9" borderId="3" xfId="0" applyNumberFormat="1" applyFont="1" applyFill="1" applyBorder="1" applyAlignment="1">
      <alignment vertical="center"/>
    </xf>
    <xf numFmtId="14" fontId="120" fillId="9" borderId="3" xfId="0" applyNumberFormat="1" applyFont="1" applyFill="1" applyBorder="1" applyAlignment="1">
      <alignment vertical="center"/>
    </xf>
    <xf numFmtId="49" fontId="0" fillId="0" borderId="0" xfId="0" applyNumberFormat="1" applyAlignment="1">
      <alignment vertical="center"/>
    </xf>
    <xf numFmtId="178" fontId="88" fillId="9" borderId="4" xfId="0" applyNumberFormat="1" applyFont="1" applyFill="1" applyBorder="1" applyAlignment="1">
      <alignment vertical="center"/>
    </xf>
    <xf numFmtId="175" fontId="128" fillId="0" borderId="2" xfId="9" applyNumberFormat="1" applyFont="1" applyBorder="1" applyAlignment="1">
      <alignment vertical="center" shrinkToFit="1"/>
    </xf>
    <xf numFmtId="171" fontId="128" fillId="0" borderId="2" xfId="1" applyNumberFormat="1" applyFont="1" applyBorder="1" applyAlignment="1">
      <alignment vertical="center" shrinkToFit="1"/>
    </xf>
    <xf numFmtId="9" fontId="128" fillId="0" borderId="2" xfId="5" applyNumberFormat="1" applyFont="1" applyBorder="1" applyAlignment="1">
      <alignment vertical="center" shrinkToFit="1"/>
    </xf>
    <xf numFmtId="38" fontId="100" fillId="2" borderId="1" xfId="6" applyNumberFormat="1" applyFont="1" applyFill="1" applyBorder="1" applyAlignment="1" applyProtection="1">
      <alignment vertical="center" shrinkToFit="1"/>
    </xf>
    <xf numFmtId="38" fontId="100" fillId="2" borderId="2" xfId="6" applyNumberFormat="1" applyFont="1" applyFill="1" applyBorder="1" applyAlignment="1" applyProtection="1">
      <alignment vertical="center" shrinkToFit="1"/>
    </xf>
    <xf numFmtId="38" fontId="100" fillId="2" borderId="62" xfId="6" applyNumberFormat="1" applyFont="1" applyFill="1" applyBorder="1" applyAlignment="1" applyProtection="1">
      <alignment vertical="center" shrinkToFit="1"/>
    </xf>
    <xf numFmtId="171" fontId="1" fillId="0" borderId="0" xfId="1" applyNumberFormat="1" applyFont="1" applyAlignment="1" applyProtection="1">
      <alignment horizontal="center" vertical="center"/>
      <protection locked="0"/>
    </xf>
    <xf numFmtId="0" fontId="123" fillId="0" borderId="6" xfId="0" applyFont="1" applyBorder="1" applyAlignment="1">
      <alignment vertical="center"/>
    </xf>
    <xf numFmtId="0" fontId="123" fillId="0" borderId="7" xfId="0" applyFont="1" applyBorder="1" applyAlignment="1">
      <alignment vertical="center"/>
    </xf>
    <xf numFmtId="171" fontId="9" fillId="0" borderId="14" xfId="5" applyNumberFormat="1" applyFont="1" applyBorder="1" applyAlignment="1" applyProtection="1">
      <alignment vertical="center"/>
      <protection locked="0"/>
    </xf>
    <xf numFmtId="171" fontId="3" fillId="10" borderId="0" xfId="1" applyNumberFormat="1" applyFont="1" applyFill="1" applyAlignment="1" applyProtection="1">
      <alignment vertical="center"/>
      <protection locked="0"/>
    </xf>
    <xf numFmtId="0" fontId="3" fillId="0" borderId="0" xfId="5" applyFont="1" applyAlignment="1" applyProtection="1">
      <alignment horizontal="center"/>
      <protection locked="0"/>
    </xf>
    <xf numFmtId="0" fontId="36" fillId="44" borderId="0" xfId="8" applyFill="1" applyAlignment="1" applyProtection="1">
      <alignment horizontal="center"/>
      <protection locked="0"/>
    </xf>
    <xf numFmtId="0" fontId="36" fillId="0" borderId="0" xfId="8" applyAlignment="1" applyProtection="1">
      <alignment horizontal="center"/>
      <protection locked="0"/>
    </xf>
    <xf numFmtId="9" fontId="8" fillId="45" borderId="13" xfId="7" applyFont="1" applyFill="1" applyBorder="1" applyAlignment="1">
      <alignment vertical="center"/>
    </xf>
    <xf numFmtId="0" fontId="0" fillId="0" borderId="3" xfId="0" applyBorder="1" applyAlignment="1">
      <alignment horizontal="center" vertical="center"/>
    </xf>
    <xf numFmtId="0" fontId="31" fillId="0" borderId="0" xfId="0" applyFont="1" applyAlignment="1">
      <alignment horizontal="right" vertical="center"/>
    </xf>
    <xf numFmtId="0" fontId="36" fillId="0" borderId="0" xfId="8" applyAlignment="1">
      <alignment horizontal="right" vertical="center" indent="7"/>
    </xf>
    <xf numFmtId="0" fontId="98" fillId="0" borderId="0" xfId="0" applyFont="1" applyAlignment="1">
      <alignment vertical="center"/>
    </xf>
    <xf numFmtId="0" fontId="131" fillId="0" borderId="0" xfId="0" applyFont="1" applyAlignment="1">
      <alignment horizontal="right" vertical="center"/>
    </xf>
    <xf numFmtId="0" fontId="130" fillId="0" borderId="3" xfId="0" applyFont="1" applyBorder="1"/>
    <xf numFmtId="0" fontId="130" fillId="0" borderId="2" xfId="0" applyFont="1" applyBorder="1"/>
    <xf numFmtId="0" fontId="0" fillId="0" borderId="2" xfId="0" applyBorder="1" applyAlignment="1">
      <alignment horizontal="center" vertical="center"/>
    </xf>
    <xf numFmtId="178" fontId="0" fillId="0" borderId="2" xfId="0" applyNumberFormat="1" applyBorder="1" applyAlignment="1">
      <alignment horizontal="center" vertical="center"/>
    </xf>
    <xf numFmtId="0" fontId="126" fillId="0" borderId="2" xfId="0" applyFont="1" applyBorder="1" applyAlignment="1">
      <alignment horizontal="center" vertical="center"/>
    </xf>
    <xf numFmtId="0" fontId="0" fillId="46" borderId="0" xfId="0" applyFill="1" applyAlignment="1">
      <alignment vertical="center"/>
    </xf>
    <xf numFmtId="0" fontId="135" fillId="46" borderId="0" xfId="0" applyFont="1" applyFill="1" applyAlignment="1">
      <alignment horizontal="right" vertical="center"/>
    </xf>
    <xf numFmtId="0" fontId="135" fillId="46" borderId="0" xfId="0" applyFont="1" applyFill="1" applyAlignment="1">
      <alignment vertical="center"/>
    </xf>
    <xf numFmtId="0" fontId="138" fillId="46" borderId="0" xfId="0" applyFont="1" applyFill="1" applyAlignment="1">
      <alignment vertical="center"/>
    </xf>
    <xf numFmtId="0" fontId="136" fillId="46" borderId="6" xfId="0" applyFont="1" applyFill="1" applyBorder="1" applyAlignment="1">
      <alignment vertical="center"/>
    </xf>
    <xf numFmtId="0" fontId="0" fillId="46" borderId="6" xfId="0" applyFill="1" applyBorder="1" applyAlignment="1">
      <alignment vertical="center"/>
    </xf>
    <xf numFmtId="179" fontId="135" fillId="46" borderId="6" xfId="0" applyNumberFormat="1" applyFont="1" applyFill="1" applyBorder="1" applyAlignment="1">
      <alignment horizontal="right" vertical="center"/>
    </xf>
    <xf numFmtId="0" fontId="0" fillId="0" borderId="70" xfId="0" applyBorder="1" applyAlignment="1">
      <alignment horizontal="left" vertical="top" wrapText="1"/>
    </xf>
    <xf numFmtId="0" fontId="0" fillId="0" borderId="71" xfId="0" applyBorder="1" applyAlignment="1">
      <alignment horizontal="left" vertical="top" wrapText="1"/>
    </xf>
    <xf numFmtId="0" fontId="90" fillId="12" borderId="13" xfId="5" applyFont="1" applyFill="1" applyBorder="1" applyProtection="1">
      <protection locked="0"/>
    </xf>
    <xf numFmtId="0" fontId="117" fillId="0" borderId="8" xfId="0" applyFont="1" applyBorder="1" applyAlignment="1">
      <alignment horizontal="left" vertical="center"/>
    </xf>
    <xf numFmtId="0" fontId="117" fillId="0" borderId="9" xfId="0" applyFont="1" applyBorder="1" applyAlignment="1">
      <alignment horizontal="left" vertical="center"/>
    </xf>
    <xf numFmtId="0" fontId="26" fillId="45" borderId="0" xfId="5" applyFont="1" applyFill="1" applyProtection="1">
      <protection locked="0"/>
    </xf>
    <xf numFmtId="0" fontId="83" fillId="45" borderId="0" xfId="0" applyFont="1" applyFill="1"/>
    <xf numFmtId="0" fontId="59" fillId="45" borderId="0" xfId="0" applyFont="1" applyFill="1" applyAlignment="1">
      <alignment horizontal="center"/>
    </xf>
    <xf numFmtId="44" fontId="61" fillId="45" borderId="0" xfId="1" applyFont="1" applyFill="1"/>
    <xf numFmtId="0" fontId="80" fillId="45" borderId="0" xfId="0" applyFont="1" applyFill="1" applyAlignment="1">
      <alignment horizontal="center"/>
    </xf>
    <xf numFmtId="0" fontId="0" fillId="45" borderId="0" xfId="0" applyFill="1"/>
    <xf numFmtId="0" fontId="83" fillId="45" borderId="0" xfId="0" applyFont="1" applyFill="1" applyAlignment="1">
      <alignment vertical="top"/>
    </xf>
    <xf numFmtId="0" fontId="56" fillId="45" borderId="0" xfId="0" applyFont="1" applyFill="1" applyAlignment="1">
      <alignment vertical="top"/>
    </xf>
    <xf numFmtId="0" fontId="56" fillId="45" borderId="0" xfId="0" applyFont="1" applyFill="1"/>
    <xf numFmtId="2" fontId="33" fillId="45" borderId="15" xfId="5" applyNumberFormat="1" applyFont="1" applyFill="1" applyBorder="1" applyAlignment="1" applyProtection="1">
      <alignment horizontal="center" vertical="center" shrinkToFit="1"/>
      <protection locked="0"/>
    </xf>
    <xf numFmtId="0" fontId="26" fillId="41" borderId="0" xfId="5" applyFont="1" applyFill="1" applyProtection="1">
      <protection locked="0"/>
    </xf>
    <xf numFmtId="0" fontId="56" fillId="41" borderId="0" xfId="0" applyFont="1" applyFill="1"/>
    <xf numFmtId="0" fontId="59" fillId="41" borderId="0" xfId="0" applyFont="1" applyFill="1" applyAlignment="1">
      <alignment horizontal="center"/>
    </xf>
    <xf numFmtId="44" fontId="61" fillId="41" borderId="0" xfId="1" applyFont="1" applyFill="1"/>
    <xf numFmtId="0" fontId="80" fillId="41" borderId="0" xfId="0" applyFont="1" applyFill="1" applyAlignment="1">
      <alignment horizontal="center"/>
    </xf>
    <xf numFmtId="0" fontId="0" fillId="41" borderId="0" xfId="0" applyFill="1"/>
    <xf numFmtId="0" fontId="83" fillId="41" borderId="0" xfId="0" applyFont="1" applyFill="1"/>
    <xf numFmtId="0" fontId="56" fillId="41" borderId="0" xfId="0" applyFont="1" applyFill="1" applyAlignment="1">
      <alignment vertical="top"/>
    </xf>
    <xf numFmtId="0" fontId="92" fillId="25" borderId="9" xfId="0" applyFont="1" applyFill="1" applyBorder="1" applyAlignment="1">
      <alignment vertical="center"/>
    </xf>
    <xf numFmtId="8" fontId="5" fillId="0" borderId="0" xfId="5" applyNumberFormat="1" applyFont="1" applyProtection="1">
      <protection locked="0"/>
    </xf>
    <xf numFmtId="8" fontId="5" fillId="27" borderId="0" xfId="5" applyNumberFormat="1" applyFont="1" applyFill="1" applyProtection="1">
      <protection locked="0"/>
    </xf>
    <xf numFmtId="0" fontId="9" fillId="47" borderId="8" xfId="5" applyFont="1" applyFill="1" applyBorder="1" applyProtection="1">
      <protection locked="0"/>
    </xf>
    <xf numFmtId="44" fontId="95" fillId="47" borderId="0" xfId="1" applyFont="1" applyFill="1" applyBorder="1" applyAlignment="1">
      <alignment horizontal="center" vertical="center"/>
    </xf>
    <xf numFmtId="0" fontId="0" fillId="47" borderId="8" xfId="0" applyFill="1" applyBorder="1"/>
    <xf numFmtId="0" fontId="83" fillId="47" borderId="9" xfId="0" applyFont="1" applyFill="1" applyBorder="1" applyAlignment="1">
      <alignment horizontal="center" vertical="center"/>
    </xf>
    <xf numFmtId="44" fontId="95" fillId="0" borderId="0" xfId="1" applyFont="1" applyFill="1" applyBorder="1" applyAlignment="1">
      <alignment horizontal="center" vertical="center"/>
    </xf>
    <xf numFmtId="2" fontId="33" fillId="47" borderId="14" xfId="5" applyNumberFormat="1" applyFont="1" applyFill="1" applyBorder="1" applyAlignment="1" applyProtection="1">
      <alignment horizontal="center" vertical="center" shrinkToFit="1"/>
      <protection locked="0"/>
    </xf>
    <xf numFmtId="0" fontId="84" fillId="0" borderId="6" xfId="5" applyFont="1" applyBorder="1" applyAlignment="1" applyProtection="1">
      <alignment vertical="center"/>
      <protection locked="0"/>
    </xf>
    <xf numFmtId="0" fontId="84" fillId="0" borderId="3" xfId="5" applyFont="1" applyBorder="1" applyAlignment="1" applyProtection="1">
      <alignment vertical="center"/>
      <protection locked="0"/>
    </xf>
    <xf numFmtId="0" fontId="84" fillId="0" borderId="0" xfId="5" applyFont="1" applyAlignment="1" applyProtection="1">
      <alignment vertical="center"/>
      <protection locked="0"/>
    </xf>
    <xf numFmtId="0" fontId="9" fillId="0" borderId="7" xfId="5" applyFont="1" applyBorder="1" applyProtection="1">
      <protection locked="0"/>
    </xf>
    <xf numFmtId="0" fontId="37" fillId="0" borderId="0" xfId="5" applyFont="1" applyAlignment="1" applyProtection="1">
      <alignment horizontal="center" vertical="center"/>
      <protection locked="0"/>
    </xf>
    <xf numFmtId="2" fontId="33" fillId="48" borderId="22" xfId="5" applyNumberFormat="1" applyFont="1" applyFill="1" applyBorder="1" applyAlignment="1" applyProtection="1">
      <alignment vertical="center" shrinkToFit="1"/>
      <protection locked="0"/>
    </xf>
    <xf numFmtId="2" fontId="33" fillId="48" borderId="14" xfId="5" applyNumberFormat="1" applyFont="1" applyFill="1" applyBorder="1" applyAlignment="1" applyProtection="1">
      <alignment vertical="center" shrinkToFit="1"/>
      <protection locked="0"/>
    </xf>
    <xf numFmtId="0" fontId="26" fillId="47" borderId="0" xfId="5" applyFont="1" applyFill="1" applyProtection="1">
      <protection locked="0"/>
    </xf>
    <xf numFmtId="44" fontId="61" fillId="47" borderId="0" xfId="1" applyFont="1" applyFill="1"/>
    <xf numFmtId="0" fontId="0" fillId="47" borderId="0" xfId="0" applyFill="1"/>
    <xf numFmtId="0" fontId="59" fillId="47" borderId="0" xfId="0" applyFont="1" applyFill="1" applyAlignment="1">
      <alignment horizontal="center"/>
    </xf>
    <xf numFmtId="0" fontId="80" fillId="47" borderId="0" xfId="0" applyFont="1" applyFill="1" applyAlignment="1">
      <alignment horizontal="center"/>
    </xf>
    <xf numFmtId="0" fontId="56" fillId="47" borderId="0" xfId="0" applyFont="1" applyFill="1"/>
    <xf numFmtId="0" fontId="37" fillId="12" borderId="14" xfId="5" applyFont="1" applyFill="1" applyBorder="1" applyAlignment="1">
      <alignment vertical="center"/>
    </xf>
    <xf numFmtId="9" fontId="9" fillId="2" borderId="4" xfId="7" applyFont="1" applyFill="1" applyBorder="1" applyAlignment="1" applyProtection="1">
      <alignment vertical="center"/>
    </xf>
    <xf numFmtId="44" fontId="9" fillId="2" borderId="1" xfId="1" applyFont="1" applyFill="1" applyBorder="1" applyAlignment="1" applyProtection="1">
      <alignment horizontal="left" vertical="center"/>
    </xf>
    <xf numFmtId="10" fontId="9" fillId="0" borderId="0" xfId="7" applyNumberFormat="1" applyFont="1" applyAlignment="1" applyProtection="1">
      <alignment horizontal="center" vertical="center"/>
      <protection locked="0"/>
    </xf>
    <xf numFmtId="180" fontId="9" fillId="0" borderId="0" xfId="7" applyNumberFormat="1" applyFont="1" applyAlignment="1" applyProtection="1">
      <alignment horizontal="center" vertical="center"/>
      <protection locked="0"/>
    </xf>
    <xf numFmtId="9" fontId="9" fillId="0" borderId="0" xfId="7" applyFont="1" applyAlignment="1" applyProtection="1">
      <alignment horizontal="center" vertical="center"/>
      <protection locked="0"/>
    </xf>
    <xf numFmtId="2" fontId="9" fillId="0" borderId="0" xfId="5" applyNumberFormat="1" applyFont="1" applyAlignment="1" applyProtection="1">
      <alignment vertical="center"/>
      <protection locked="0"/>
    </xf>
    <xf numFmtId="171" fontId="9" fillId="2" borderId="1" xfId="1" applyNumberFormat="1" applyFont="1" applyFill="1" applyBorder="1" applyAlignment="1" applyProtection="1">
      <alignment vertical="center"/>
    </xf>
    <xf numFmtId="0" fontId="9" fillId="2" borderId="9" xfId="5" applyFont="1" applyFill="1" applyBorder="1" applyAlignment="1">
      <alignment vertical="center"/>
    </xf>
    <xf numFmtId="44" fontId="5" fillId="0" borderId="0" xfId="5" applyNumberFormat="1" applyFont="1" applyAlignment="1" applyProtection="1">
      <alignment vertical="center"/>
      <protection locked="0"/>
    </xf>
    <xf numFmtId="0" fontId="13" fillId="0" borderId="13" xfId="0" applyFont="1" applyBorder="1" applyAlignment="1">
      <alignment horizontal="center" vertical="center"/>
    </xf>
    <xf numFmtId="0" fontId="15" fillId="0" borderId="0" xfId="0" applyFont="1" applyAlignment="1">
      <alignment horizontal="center"/>
    </xf>
    <xf numFmtId="0" fontId="12" fillId="0" borderId="0" xfId="0" applyFont="1" applyAlignment="1">
      <alignment horizontal="center"/>
    </xf>
    <xf numFmtId="9" fontId="13" fillId="0" borderId="0" xfId="7" applyFont="1"/>
    <xf numFmtId="0" fontId="140" fillId="0" borderId="0" xfId="0" applyFont="1" applyAlignment="1">
      <alignment horizontal="center" vertical="center"/>
    </xf>
    <xf numFmtId="9" fontId="14" fillId="0" borderId="0" xfId="7" applyFont="1"/>
    <xf numFmtId="0" fontId="13" fillId="0" borderId="13" xfId="0" applyFont="1" applyBorder="1" applyAlignment="1">
      <alignment vertical="center"/>
    </xf>
    <xf numFmtId="44" fontId="13" fillId="0" borderId="13" xfId="1" applyFont="1" applyBorder="1" applyAlignment="1">
      <alignment vertical="center"/>
    </xf>
    <xf numFmtId="0" fontId="14" fillId="0" borderId="6" xfId="0" applyFont="1" applyBorder="1"/>
    <xf numFmtId="9" fontId="13" fillId="0" borderId="0" xfId="7" applyFont="1" applyAlignment="1">
      <alignment vertical="center"/>
    </xf>
    <xf numFmtId="44" fontId="13" fillId="0" borderId="0" xfId="0" applyNumberFormat="1" applyFont="1" applyAlignment="1">
      <alignment vertical="center"/>
    </xf>
    <xf numFmtId="0" fontId="0" fillId="16" borderId="5" xfId="0" applyFill="1" applyBorder="1"/>
    <xf numFmtId="0" fontId="0" fillId="16" borderId="6" xfId="0" applyFill="1" applyBorder="1"/>
    <xf numFmtId="44" fontId="13" fillId="16" borderId="6" xfId="0" applyNumberFormat="1" applyFont="1" applyFill="1" applyBorder="1"/>
    <xf numFmtId="44" fontId="0" fillId="16" borderId="7" xfId="1" applyFont="1" applyFill="1" applyBorder="1"/>
    <xf numFmtId="0" fontId="14" fillId="16" borderId="8" xfId="0" applyFont="1" applyFill="1" applyBorder="1"/>
    <xf numFmtId="0" fontId="14" fillId="16" borderId="0" xfId="0" applyFont="1" applyFill="1"/>
    <xf numFmtId="44" fontId="14" fillId="16" borderId="0" xfId="0" applyNumberFormat="1" applyFont="1" applyFill="1"/>
    <xf numFmtId="44" fontId="14" fillId="16" borderId="9" xfId="1" applyFont="1" applyFill="1" applyBorder="1"/>
    <xf numFmtId="0" fontId="16" fillId="16" borderId="10" xfId="0" applyFont="1" applyFill="1" applyBorder="1"/>
    <xf numFmtId="0" fontId="16" fillId="16" borderId="3" xfId="0" applyFont="1" applyFill="1" applyBorder="1"/>
    <xf numFmtId="0" fontId="17" fillId="16" borderId="3" xfId="0" applyFont="1" applyFill="1" applyBorder="1"/>
    <xf numFmtId="44" fontId="16" fillId="16" borderId="11" xfId="1" applyFont="1" applyFill="1" applyBorder="1"/>
    <xf numFmtId="0" fontId="0" fillId="49" borderId="5" xfId="0" applyFill="1" applyBorder="1"/>
    <xf numFmtId="0" fontId="0" fillId="49" borderId="6" xfId="0" applyFill="1" applyBorder="1"/>
    <xf numFmtId="44" fontId="13" fillId="49" borderId="6" xfId="0" applyNumberFormat="1" applyFont="1" applyFill="1" applyBorder="1"/>
    <xf numFmtId="44" fontId="0" fillId="49" borderId="7" xfId="1" applyFont="1" applyFill="1" applyBorder="1"/>
    <xf numFmtId="0" fontId="14" fillId="49" borderId="8" xfId="0" applyFont="1" applyFill="1" applyBorder="1"/>
    <xf numFmtId="0" fontId="14" fillId="49" borderId="0" xfId="0" applyFont="1" applyFill="1"/>
    <xf numFmtId="44" fontId="14" fillId="49" borderId="0" xfId="0" applyNumberFormat="1" applyFont="1" applyFill="1"/>
    <xf numFmtId="44" fontId="14" fillId="49" borderId="9" xfId="1" applyFont="1" applyFill="1" applyBorder="1"/>
    <xf numFmtId="0" fontId="16" fillId="49" borderId="10" xfId="0" applyFont="1" applyFill="1" applyBorder="1"/>
    <xf numFmtId="0" fontId="16" fillId="49" borderId="3" xfId="0" applyFont="1" applyFill="1" applyBorder="1"/>
    <xf numFmtId="0" fontId="17" fillId="49" borderId="3" xfId="0" applyFont="1" applyFill="1" applyBorder="1"/>
    <xf numFmtId="44" fontId="16" fillId="49" borderId="11" xfId="1" applyFont="1" applyFill="1" applyBorder="1"/>
    <xf numFmtId="0" fontId="0" fillId="6" borderId="5" xfId="0" applyFill="1" applyBorder="1"/>
    <xf numFmtId="0" fontId="0" fillId="6" borderId="6" xfId="0" applyFill="1" applyBorder="1"/>
    <xf numFmtId="44" fontId="13" fillId="6" borderId="6" xfId="0" applyNumberFormat="1" applyFont="1" applyFill="1" applyBorder="1"/>
    <xf numFmtId="44" fontId="0" fillId="6" borderId="7" xfId="1" applyFont="1" applyFill="1" applyBorder="1"/>
    <xf numFmtId="0" fontId="14" fillId="6" borderId="8" xfId="0" applyFont="1" applyFill="1" applyBorder="1"/>
    <xf numFmtId="0" fontId="14" fillId="6" borderId="0" xfId="0" applyFont="1" applyFill="1"/>
    <xf numFmtId="44" fontId="14" fillId="6" borderId="0" xfId="0" applyNumberFormat="1" applyFont="1" applyFill="1"/>
    <xf numFmtId="44" fontId="14" fillId="6" borderId="9" xfId="1" applyFont="1" applyFill="1" applyBorder="1"/>
    <xf numFmtId="0" fontId="16" fillId="6" borderId="10" xfId="0" applyFont="1" applyFill="1" applyBorder="1"/>
    <xf numFmtId="0" fontId="16" fillId="6" borderId="3" xfId="0" applyFont="1" applyFill="1" applyBorder="1"/>
    <xf numFmtId="0" fontId="17" fillId="6" borderId="3" xfId="0" applyFont="1" applyFill="1" applyBorder="1"/>
    <xf numFmtId="44" fontId="16" fillId="6" borderId="11" xfId="1" applyFont="1" applyFill="1" applyBorder="1"/>
    <xf numFmtId="0" fontId="0" fillId="10" borderId="5" xfId="0" applyFill="1" applyBorder="1"/>
    <xf numFmtId="0" fontId="0" fillId="10" borderId="6" xfId="0" applyFill="1" applyBorder="1"/>
    <xf numFmtId="44" fontId="13" fillId="10" borderId="6" xfId="0" applyNumberFormat="1" applyFont="1" applyFill="1" applyBorder="1"/>
    <xf numFmtId="44" fontId="0" fillId="10" borderId="7" xfId="1" applyFont="1" applyFill="1" applyBorder="1"/>
    <xf numFmtId="0" fontId="14" fillId="10" borderId="8" xfId="0" applyFont="1" applyFill="1" applyBorder="1"/>
    <xf numFmtId="0" fontId="14" fillId="10" borderId="0" xfId="0" applyFont="1" applyFill="1"/>
    <xf numFmtId="44" fontId="14" fillId="10" borderId="0" xfId="0" applyNumberFormat="1" applyFont="1" applyFill="1"/>
    <xf numFmtId="44" fontId="14" fillId="10" borderId="9" xfId="1" applyFont="1" applyFill="1" applyBorder="1"/>
    <xf numFmtId="0" fontId="16" fillId="10" borderId="10" xfId="0" applyFont="1" applyFill="1" applyBorder="1"/>
    <xf numFmtId="0" fontId="16" fillId="10" borderId="3" xfId="0" applyFont="1" applyFill="1" applyBorder="1"/>
    <xf numFmtId="0" fontId="17" fillId="10" borderId="3" xfId="0" applyFont="1" applyFill="1" applyBorder="1"/>
    <xf numFmtId="44" fontId="16" fillId="10" borderId="11" xfId="1" applyFont="1" applyFill="1" applyBorder="1"/>
    <xf numFmtId="0" fontId="0" fillId="0" borderId="13" xfId="0" applyBorder="1" applyAlignment="1">
      <alignment horizontal="center"/>
    </xf>
    <xf numFmtId="0" fontId="16" fillId="0" borderId="3" xfId="0" applyFont="1" applyBorder="1" applyAlignment="1">
      <alignment vertical="center"/>
    </xf>
    <xf numFmtId="0" fontId="16" fillId="0" borderId="0" xfId="0" applyFont="1" applyAlignment="1">
      <alignment vertical="center"/>
    </xf>
    <xf numFmtId="0" fontId="55" fillId="0" borderId="0" xfId="0" applyFont="1" applyAlignment="1">
      <alignment vertical="center"/>
    </xf>
    <xf numFmtId="44" fontId="9" fillId="0" borderId="8" xfId="1" applyFont="1" applyBorder="1" applyAlignment="1" applyProtection="1">
      <alignment horizontal="left" vertical="center"/>
    </xf>
    <xf numFmtId="44" fontId="9" fillId="0" borderId="0" xfId="1" applyFont="1" applyBorder="1" applyAlignment="1" applyProtection="1">
      <alignment horizontal="left" vertical="center"/>
    </xf>
    <xf numFmtId="44" fontId="9" fillId="0" borderId="9" xfId="1" applyFont="1" applyBorder="1" applyAlignment="1" applyProtection="1">
      <alignment horizontal="left" vertical="center"/>
    </xf>
    <xf numFmtId="0" fontId="9" fillId="0" borderId="8" xfId="5" applyFont="1" applyBorder="1" applyAlignment="1" applyProtection="1">
      <alignment horizontal="left" vertical="center"/>
      <protection locked="0"/>
    </xf>
    <xf numFmtId="0" fontId="9" fillId="0" borderId="9" xfId="5" applyFont="1" applyBorder="1" applyAlignment="1" applyProtection="1">
      <alignment horizontal="left" vertical="center"/>
      <protection locked="0"/>
    </xf>
    <xf numFmtId="171" fontId="3" fillId="0" borderId="0" xfId="1" applyNumberFormat="1" applyFont="1" applyAlignment="1" applyProtection="1">
      <alignment horizontal="left" vertical="center"/>
      <protection locked="0"/>
    </xf>
    <xf numFmtId="9" fontId="128" fillId="0" borderId="1" xfId="5" applyNumberFormat="1" applyFont="1" applyBorder="1" applyAlignment="1">
      <alignment horizontal="left" vertical="center" shrinkToFit="1"/>
    </xf>
    <xf numFmtId="9" fontId="128" fillId="0" borderId="2" xfId="5" applyNumberFormat="1" applyFont="1" applyBorder="1" applyAlignment="1">
      <alignment horizontal="left" vertical="center" shrinkToFit="1"/>
    </xf>
    <xf numFmtId="9" fontId="128" fillId="0" borderId="2" xfId="5" applyNumberFormat="1" applyFont="1" applyBorder="1" applyAlignment="1">
      <alignment horizontal="center" vertical="center" shrinkToFit="1"/>
    </xf>
    <xf numFmtId="44" fontId="128" fillId="0" borderId="1" xfId="1" applyFont="1" applyBorder="1" applyAlignment="1">
      <alignment horizontal="center" vertical="center" shrinkToFit="1"/>
    </xf>
    <xf numFmtId="44" fontId="128" fillId="0" borderId="2" xfId="1" applyFont="1" applyBorder="1" applyAlignment="1">
      <alignment horizontal="center" vertical="center" shrinkToFit="1"/>
    </xf>
    <xf numFmtId="44" fontId="128" fillId="0" borderId="4" xfId="1" applyFont="1" applyBorder="1" applyAlignment="1">
      <alignment horizontal="center" vertical="center" shrinkToFit="1"/>
    </xf>
    <xf numFmtId="0" fontId="9" fillId="36" borderId="8" xfId="5" applyFont="1" applyFill="1" applyBorder="1" applyAlignment="1">
      <alignment horizontal="center" vertical="center"/>
    </xf>
    <xf numFmtId="0" fontId="9" fillId="36" borderId="0" xfId="5" applyFont="1" applyFill="1" applyAlignment="1">
      <alignment horizontal="center" vertical="center"/>
    </xf>
    <xf numFmtId="0" fontId="9" fillId="36" borderId="9" xfId="5" applyFont="1" applyFill="1" applyBorder="1" applyAlignment="1">
      <alignment horizontal="center" vertical="center"/>
    </xf>
    <xf numFmtId="0" fontId="9" fillId="0" borderId="0" xfId="5" applyFont="1" applyAlignment="1" applyProtection="1">
      <alignment horizontal="left" vertical="center"/>
      <protection locked="0"/>
    </xf>
    <xf numFmtId="2" fontId="34" fillId="0" borderId="5" xfId="5" applyNumberFormat="1" applyFont="1" applyBorder="1" applyAlignment="1" applyProtection="1">
      <alignment horizontal="center" vertical="center" shrinkToFit="1"/>
      <protection locked="0"/>
    </xf>
    <xf numFmtId="2" fontId="34" fillId="0" borderId="7" xfId="5" applyNumberFormat="1" applyFont="1" applyBorder="1" applyAlignment="1" applyProtection="1">
      <alignment horizontal="center" vertical="center" shrinkToFit="1"/>
      <protection locked="0"/>
    </xf>
    <xf numFmtId="2" fontId="34" fillId="0" borderId="8" xfId="5" applyNumberFormat="1" applyFont="1" applyBorder="1" applyAlignment="1" applyProtection="1">
      <alignment horizontal="center" vertical="center" shrinkToFit="1"/>
      <protection locked="0"/>
    </xf>
    <xf numFmtId="2" fontId="34" fillId="0" borderId="9" xfId="5" applyNumberFormat="1" applyFont="1" applyBorder="1" applyAlignment="1" applyProtection="1">
      <alignment horizontal="center" vertical="center" shrinkToFit="1"/>
      <protection locked="0"/>
    </xf>
    <xf numFmtId="2" fontId="34" fillId="0" borderId="10" xfId="5" applyNumberFormat="1" applyFont="1" applyBorder="1" applyAlignment="1" applyProtection="1">
      <alignment horizontal="center" vertical="center" shrinkToFit="1"/>
      <protection locked="0"/>
    </xf>
    <xf numFmtId="2" fontId="34" fillId="0" borderId="11" xfId="5" applyNumberFormat="1" applyFont="1" applyBorder="1" applyAlignment="1" applyProtection="1">
      <alignment horizontal="center" vertical="center" shrinkToFit="1"/>
      <protection locked="0"/>
    </xf>
    <xf numFmtId="40" fontId="19" fillId="0" borderId="10" xfId="6" applyFont="1" applyFill="1" applyBorder="1" applyAlignment="1" applyProtection="1">
      <alignment horizontal="center" vertical="center" shrinkToFit="1"/>
      <protection locked="0"/>
    </xf>
    <xf numFmtId="40" fontId="19" fillId="0" borderId="3" xfId="6" applyFont="1" applyFill="1" applyBorder="1" applyAlignment="1" applyProtection="1">
      <alignment horizontal="center" vertical="center" shrinkToFit="1"/>
      <protection locked="0"/>
    </xf>
    <xf numFmtId="171" fontId="9" fillId="7" borderId="1" xfId="1" applyNumberFormat="1" applyFont="1" applyFill="1" applyBorder="1" applyAlignment="1" applyProtection="1">
      <alignment horizontal="center" vertical="center" shrinkToFit="1"/>
      <protection locked="0"/>
    </xf>
    <xf numFmtId="171" fontId="9" fillId="7" borderId="2" xfId="1" applyNumberFormat="1" applyFont="1" applyFill="1" applyBorder="1" applyAlignment="1" applyProtection="1">
      <alignment horizontal="center" vertical="center" shrinkToFit="1"/>
      <protection locked="0"/>
    </xf>
    <xf numFmtId="171" fontId="9" fillId="7" borderId="4" xfId="1" applyNumberFormat="1" applyFont="1" applyFill="1" applyBorder="1" applyAlignment="1" applyProtection="1">
      <alignment horizontal="center" vertical="center" shrinkToFit="1"/>
      <protection locked="0"/>
    </xf>
    <xf numFmtId="0" fontId="9" fillId="0" borderId="8" xfId="5" applyFont="1" applyBorder="1" applyAlignment="1">
      <alignment horizontal="left" vertical="center"/>
    </xf>
    <xf numFmtId="0" fontId="9" fillId="0" borderId="0" xfId="5" applyFont="1" applyAlignment="1">
      <alignment horizontal="left" vertical="center"/>
    </xf>
    <xf numFmtId="0" fontId="9" fillId="0" borderId="9" xfId="5" applyFont="1" applyBorder="1" applyAlignment="1">
      <alignment horizontal="left" vertical="center"/>
    </xf>
    <xf numFmtId="0" fontId="9" fillId="0" borderId="10" xfId="5" applyFont="1" applyBorder="1" applyAlignment="1">
      <alignment horizontal="left" vertical="center"/>
    </xf>
    <xf numFmtId="0" fontId="9" fillId="0" borderId="3" xfId="5" applyFont="1" applyBorder="1" applyAlignment="1">
      <alignment horizontal="left" vertical="center"/>
    </xf>
    <xf numFmtId="0" fontId="9" fillId="0" borderId="11" xfId="5" applyFont="1" applyBorder="1" applyAlignment="1">
      <alignment horizontal="left" vertical="center"/>
    </xf>
    <xf numFmtId="38" fontId="100" fillId="2" borderId="1" xfId="6" applyNumberFormat="1" applyFont="1" applyFill="1" applyBorder="1" applyAlignment="1" applyProtection="1">
      <alignment horizontal="center" vertical="center"/>
    </xf>
    <xf numFmtId="38" fontId="100" fillId="2" borderId="4" xfId="6" applyNumberFormat="1" applyFont="1" applyFill="1" applyBorder="1" applyAlignment="1" applyProtection="1">
      <alignment horizontal="center" vertical="center"/>
    </xf>
    <xf numFmtId="171" fontId="90" fillId="2" borderId="1" xfId="1" applyNumberFormat="1" applyFont="1" applyFill="1" applyBorder="1" applyAlignment="1" applyProtection="1">
      <alignment horizontal="center" vertical="center"/>
    </xf>
    <xf numFmtId="171" fontId="90" fillId="2" borderId="2" xfId="1" applyNumberFormat="1" applyFont="1" applyFill="1" applyBorder="1" applyAlignment="1" applyProtection="1">
      <alignment horizontal="center" vertical="center"/>
    </xf>
    <xf numFmtId="171" fontId="90" fillId="2" borderId="4" xfId="1" applyNumberFormat="1" applyFont="1" applyFill="1" applyBorder="1" applyAlignment="1" applyProtection="1">
      <alignment horizontal="center" vertical="center"/>
    </xf>
    <xf numFmtId="38" fontId="9" fillId="7" borderId="8" xfId="6" applyNumberFormat="1" applyFont="1" applyFill="1" applyBorder="1" applyAlignment="1">
      <alignment horizontal="left" vertical="center"/>
    </xf>
    <xf numFmtId="38" fontId="9" fillId="7" borderId="0" xfId="6" applyNumberFormat="1" applyFont="1" applyFill="1" applyBorder="1" applyAlignment="1">
      <alignment horizontal="left" vertical="center"/>
    </xf>
    <xf numFmtId="38" fontId="3" fillId="7" borderId="8" xfId="6" applyNumberFormat="1" applyFont="1" applyFill="1" applyBorder="1" applyAlignment="1">
      <alignment horizontal="center" vertical="center"/>
    </xf>
    <xf numFmtId="38" fontId="3" fillId="7" borderId="0" xfId="6" applyNumberFormat="1" applyFont="1" applyFill="1" applyBorder="1" applyAlignment="1">
      <alignment horizontal="center" vertical="center"/>
    </xf>
    <xf numFmtId="49" fontId="19" fillId="9" borderId="1" xfId="2" applyNumberFormat="1" applyFont="1" applyFill="1" applyBorder="1" applyAlignment="1">
      <alignment horizontal="center" vertical="center"/>
    </xf>
    <xf numFmtId="49" fontId="19" fillId="9" borderId="2" xfId="2" applyNumberFormat="1" applyFont="1" applyFill="1" applyBorder="1" applyAlignment="1">
      <alignment horizontal="center" vertical="center"/>
    </xf>
    <xf numFmtId="49" fontId="19" fillId="9" borderId="4" xfId="2" applyNumberFormat="1" applyFont="1" applyFill="1" applyBorder="1" applyAlignment="1">
      <alignment horizontal="center" vertical="center"/>
    </xf>
    <xf numFmtId="0" fontId="44" fillId="11" borderId="0" xfId="5" applyFont="1" applyFill="1" applyAlignment="1">
      <alignment horizontal="center" vertical="center" wrapText="1"/>
    </xf>
    <xf numFmtId="0" fontId="44" fillId="11" borderId="9" xfId="5" applyFont="1" applyFill="1" applyBorder="1" applyAlignment="1">
      <alignment horizontal="center" vertical="center" wrapText="1"/>
    </xf>
    <xf numFmtId="168" fontId="9" fillId="11" borderId="5" xfId="5" applyNumberFormat="1" applyFont="1" applyFill="1" applyBorder="1" applyAlignment="1">
      <alignment horizontal="center" vertical="center"/>
    </xf>
    <xf numFmtId="168" fontId="9" fillId="11" borderId="7" xfId="5" applyNumberFormat="1" applyFont="1" applyFill="1" applyBorder="1" applyAlignment="1">
      <alignment horizontal="center" vertical="center"/>
    </xf>
    <xf numFmtId="168" fontId="9" fillId="11" borderId="10" xfId="5" applyNumberFormat="1" applyFont="1" applyFill="1" applyBorder="1" applyAlignment="1">
      <alignment horizontal="center" vertical="center"/>
    </xf>
    <xf numFmtId="168" fontId="9" fillId="11" borderId="11" xfId="5" applyNumberFormat="1" applyFont="1" applyFill="1" applyBorder="1" applyAlignment="1">
      <alignment horizontal="center" vertical="center"/>
    </xf>
    <xf numFmtId="9" fontId="40" fillId="10" borderId="1" xfId="5" applyNumberFormat="1" applyFont="1" applyFill="1" applyBorder="1" applyAlignment="1" applyProtection="1">
      <alignment horizontal="center" vertical="center" shrinkToFit="1"/>
      <protection locked="0"/>
    </xf>
    <xf numFmtId="9" fontId="40" fillId="10" borderId="2" xfId="5" applyNumberFormat="1" applyFont="1" applyFill="1" applyBorder="1" applyAlignment="1" applyProtection="1">
      <alignment horizontal="center" vertical="center" shrinkToFit="1"/>
      <protection locked="0"/>
    </xf>
    <xf numFmtId="9" fontId="40" fillId="10" borderId="4" xfId="5" applyNumberFormat="1" applyFont="1" applyFill="1" applyBorder="1" applyAlignment="1" applyProtection="1">
      <alignment horizontal="center" vertical="center" shrinkToFit="1"/>
      <protection locked="0"/>
    </xf>
    <xf numFmtId="44" fontId="10" fillId="11" borderId="10" xfId="1" applyFont="1" applyFill="1" applyBorder="1" applyAlignment="1" applyProtection="1">
      <alignment horizontal="center" vertical="center"/>
    </xf>
    <xf numFmtId="44" fontId="10" fillId="11" borderId="3" xfId="1" applyFont="1" applyFill="1" applyBorder="1" applyAlignment="1" applyProtection="1">
      <alignment horizontal="center" vertical="center"/>
    </xf>
    <xf numFmtId="49" fontId="19" fillId="0" borderId="5" xfId="5" applyNumberFormat="1" applyFont="1" applyBorder="1" applyAlignment="1" applyProtection="1">
      <alignment horizontal="center" vertical="center" wrapText="1"/>
      <protection locked="0"/>
    </xf>
    <xf numFmtId="49" fontId="19" fillId="0" borderId="6" xfId="5" applyNumberFormat="1" applyFont="1" applyBorder="1" applyAlignment="1" applyProtection="1">
      <alignment horizontal="center" vertical="center" wrapText="1"/>
      <protection locked="0"/>
    </xf>
    <xf numFmtId="49" fontId="19" fillId="0" borderId="7" xfId="5" applyNumberFormat="1" applyFont="1" applyBorder="1" applyAlignment="1" applyProtection="1">
      <alignment horizontal="center" vertical="center" wrapText="1"/>
      <protection locked="0"/>
    </xf>
    <xf numFmtId="49" fontId="19" fillId="0" borderId="8" xfId="5" applyNumberFormat="1" applyFont="1" applyBorder="1" applyAlignment="1" applyProtection="1">
      <alignment horizontal="center" vertical="center" wrapText="1"/>
      <protection locked="0"/>
    </xf>
    <xf numFmtId="49" fontId="19" fillId="0" borderId="0" xfId="5" applyNumberFormat="1" applyFont="1" applyAlignment="1" applyProtection="1">
      <alignment horizontal="center" vertical="center" wrapText="1"/>
      <protection locked="0"/>
    </xf>
    <xf numFmtId="49" fontId="19" fillId="0" borderId="9" xfId="5" applyNumberFormat="1" applyFont="1" applyBorder="1" applyAlignment="1" applyProtection="1">
      <alignment horizontal="center" vertical="center" wrapText="1"/>
      <protection locked="0"/>
    </xf>
    <xf numFmtId="49" fontId="19" fillId="0" borderId="10" xfId="5" applyNumberFormat="1" applyFont="1" applyBorder="1" applyAlignment="1" applyProtection="1">
      <alignment horizontal="center" vertical="center" wrapText="1"/>
      <protection locked="0"/>
    </xf>
    <xf numFmtId="49" fontId="19" fillId="0" borderId="3" xfId="5" applyNumberFormat="1" applyFont="1" applyBorder="1" applyAlignment="1" applyProtection="1">
      <alignment horizontal="center" vertical="center" wrapText="1"/>
      <protection locked="0"/>
    </xf>
    <xf numFmtId="49" fontId="19" fillId="0" borderId="11" xfId="5" applyNumberFormat="1" applyFont="1" applyBorder="1" applyAlignment="1" applyProtection="1">
      <alignment horizontal="center" vertical="center" wrapText="1"/>
      <protection locked="0"/>
    </xf>
    <xf numFmtId="168" fontId="9" fillId="11" borderId="8" xfId="5" applyNumberFormat="1" applyFont="1" applyFill="1" applyBorder="1" applyAlignment="1">
      <alignment horizontal="center" vertical="center"/>
    </xf>
    <xf numFmtId="168" fontId="9" fillId="11" borderId="0" xfId="5" applyNumberFormat="1" applyFont="1" applyFill="1" applyAlignment="1">
      <alignment horizontal="center" vertical="center"/>
    </xf>
    <xf numFmtId="168" fontId="9" fillId="11" borderId="3" xfId="5" applyNumberFormat="1" applyFont="1" applyFill="1" applyBorder="1" applyAlignment="1">
      <alignment horizontal="center" vertical="center"/>
    </xf>
    <xf numFmtId="9" fontId="18" fillId="0" borderId="8" xfId="5" applyNumberFormat="1" applyFont="1" applyBorder="1" applyAlignment="1">
      <alignment horizontal="left" vertical="center" shrinkToFit="1"/>
    </xf>
    <xf numFmtId="9" fontId="18" fillId="0" borderId="0" xfId="5" applyNumberFormat="1" applyFont="1" applyAlignment="1">
      <alignment horizontal="left" vertical="center" shrinkToFit="1"/>
    </xf>
    <xf numFmtId="9" fontId="18" fillId="0" borderId="9" xfId="5" applyNumberFormat="1" applyFont="1" applyBorder="1" applyAlignment="1">
      <alignment horizontal="left" vertical="center" shrinkToFit="1"/>
    </xf>
    <xf numFmtId="0" fontId="9" fillId="36" borderId="5" xfId="5" applyFont="1" applyFill="1" applyBorder="1" applyAlignment="1">
      <alignment horizontal="center" vertical="center"/>
    </xf>
    <xf numFmtId="0" fontId="9" fillId="36" borderId="6" xfId="5" applyFont="1" applyFill="1" applyBorder="1" applyAlignment="1">
      <alignment horizontal="center" vertical="center"/>
    </xf>
    <xf numFmtId="0" fontId="9" fillId="36" borderId="7" xfId="5" applyFont="1" applyFill="1" applyBorder="1" applyAlignment="1">
      <alignment horizontal="center" vertical="center"/>
    </xf>
    <xf numFmtId="0" fontId="9" fillId="12" borderId="44" xfId="5" applyFont="1" applyFill="1" applyBorder="1" applyAlignment="1" applyProtection="1">
      <alignment horizontal="center" vertical="center"/>
      <protection locked="0"/>
    </xf>
    <xf numFmtId="0" fontId="9" fillId="12" borderId="45" xfId="5" applyFont="1" applyFill="1" applyBorder="1" applyAlignment="1" applyProtection="1">
      <alignment horizontal="center" vertical="center"/>
      <protection locked="0"/>
    </xf>
    <xf numFmtId="0" fontId="78" fillId="28" borderId="7" xfId="5" applyFont="1" applyFill="1" applyBorder="1" applyAlignment="1">
      <alignment horizontal="center" vertical="center"/>
    </xf>
    <xf numFmtId="0" fontId="78" fillId="28" borderId="0" xfId="5" applyFont="1" applyFill="1" applyAlignment="1">
      <alignment horizontal="center" vertical="center"/>
    </xf>
    <xf numFmtId="0" fontId="78" fillId="28" borderId="9" xfId="5" applyFont="1" applyFill="1" applyBorder="1" applyAlignment="1">
      <alignment horizontal="center" vertical="center"/>
    </xf>
    <xf numFmtId="0" fontId="19" fillId="0" borderId="5" xfId="5" applyFont="1" applyBorder="1" applyAlignment="1" applyProtection="1">
      <alignment horizontal="center" vertical="center"/>
      <protection locked="0"/>
    </xf>
    <xf numFmtId="0" fontId="19" fillId="0" borderId="6" xfId="5" applyFont="1" applyBorder="1" applyAlignment="1" applyProtection="1">
      <alignment horizontal="center" vertical="center"/>
      <protection locked="0"/>
    </xf>
    <xf numFmtId="0" fontId="19" fillId="0" borderId="7" xfId="5" applyFont="1" applyBorder="1" applyAlignment="1" applyProtection="1">
      <alignment horizontal="center" vertical="center"/>
      <protection locked="0"/>
    </xf>
    <xf numFmtId="0" fontId="11" fillId="35" borderId="7" xfId="5" applyFont="1" applyFill="1" applyBorder="1" applyAlignment="1">
      <alignment horizontal="center" vertical="center" wrapText="1"/>
    </xf>
    <xf numFmtId="0" fontId="19" fillId="35" borderId="9" xfId="5" applyFont="1" applyFill="1" applyBorder="1" applyAlignment="1">
      <alignment horizontal="center" vertical="center" wrapText="1"/>
    </xf>
    <xf numFmtId="0" fontId="9" fillId="15" borderId="13" xfId="5" applyFont="1" applyFill="1" applyBorder="1" applyAlignment="1">
      <alignment horizontal="center" vertical="center"/>
    </xf>
    <xf numFmtId="0" fontId="9" fillId="15" borderId="1" xfId="5" applyFont="1" applyFill="1" applyBorder="1" applyAlignment="1">
      <alignment horizontal="center" vertical="center"/>
    </xf>
    <xf numFmtId="0" fontId="9" fillId="8" borderId="8" xfId="5" applyFont="1" applyFill="1" applyBorder="1" applyAlignment="1" applyProtection="1">
      <alignment horizontal="left" vertical="center"/>
      <protection locked="0"/>
    </xf>
    <xf numFmtId="0" fontId="9" fillId="8" borderId="0" xfId="5" applyFont="1" applyFill="1" applyAlignment="1" applyProtection="1">
      <alignment horizontal="left" vertical="center"/>
      <protection locked="0"/>
    </xf>
    <xf numFmtId="0" fontId="9" fillId="8" borderId="9" xfId="5" applyFont="1" applyFill="1" applyBorder="1" applyAlignment="1" applyProtection="1">
      <alignment horizontal="left" vertical="center"/>
      <protection locked="0"/>
    </xf>
    <xf numFmtId="168" fontId="47" fillId="9" borderId="5" xfId="5" applyNumberFormat="1" applyFont="1" applyFill="1" applyBorder="1" applyAlignment="1">
      <alignment horizontal="center" vertical="center" wrapText="1"/>
    </xf>
    <xf numFmtId="168" fontId="47" fillId="9" borderId="6" xfId="5" applyNumberFormat="1" applyFont="1" applyFill="1" applyBorder="1" applyAlignment="1">
      <alignment horizontal="center" vertical="center" wrapText="1"/>
    </xf>
    <xf numFmtId="168" fontId="47" fillId="9" borderId="8" xfId="5" applyNumberFormat="1" applyFont="1" applyFill="1" applyBorder="1" applyAlignment="1">
      <alignment horizontal="center" vertical="center" wrapText="1"/>
    </xf>
    <xf numFmtId="168" fontId="47" fillId="9" borderId="0" xfId="5" applyNumberFormat="1" applyFont="1" applyFill="1" applyAlignment="1">
      <alignment horizontal="center" vertical="center" wrapText="1"/>
    </xf>
    <xf numFmtId="168" fontId="47" fillId="9" borderId="10" xfId="5" applyNumberFormat="1" applyFont="1" applyFill="1" applyBorder="1" applyAlignment="1">
      <alignment horizontal="center" vertical="center" wrapText="1"/>
    </xf>
    <xf numFmtId="168" fontId="47" fillId="9" borderId="3" xfId="5" applyNumberFormat="1" applyFont="1" applyFill="1" applyBorder="1" applyAlignment="1">
      <alignment horizontal="center" vertical="center" wrapText="1"/>
    </xf>
    <xf numFmtId="44" fontId="1" fillId="0" borderId="0" xfId="1" applyFont="1" applyAlignment="1" applyProtection="1">
      <alignment horizontal="center" vertical="center"/>
      <protection locked="0"/>
    </xf>
    <xf numFmtId="0" fontId="8" fillId="9" borderId="1" xfId="5" applyFont="1" applyFill="1" applyBorder="1" applyAlignment="1" applyProtection="1">
      <alignment horizontal="center" vertical="center"/>
      <protection locked="0"/>
    </xf>
    <xf numFmtId="0" fontId="8" fillId="9" borderId="2" xfId="5" applyFont="1" applyFill="1" applyBorder="1" applyAlignment="1" applyProtection="1">
      <alignment horizontal="center" vertical="center"/>
      <protection locked="0"/>
    </xf>
    <xf numFmtId="0" fontId="8" fillId="9" borderId="4" xfId="5" applyFont="1" applyFill="1" applyBorder="1" applyAlignment="1" applyProtection="1">
      <alignment horizontal="center" vertical="center"/>
      <protection locked="0"/>
    </xf>
    <xf numFmtId="0" fontId="27" fillId="0" borderId="1" xfId="5" applyFont="1" applyBorder="1" applyAlignment="1" applyProtection="1">
      <alignment horizontal="center" vertical="center"/>
      <protection locked="0"/>
    </xf>
    <xf numFmtId="0" fontId="27" fillId="0" borderId="2" xfId="5" applyFont="1" applyBorder="1" applyAlignment="1" applyProtection="1">
      <alignment horizontal="center" vertical="center"/>
      <protection locked="0"/>
    </xf>
    <xf numFmtId="0" fontId="27" fillId="0" borderId="4" xfId="5" applyFont="1" applyBorder="1" applyAlignment="1" applyProtection="1">
      <alignment horizontal="center" vertical="center"/>
      <protection locked="0"/>
    </xf>
    <xf numFmtId="0" fontId="77" fillId="12" borderId="1" xfId="5" applyFont="1" applyFill="1" applyBorder="1" applyAlignment="1">
      <alignment horizontal="center" vertical="center"/>
    </xf>
    <xf numFmtId="0" fontId="77" fillId="12" borderId="2" xfId="5" applyFont="1" applyFill="1" applyBorder="1" applyAlignment="1">
      <alignment horizontal="center" vertical="center"/>
    </xf>
    <xf numFmtId="0" fontId="77" fillId="12" borderId="4" xfId="5" applyFont="1" applyFill="1" applyBorder="1" applyAlignment="1">
      <alignment horizontal="center" vertical="center"/>
    </xf>
    <xf numFmtId="0" fontId="8" fillId="0" borderId="3" xfId="5" applyFont="1" applyBorder="1" applyAlignment="1">
      <alignment horizontal="left" vertical="center"/>
    </xf>
    <xf numFmtId="0" fontId="8" fillId="0" borderId="0" xfId="5" applyFont="1" applyAlignment="1">
      <alignment horizontal="left" vertical="center"/>
    </xf>
    <xf numFmtId="0" fontId="8" fillId="0" borderId="9" xfId="5" applyFont="1" applyBorder="1" applyAlignment="1">
      <alignment horizontal="left" vertical="center"/>
    </xf>
    <xf numFmtId="0" fontId="9" fillId="28" borderId="5" xfId="5" applyFont="1" applyFill="1" applyBorder="1" applyAlignment="1" applyProtection="1">
      <alignment horizontal="center" vertical="center"/>
      <protection locked="0"/>
    </xf>
    <xf numFmtId="0" fontId="9" fillId="28" borderId="6" xfId="5" applyFont="1" applyFill="1" applyBorder="1" applyAlignment="1" applyProtection="1">
      <alignment horizontal="center" vertical="center"/>
      <protection locked="0"/>
    </xf>
    <xf numFmtId="0" fontId="9" fillId="28" borderId="7" xfId="5" applyFont="1" applyFill="1" applyBorder="1" applyAlignment="1" applyProtection="1">
      <alignment horizontal="center" vertical="center"/>
      <protection locked="0"/>
    </xf>
    <xf numFmtId="0" fontId="9" fillId="28" borderId="8" xfId="5" applyFont="1" applyFill="1" applyBorder="1" applyAlignment="1" applyProtection="1">
      <alignment horizontal="center" vertical="center"/>
      <protection locked="0"/>
    </xf>
    <xf numFmtId="0" fontId="9" fillId="28" borderId="0" xfId="5" applyFont="1" applyFill="1" applyAlignment="1" applyProtection="1">
      <alignment horizontal="center" vertical="center"/>
      <protection locked="0"/>
    </xf>
    <xf numFmtId="0" fontId="9" fillId="28" borderId="9" xfId="5" applyFont="1" applyFill="1" applyBorder="1" applyAlignment="1" applyProtection="1">
      <alignment horizontal="center" vertical="center"/>
      <protection locked="0"/>
    </xf>
    <xf numFmtId="0" fontId="9" fillId="28" borderId="10" xfId="5" applyFont="1" applyFill="1" applyBorder="1" applyAlignment="1" applyProtection="1">
      <alignment horizontal="center" vertical="center"/>
      <protection locked="0"/>
    </xf>
    <xf numFmtId="0" fontId="9" fillId="28" borderId="3" xfId="5" applyFont="1" applyFill="1" applyBorder="1" applyAlignment="1" applyProtection="1">
      <alignment horizontal="center" vertical="center"/>
      <protection locked="0"/>
    </xf>
    <xf numFmtId="0" fontId="9" fillId="28" borderId="11" xfId="5" applyFont="1" applyFill="1" applyBorder="1" applyAlignment="1" applyProtection="1">
      <alignment horizontal="center" vertical="center"/>
      <protection locked="0"/>
    </xf>
    <xf numFmtId="0" fontId="77" fillId="12" borderId="13" xfId="5" applyFont="1" applyFill="1" applyBorder="1" applyAlignment="1">
      <alignment horizontal="center" vertical="center"/>
    </xf>
    <xf numFmtId="0" fontId="77" fillId="28" borderId="0" xfId="5" applyFont="1" applyFill="1" applyAlignment="1">
      <alignment horizontal="center" vertical="center"/>
    </xf>
    <xf numFmtId="9" fontId="9" fillId="10" borderId="8" xfId="5" applyNumberFormat="1" applyFont="1" applyFill="1" applyBorder="1" applyAlignment="1" applyProtection="1">
      <alignment horizontal="center" vertical="center"/>
      <protection locked="0"/>
    </xf>
    <xf numFmtId="9" fontId="9" fillId="10" borderId="0" xfId="5" applyNumberFormat="1" applyFont="1" applyFill="1" applyAlignment="1" applyProtection="1">
      <alignment horizontal="center" vertical="center"/>
      <protection locked="0"/>
    </xf>
    <xf numFmtId="9" fontId="9" fillId="10" borderId="9" xfId="5" applyNumberFormat="1" applyFont="1" applyFill="1" applyBorder="1" applyAlignment="1" applyProtection="1">
      <alignment horizontal="center" vertical="center"/>
      <protection locked="0"/>
    </xf>
    <xf numFmtId="0" fontId="78" fillId="28" borderId="49" xfId="5" applyFont="1" applyFill="1" applyBorder="1" applyAlignment="1">
      <alignment horizontal="center" vertical="center"/>
    </xf>
    <xf numFmtId="0" fontId="19" fillId="0" borderId="2" xfId="5" applyFont="1" applyBorder="1" applyAlignment="1" applyProtection="1">
      <alignment horizontal="center" vertical="center"/>
      <protection locked="0"/>
    </xf>
    <xf numFmtId="0" fontId="19" fillId="0" borderId="4" xfId="5" applyFont="1" applyBorder="1" applyAlignment="1" applyProtection="1">
      <alignment horizontal="center" vertical="center"/>
      <protection locked="0"/>
    </xf>
    <xf numFmtId="0" fontId="9" fillId="12" borderId="58" xfId="5" applyFont="1" applyFill="1" applyBorder="1" applyAlignment="1" applyProtection="1">
      <alignment horizontal="center" vertical="center"/>
      <protection locked="0"/>
    </xf>
    <xf numFmtId="0" fontId="9" fillId="12" borderId="0" xfId="5" applyFont="1" applyFill="1" applyAlignment="1" applyProtection="1">
      <alignment horizontal="center" vertical="center"/>
      <protection locked="0"/>
    </xf>
    <xf numFmtId="0" fontId="9" fillId="12" borderId="50" xfId="5" applyFont="1" applyFill="1" applyBorder="1" applyAlignment="1" applyProtection="1">
      <alignment horizontal="center" vertical="center"/>
      <protection locked="0"/>
    </xf>
    <xf numFmtId="44" fontId="10" fillId="11" borderId="1" xfId="1" applyFont="1" applyFill="1" applyBorder="1" applyAlignment="1">
      <alignment horizontal="center" vertical="center"/>
    </xf>
    <xf numFmtId="44" fontId="10" fillId="11" borderId="4" xfId="1" applyFont="1" applyFill="1" applyBorder="1" applyAlignment="1">
      <alignment horizontal="center" vertical="center"/>
    </xf>
    <xf numFmtId="0" fontId="19" fillId="0" borderId="1" xfId="5" applyFont="1" applyBorder="1" applyAlignment="1" applyProtection="1">
      <alignment horizontal="center" vertical="center"/>
      <protection locked="0"/>
    </xf>
    <xf numFmtId="175" fontId="9" fillId="0" borderId="9" xfId="9" applyNumberFormat="1" applyFont="1" applyBorder="1" applyAlignment="1" applyProtection="1">
      <alignment horizontal="center" vertical="center"/>
      <protection locked="0"/>
    </xf>
    <xf numFmtId="175" fontId="9" fillId="0" borderId="11" xfId="9" applyNumberFormat="1" applyFont="1" applyBorder="1" applyAlignment="1" applyProtection="1">
      <alignment horizontal="center" vertical="center"/>
      <protection locked="0"/>
    </xf>
    <xf numFmtId="1" fontId="18" fillId="7" borderId="22" xfId="5" applyNumberFormat="1" applyFont="1" applyFill="1" applyBorder="1" applyAlignment="1" applyProtection="1">
      <alignment horizontal="center" vertical="center"/>
      <protection locked="0"/>
    </xf>
    <xf numFmtId="1" fontId="18" fillId="7" borderId="12" xfId="5" applyNumberFormat="1" applyFont="1" applyFill="1" applyBorder="1" applyAlignment="1" applyProtection="1">
      <alignment horizontal="center" vertical="center"/>
      <protection locked="0"/>
    </xf>
    <xf numFmtId="0" fontId="9" fillId="12" borderId="13" xfId="5" applyFont="1" applyFill="1" applyBorder="1" applyAlignment="1">
      <alignment horizontal="center" vertical="center"/>
    </xf>
    <xf numFmtId="0" fontId="9" fillId="12" borderId="1" xfId="5" applyFont="1" applyFill="1" applyBorder="1" applyAlignment="1">
      <alignment horizontal="center" vertical="center"/>
    </xf>
    <xf numFmtId="9" fontId="40" fillId="10" borderId="8" xfId="5" applyNumberFormat="1" applyFont="1" applyFill="1" applyBorder="1" applyAlignment="1" applyProtection="1">
      <alignment horizontal="center" vertical="center" shrinkToFit="1"/>
      <protection locked="0"/>
    </xf>
    <xf numFmtId="9" fontId="40" fillId="10" borderId="0" xfId="5" applyNumberFormat="1" applyFont="1" applyFill="1" applyAlignment="1" applyProtection="1">
      <alignment horizontal="center" vertical="center" shrinkToFit="1"/>
      <protection locked="0"/>
    </xf>
    <xf numFmtId="9" fontId="40" fillId="10" borderId="9" xfId="5" applyNumberFormat="1" applyFont="1" applyFill="1" applyBorder="1" applyAlignment="1" applyProtection="1">
      <alignment horizontal="center" vertical="center" shrinkToFit="1"/>
      <protection locked="0"/>
    </xf>
    <xf numFmtId="0" fontId="9" fillId="11" borderId="5" xfId="5" applyFont="1" applyFill="1" applyBorder="1" applyAlignment="1" applyProtection="1">
      <alignment horizontal="center" vertical="center"/>
      <protection locked="0"/>
    </xf>
    <xf numFmtId="0" fontId="9" fillId="11" borderId="6" xfId="5" applyFont="1" applyFill="1" applyBorder="1" applyAlignment="1" applyProtection="1">
      <alignment horizontal="center" vertical="center"/>
      <protection locked="0"/>
    </xf>
    <xf numFmtId="0" fontId="9" fillId="11" borderId="7" xfId="5" applyFont="1" applyFill="1" applyBorder="1" applyAlignment="1" applyProtection="1">
      <alignment horizontal="center" vertical="center"/>
      <protection locked="0"/>
    </xf>
    <xf numFmtId="0" fontId="9" fillId="11" borderId="8" xfId="5" applyFont="1" applyFill="1" applyBorder="1" applyAlignment="1" applyProtection="1">
      <alignment horizontal="center" vertical="center"/>
      <protection locked="0"/>
    </xf>
    <xf numFmtId="0" fontId="9" fillId="11" borderId="0" xfId="5" applyFont="1" applyFill="1" applyAlignment="1" applyProtection="1">
      <alignment horizontal="center" vertical="center"/>
      <protection locked="0"/>
    </xf>
    <xf numFmtId="0" fontId="9" fillId="11" borderId="9" xfId="5" applyFont="1" applyFill="1" applyBorder="1" applyAlignment="1" applyProtection="1">
      <alignment horizontal="center" vertical="center"/>
      <protection locked="0"/>
    </xf>
    <xf numFmtId="0" fontId="9" fillId="11" borderId="10" xfId="5" applyFont="1" applyFill="1" applyBorder="1" applyAlignment="1" applyProtection="1">
      <alignment horizontal="center" vertical="center"/>
      <protection locked="0"/>
    </xf>
    <xf numFmtId="0" fontId="9" fillId="11" borderId="3" xfId="5" applyFont="1" applyFill="1" applyBorder="1" applyAlignment="1" applyProtection="1">
      <alignment horizontal="center" vertical="center"/>
      <protection locked="0"/>
    </xf>
    <xf numFmtId="0" fontId="9" fillId="11" borderId="11" xfId="5" applyFont="1" applyFill="1" applyBorder="1" applyAlignment="1" applyProtection="1">
      <alignment horizontal="center" vertical="center"/>
      <protection locked="0"/>
    </xf>
    <xf numFmtId="0" fontId="9" fillId="12" borderId="13" xfId="5" applyFont="1" applyFill="1" applyBorder="1" applyAlignment="1" applyProtection="1">
      <alignment horizontal="center" vertical="center"/>
      <protection locked="0"/>
    </xf>
    <xf numFmtId="0" fontId="8" fillId="0" borderId="1" xfId="5" applyFont="1" applyBorder="1" applyAlignment="1">
      <alignment horizontal="center" vertical="center"/>
    </xf>
    <xf numFmtId="0" fontId="8" fillId="0" borderId="2" xfId="5" applyFont="1" applyBorder="1" applyAlignment="1">
      <alignment horizontal="center" vertical="center"/>
    </xf>
    <xf numFmtId="0" fontId="127" fillId="11" borderId="22" xfId="5" applyFont="1" applyFill="1" applyBorder="1" applyAlignment="1">
      <alignment horizontal="center" vertical="center" wrapText="1"/>
    </xf>
    <xf numFmtId="0" fontId="127" fillId="11" borderId="14" xfId="5" applyFont="1" applyFill="1" applyBorder="1" applyAlignment="1">
      <alignment horizontal="center" vertical="center" wrapText="1"/>
    </xf>
    <xf numFmtId="0" fontId="127" fillId="11" borderId="12" xfId="5" applyFont="1" applyFill="1" applyBorder="1" applyAlignment="1">
      <alignment horizontal="center" vertical="center" wrapText="1"/>
    </xf>
    <xf numFmtId="0" fontId="43" fillId="11" borderId="6" xfId="5" applyFont="1" applyFill="1" applyBorder="1" applyAlignment="1">
      <alignment horizontal="center" vertical="center" wrapText="1"/>
    </xf>
    <xf numFmtId="0" fontId="43" fillId="11" borderId="7" xfId="5" applyFont="1" applyFill="1" applyBorder="1" applyAlignment="1">
      <alignment horizontal="center" vertical="center" wrapText="1"/>
    </xf>
    <xf numFmtId="0" fontId="43" fillId="11" borderId="0" xfId="5" applyFont="1" applyFill="1" applyAlignment="1">
      <alignment horizontal="center" vertical="center" wrapText="1"/>
    </xf>
    <xf numFmtId="0" fontId="43" fillId="11" borderId="9" xfId="5" applyFont="1" applyFill="1" applyBorder="1" applyAlignment="1">
      <alignment horizontal="center" vertical="center" wrapText="1"/>
    </xf>
    <xf numFmtId="0" fontId="43" fillId="11" borderId="3" xfId="5" applyFont="1" applyFill="1" applyBorder="1" applyAlignment="1">
      <alignment horizontal="center" vertical="center" wrapText="1"/>
    </xf>
    <xf numFmtId="0" fontId="43" fillId="11" borderId="11" xfId="5" applyFont="1" applyFill="1" applyBorder="1" applyAlignment="1">
      <alignment horizontal="center" vertical="center" wrapText="1"/>
    </xf>
    <xf numFmtId="9" fontId="42" fillId="0" borderId="5" xfId="7" applyFont="1" applyFill="1" applyBorder="1" applyAlignment="1">
      <alignment horizontal="center" vertical="center"/>
    </xf>
    <xf numFmtId="9" fontId="42" fillId="0" borderId="7" xfId="7" applyFont="1" applyFill="1" applyBorder="1" applyAlignment="1">
      <alignment horizontal="center" vertical="center"/>
    </xf>
    <xf numFmtId="9" fontId="42" fillId="0" borderId="8" xfId="7" applyFont="1" applyFill="1" applyBorder="1" applyAlignment="1">
      <alignment horizontal="center" vertical="center"/>
    </xf>
    <xf numFmtId="9" fontId="42" fillId="0" borderId="9" xfId="7" applyFont="1" applyFill="1" applyBorder="1" applyAlignment="1">
      <alignment horizontal="center" vertical="center"/>
    </xf>
    <xf numFmtId="9" fontId="42" fillId="0" borderId="10" xfId="7" applyFont="1" applyFill="1" applyBorder="1" applyAlignment="1">
      <alignment horizontal="center" vertical="center"/>
    </xf>
    <xf numFmtId="9" fontId="42" fillId="0" borderId="11" xfId="7" applyFont="1" applyFill="1" applyBorder="1" applyAlignment="1">
      <alignment horizontal="center" vertical="center"/>
    </xf>
    <xf numFmtId="0" fontId="8" fillId="0" borderId="2" xfId="5" applyFont="1" applyBorder="1" applyAlignment="1" applyProtection="1">
      <alignment horizontal="left" vertical="center"/>
      <protection locked="0"/>
    </xf>
    <xf numFmtId="0" fontId="8" fillId="0" borderId="4" xfId="5" applyFont="1" applyBorder="1" applyAlignment="1" applyProtection="1">
      <alignment horizontal="left" vertical="center"/>
      <protection locked="0"/>
    </xf>
    <xf numFmtId="0" fontId="9" fillId="0" borderId="1" xfId="5" applyFont="1" applyBorder="1" applyAlignment="1" applyProtection="1">
      <alignment horizontal="center" vertical="center"/>
      <protection locked="0"/>
    </xf>
    <xf numFmtId="0" fontId="9" fillId="0" borderId="2" xfId="5" applyFont="1" applyBorder="1" applyAlignment="1" applyProtection="1">
      <alignment horizontal="center" vertical="center"/>
      <protection locked="0"/>
    </xf>
    <xf numFmtId="38" fontId="66" fillId="0" borderId="5" xfId="6" applyNumberFormat="1" applyFont="1" applyFill="1" applyBorder="1" applyAlignment="1" applyProtection="1">
      <alignment horizontal="center" vertical="center" textRotation="90"/>
    </xf>
    <xf numFmtId="38" fontId="66" fillId="0" borderId="7" xfId="6" applyNumberFormat="1" applyFont="1" applyFill="1" applyBorder="1" applyAlignment="1" applyProtection="1">
      <alignment horizontal="center" vertical="center" textRotation="90"/>
    </xf>
    <xf numFmtId="38" fontId="66" fillId="0" borderId="8" xfId="6" applyNumberFormat="1" applyFont="1" applyFill="1" applyBorder="1" applyAlignment="1" applyProtection="1">
      <alignment horizontal="center" vertical="center" textRotation="90"/>
    </xf>
    <xf numFmtId="38" fontId="66" fillId="0" borderId="9" xfId="6" applyNumberFormat="1" applyFont="1" applyFill="1" applyBorder="1" applyAlignment="1" applyProtection="1">
      <alignment horizontal="center" vertical="center" textRotation="90"/>
    </xf>
    <xf numFmtId="38" fontId="66" fillId="0" borderId="10" xfId="6" applyNumberFormat="1" applyFont="1" applyFill="1" applyBorder="1" applyAlignment="1" applyProtection="1">
      <alignment horizontal="center" vertical="center" textRotation="90"/>
    </xf>
    <xf numFmtId="38" fontId="66" fillId="0" borderId="11" xfId="6" applyNumberFormat="1" applyFont="1" applyFill="1" applyBorder="1" applyAlignment="1" applyProtection="1">
      <alignment horizontal="center" vertical="center" textRotation="90"/>
    </xf>
    <xf numFmtId="0" fontId="43" fillId="11" borderId="22" xfId="5" applyFont="1" applyFill="1" applyBorder="1" applyAlignment="1" applyProtection="1">
      <alignment horizontal="center" vertical="center" wrapText="1"/>
      <protection locked="0"/>
    </xf>
    <xf numFmtId="0" fontId="43" fillId="11" borderId="14" xfId="5" applyFont="1" applyFill="1" applyBorder="1" applyAlignment="1" applyProtection="1">
      <alignment horizontal="center" vertical="center" wrapText="1"/>
      <protection locked="0"/>
    </xf>
    <xf numFmtId="0" fontId="43" fillId="11" borderId="12" xfId="5" applyFont="1" applyFill="1" applyBorder="1" applyAlignment="1" applyProtection="1">
      <alignment horizontal="center" vertical="center" wrapText="1"/>
      <protection locked="0"/>
    </xf>
    <xf numFmtId="0" fontId="77" fillId="12" borderId="3" xfId="5" applyFont="1" applyFill="1" applyBorder="1" applyAlignment="1">
      <alignment horizontal="center" vertical="center"/>
    </xf>
    <xf numFmtId="0" fontId="77" fillId="12" borderId="0" xfId="5" applyFont="1" applyFill="1" applyAlignment="1">
      <alignment horizontal="center" vertical="center"/>
    </xf>
    <xf numFmtId="44" fontId="10" fillId="11" borderId="2" xfId="1" applyFont="1" applyFill="1" applyBorder="1" applyAlignment="1">
      <alignment horizontal="center" vertical="center"/>
    </xf>
    <xf numFmtId="0" fontId="9" fillId="10" borderId="0" xfId="5" applyFont="1" applyFill="1" applyAlignment="1" applyProtection="1">
      <alignment horizontal="center" vertical="center"/>
      <protection locked="0"/>
    </xf>
    <xf numFmtId="0" fontId="9" fillId="10" borderId="9" xfId="5" applyFont="1" applyFill="1" applyBorder="1" applyAlignment="1" applyProtection="1">
      <alignment horizontal="center" vertical="center"/>
      <protection locked="0"/>
    </xf>
    <xf numFmtId="0" fontId="19" fillId="0" borderId="0" xfId="5" applyFont="1" applyAlignment="1" applyProtection="1">
      <alignment horizontal="center" vertical="center" wrapText="1"/>
      <protection locked="0"/>
    </xf>
    <xf numFmtId="0" fontId="19" fillId="0" borderId="8" xfId="5" applyFont="1" applyBorder="1" applyAlignment="1" applyProtection="1">
      <alignment horizontal="center" vertical="center" wrapText="1"/>
      <protection locked="0"/>
    </xf>
    <xf numFmtId="0" fontId="19" fillId="0" borderId="10" xfId="5" applyFont="1" applyBorder="1" applyAlignment="1" applyProtection="1">
      <alignment horizontal="center" vertical="center" wrapText="1"/>
      <protection locked="0"/>
    </xf>
    <xf numFmtId="0" fontId="19" fillId="0" borderId="3" xfId="5" applyFont="1" applyBorder="1" applyAlignment="1" applyProtection="1">
      <alignment horizontal="center" vertical="center" wrapText="1"/>
      <protection locked="0"/>
    </xf>
    <xf numFmtId="9" fontId="9" fillId="10" borderId="1" xfId="5" applyNumberFormat="1" applyFont="1" applyFill="1" applyBorder="1" applyAlignment="1" applyProtection="1">
      <alignment horizontal="center" vertical="center"/>
      <protection locked="0"/>
    </xf>
    <xf numFmtId="9" fontId="9" fillId="10" borderId="2" xfId="5" applyNumberFormat="1" applyFont="1" applyFill="1" applyBorder="1" applyAlignment="1" applyProtection="1">
      <alignment horizontal="center" vertical="center"/>
      <protection locked="0"/>
    </xf>
    <xf numFmtId="9" fontId="9" fillId="10" borderId="4" xfId="5" applyNumberFormat="1" applyFont="1" applyFill="1" applyBorder="1" applyAlignment="1" applyProtection="1">
      <alignment horizontal="center" vertical="center"/>
      <protection locked="0"/>
    </xf>
    <xf numFmtId="0" fontId="8" fillId="0" borderId="11" xfId="5" applyFont="1" applyBorder="1" applyAlignment="1">
      <alignment horizontal="left" vertical="center"/>
    </xf>
    <xf numFmtId="175" fontId="9" fillId="7" borderId="22" xfId="9" applyNumberFormat="1" applyFont="1" applyFill="1" applyBorder="1" applyAlignment="1" applyProtection="1">
      <alignment horizontal="center" vertical="center"/>
      <protection locked="0"/>
    </xf>
    <xf numFmtId="175" fontId="9" fillId="7" borderId="14" xfId="9" applyNumberFormat="1" applyFont="1" applyFill="1" applyBorder="1" applyAlignment="1" applyProtection="1">
      <alignment horizontal="center" vertical="center"/>
      <protection locked="0"/>
    </xf>
    <xf numFmtId="175" fontId="9" fillId="7" borderId="12" xfId="9" applyNumberFormat="1" applyFont="1" applyFill="1" applyBorder="1" applyAlignment="1" applyProtection="1">
      <alignment horizontal="center" vertical="center"/>
      <protection locked="0"/>
    </xf>
    <xf numFmtId="38" fontId="70" fillId="0" borderId="8" xfId="6" applyNumberFormat="1" applyFont="1" applyFill="1" applyBorder="1" applyAlignment="1">
      <alignment horizontal="center" vertical="center" wrapText="1"/>
    </xf>
    <xf numFmtId="38" fontId="70" fillId="0" borderId="0" xfId="6" applyNumberFormat="1" applyFont="1" applyFill="1" applyBorder="1" applyAlignment="1">
      <alignment horizontal="center" vertical="center" wrapText="1"/>
    </xf>
    <xf numFmtId="38" fontId="70" fillId="0" borderId="9" xfId="6" applyNumberFormat="1" applyFont="1" applyFill="1" applyBorder="1" applyAlignment="1">
      <alignment horizontal="center" vertical="center" wrapText="1"/>
    </xf>
    <xf numFmtId="0" fontId="19" fillId="9" borderId="1" xfId="5" applyFont="1" applyFill="1" applyBorder="1" applyAlignment="1" applyProtection="1">
      <alignment horizontal="center" vertical="center"/>
      <protection locked="0"/>
    </xf>
    <xf numFmtId="0" fontId="19" fillId="9" borderId="2" xfId="5" applyFont="1" applyFill="1" applyBorder="1" applyAlignment="1" applyProtection="1">
      <alignment horizontal="center" vertical="center"/>
      <protection locked="0"/>
    </xf>
    <xf numFmtId="0" fontId="19" fillId="9" borderId="4" xfId="5" applyFont="1" applyFill="1" applyBorder="1" applyAlignment="1" applyProtection="1">
      <alignment horizontal="center" vertical="center"/>
      <protection locked="0"/>
    </xf>
    <xf numFmtId="0" fontId="81" fillId="26" borderId="5" xfId="4" applyFont="1" applyFill="1" applyBorder="1" applyAlignment="1">
      <alignment horizontal="center" vertical="center"/>
    </xf>
    <xf numFmtId="0" fontId="81" fillId="26" borderId="6" xfId="4" applyFont="1" applyFill="1" applyBorder="1" applyAlignment="1">
      <alignment horizontal="center" vertical="center"/>
    </xf>
    <xf numFmtId="0" fontId="81" fillId="26" borderId="7" xfId="4" applyFont="1" applyFill="1" applyBorder="1" applyAlignment="1">
      <alignment horizontal="center" vertical="center"/>
    </xf>
    <xf numFmtId="0" fontId="81" fillId="26" borderId="8" xfId="4" applyFont="1" applyFill="1" applyBorder="1" applyAlignment="1">
      <alignment horizontal="center" vertical="center"/>
    </xf>
    <xf numFmtId="0" fontId="81" fillId="26" borderId="0" xfId="4" applyFont="1" applyFill="1" applyAlignment="1">
      <alignment horizontal="center" vertical="center"/>
    </xf>
    <xf numFmtId="0" fontId="81" fillId="26" borderId="9" xfId="4" applyFont="1" applyFill="1" applyBorder="1" applyAlignment="1">
      <alignment horizontal="center" vertical="center"/>
    </xf>
    <xf numFmtId="0" fontId="81" fillId="26" borderId="10" xfId="4" applyFont="1" applyFill="1" applyBorder="1" applyAlignment="1">
      <alignment horizontal="center" vertical="center"/>
    </xf>
    <xf numFmtId="0" fontId="81" fillId="26" borderId="3" xfId="4" applyFont="1" applyFill="1" applyBorder="1" applyAlignment="1">
      <alignment horizontal="center" vertical="center"/>
    </xf>
    <xf numFmtId="0" fontId="81" fillId="26" borderId="11" xfId="4" applyFont="1" applyFill="1" applyBorder="1" applyAlignment="1">
      <alignment horizontal="center" vertical="center"/>
    </xf>
    <xf numFmtId="49" fontId="9" fillId="28" borderId="2" xfId="5" applyNumberFormat="1" applyFont="1" applyFill="1" applyBorder="1" applyAlignment="1" applyProtection="1">
      <alignment horizontal="center" vertical="center"/>
      <protection locked="0"/>
    </xf>
    <xf numFmtId="49" fontId="9" fillId="28" borderId="4" xfId="5" applyNumberFormat="1" applyFont="1" applyFill="1" applyBorder="1" applyAlignment="1" applyProtection="1">
      <alignment horizontal="center" vertical="center"/>
      <protection locked="0"/>
    </xf>
    <xf numFmtId="0" fontId="8" fillId="0" borderId="2" xfId="5" applyFont="1" applyBorder="1" applyAlignment="1">
      <alignment horizontal="left" vertical="center"/>
    </xf>
    <xf numFmtId="0" fontId="8" fillId="0" borderId="6" xfId="5" applyFont="1" applyBorder="1" applyAlignment="1">
      <alignment horizontal="left" vertical="center"/>
    </xf>
    <xf numFmtId="0" fontId="8" fillId="0" borderId="4" xfId="5" applyFont="1" applyBorder="1" applyAlignment="1">
      <alignment horizontal="left" vertical="center"/>
    </xf>
    <xf numFmtId="38" fontId="9" fillId="28" borderId="5" xfId="6" applyNumberFormat="1" applyFont="1" applyFill="1" applyBorder="1" applyAlignment="1" applyProtection="1">
      <alignment horizontal="center" vertical="center"/>
    </xf>
    <xf numFmtId="38" fontId="9" fillId="28" borderId="7" xfId="6" applyNumberFormat="1" applyFont="1" applyFill="1" applyBorder="1" applyAlignment="1" applyProtection="1">
      <alignment horizontal="center" vertical="center"/>
    </xf>
    <xf numFmtId="38" fontId="9" fillId="28" borderId="8" xfId="6" applyNumberFormat="1" applyFont="1" applyFill="1" applyBorder="1" applyAlignment="1" applyProtection="1">
      <alignment horizontal="center" vertical="center"/>
    </xf>
    <xf numFmtId="38" fontId="9" fillId="28" borderId="9" xfId="6" applyNumberFormat="1" applyFont="1" applyFill="1" applyBorder="1" applyAlignment="1" applyProtection="1">
      <alignment horizontal="center" vertical="center"/>
    </xf>
    <xf numFmtId="38" fontId="9" fillId="28" borderId="10" xfId="6" applyNumberFormat="1" applyFont="1" applyFill="1" applyBorder="1" applyAlignment="1" applyProtection="1">
      <alignment horizontal="center" vertical="center"/>
    </xf>
    <xf numFmtId="38" fontId="9" fillId="28" borderId="11" xfId="6" applyNumberFormat="1" applyFont="1" applyFill="1" applyBorder="1" applyAlignment="1" applyProtection="1">
      <alignment horizontal="center" vertical="center"/>
    </xf>
    <xf numFmtId="166" fontId="9" fillId="7" borderId="5" xfId="3" applyNumberFormat="1" applyFont="1" applyFill="1" applyBorder="1" applyAlignment="1">
      <alignment horizontal="center" vertical="center" wrapText="1"/>
    </xf>
    <xf numFmtId="166" fontId="9" fillId="7" borderId="7" xfId="3" applyNumberFormat="1" applyFont="1" applyFill="1" applyBorder="1" applyAlignment="1">
      <alignment horizontal="center" vertical="center" wrapText="1"/>
    </xf>
    <xf numFmtId="38" fontId="41" fillId="11" borderId="5" xfId="6" applyNumberFormat="1" applyFont="1" applyFill="1" applyBorder="1" applyAlignment="1">
      <alignment horizontal="center" vertical="center"/>
    </xf>
    <xf numFmtId="38" fontId="41" fillId="11" borderId="7" xfId="6" applyNumberFormat="1" applyFont="1" applyFill="1" applyBorder="1" applyAlignment="1">
      <alignment horizontal="center" vertical="center"/>
    </xf>
    <xf numFmtId="38" fontId="41" fillId="11" borderId="8" xfId="6" applyNumberFormat="1" applyFont="1" applyFill="1" applyBorder="1" applyAlignment="1">
      <alignment horizontal="center" vertical="center"/>
    </xf>
    <xf numFmtId="38" fontId="41" fillId="11" borderId="9" xfId="6" applyNumberFormat="1" applyFont="1" applyFill="1" applyBorder="1" applyAlignment="1">
      <alignment horizontal="center" vertical="center"/>
    </xf>
    <xf numFmtId="38" fontId="41" fillId="11" borderId="10" xfId="6" applyNumberFormat="1" applyFont="1" applyFill="1" applyBorder="1" applyAlignment="1">
      <alignment horizontal="center" vertical="center"/>
    </xf>
    <xf numFmtId="38" fontId="41" fillId="11" borderId="11" xfId="6" applyNumberFormat="1" applyFont="1" applyFill="1" applyBorder="1" applyAlignment="1">
      <alignment horizontal="center" vertical="center"/>
    </xf>
    <xf numFmtId="0" fontId="9" fillId="12" borderId="5" xfId="5" applyFont="1" applyFill="1" applyBorder="1" applyAlignment="1">
      <alignment horizontal="center" vertical="center"/>
    </xf>
    <xf numFmtId="0" fontId="9" fillId="12" borderId="6" xfId="5" applyFont="1" applyFill="1" applyBorder="1" applyAlignment="1">
      <alignment horizontal="center" vertical="center"/>
    </xf>
    <xf numFmtId="0" fontId="9" fillId="12" borderId="2" xfId="5" applyFont="1" applyFill="1" applyBorder="1" applyAlignment="1">
      <alignment horizontal="center" vertical="center"/>
    </xf>
    <xf numFmtId="0" fontId="9" fillId="12" borderId="4" xfId="5" applyFont="1" applyFill="1" applyBorder="1" applyAlignment="1">
      <alignment horizontal="center" vertical="center"/>
    </xf>
    <xf numFmtId="2" fontId="9" fillId="4" borderId="12" xfId="5" applyNumberFormat="1" applyFont="1" applyFill="1" applyBorder="1" applyAlignment="1">
      <alignment horizontal="center" vertical="center" shrinkToFit="1"/>
    </xf>
    <xf numFmtId="1" fontId="18" fillId="7" borderId="14" xfId="5" applyNumberFormat="1" applyFont="1" applyFill="1" applyBorder="1" applyAlignment="1" applyProtection="1">
      <alignment horizontal="center" vertical="center"/>
      <protection locked="0"/>
    </xf>
    <xf numFmtId="49" fontId="9" fillId="7" borderId="3" xfId="3" applyNumberFormat="1" applyFont="1" applyFill="1" applyBorder="1" applyAlignment="1">
      <alignment horizontal="left" vertical="center"/>
    </xf>
    <xf numFmtId="49" fontId="9" fillId="7" borderId="11" xfId="3" applyNumberFormat="1" applyFont="1" applyFill="1" applyBorder="1" applyAlignment="1">
      <alignment horizontal="left" vertical="center"/>
    </xf>
    <xf numFmtId="0" fontId="9" fillId="0" borderId="1" xfId="5" applyFont="1" applyBorder="1" applyAlignment="1">
      <alignment horizontal="center" vertical="center"/>
    </xf>
    <xf numFmtId="0" fontId="9" fillId="0" borderId="2" xfId="5" applyFont="1" applyBorder="1" applyAlignment="1">
      <alignment horizontal="center" vertical="center"/>
    </xf>
    <xf numFmtId="0" fontId="43" fillId="11" borderId="5" xfId="5" applyFont="1" applyFill="1" applyBorder="1" applyAlignment="1">
      <alignment horizontal="center" vertical="center" wrapText="1"/>
    </xf>
    <xf numFmtId="0" fontId="43" fillId="11" borderId="8" xfId="5" applyFont="1" applyFill="1" applyBorder="1" applyAlignment="1">
      <alignment horizontal="center" vertical="center" wrapText="1"/>
    </xf>
    <xf numFmtId="0" fontId="43" fillId="11" borderId="14" xfId="5" applyFont="1" applyFill="1" applyBorder="1" applyAlignment="1">
      <alignment horizontal="center" vertical="center" wrapText="1"/>
    </xf>
    <xf numFmtId="0" fontId="43" fillId="11" borderId="12" xfId="5" applyFont="1" applyFill="1" applyBorder="1" applyAlignment="1">
      <alignment horizontal="center" vertical="center" wrapText="1"/>
    </xf>
    <xf numFmtId="49" fontId="2" fillId="17" borderId="3" xfId="2" applyNumberFormat="1" applyFont="1" applyFill="1" applyBorder="1" applyAlignment="1">
      <alignment horizontal="center" vertical="center"/>
    </xf>
    <xf numFmtId="38" fontId="9" fillId="0" borderId="8" xfId="6" applyNumberFormat="1" applyFont="1" applyFill="1" applyBorder="1" applyAlignment="1">
      <alignment horizontal="center" vertical="center"/>
    </xf>
    <xf numFmtId="38" fontId="9" fillId="0" borderId="9" xfId="6" applyNumberFormat="1" applyFont="1" applyFill="1" applyBorder="1" applyAlignment="1">
      <alignment horizontal="center" vertical="center"/>
    </xf>
    <xf numFmtId="164" fontId="2" fillId="0" borderId="5" xfId="2" applyNumberFormat="1" applyFont="1" applyBorder="1" applyAlignment="1">
      <alignment horizontal="right" vertical="center"/>
    </xf>
    <xf numFmtId="164" fontId="2" fillId="0" borderId="7" xfId="2" applyNumberFormat="1" applyFont="1" applyBorder="1" applyAlignment="1">
      <alignment horizontal="right" vertical="center"/>
    </xf>
    <xf numFmtId="1" fontId="9" fillId="4" borderId="12" xfId="5" applyNumberFormat="1" applyFont="1" applyFill="1" applyBorder="1" applyAlignment="1">
      <alignment horizontal="center" vertical="center" wrapText="1"/>
    </xf>
    <xf numFmtId="1" fontId="9" fillId="4" borderId="13" xfId="5" applyNumberFormat="1" applyFont="1" applyFill="1" applyBorder="1" applyAlignment="1">
      <alignment horizontal="center" vertical="center"/>
    </xf>
    <xf numFmtId="177" fontId="31" fillId="7" borderId="8" xfId="0" applyNumberFormat="1" applyFont="1" applyFill="1" applyBorder="1" applyAlignment="1">
      <alignment horizontal="center" vertical="center"/>
    </xf>
    <xf numFmtId="15" fontId="31" fillId="7" borderId="9" xfId="0" applyNumberFormat="1" applyFont="1" applyFill="1" applyBorder="1" applyAlignment="1">
      <alignment horizontal="center" vertical="center"/>
    </xf>
    <xf numFmtId="0" fontId="9" fillId="7" borderId="10" xfId="4" applyFont="1" applyFill="1" applyBorder="1" applyAlignment="1">
      <alignment horizontal="center" vertical="center"/>
    </xf>
    <xf numFmtId="0" fontId="9" fillId="7" borderId="11" xfId="4" applyFont="1" applyFill="1" applyBorder="1" applyAlignment="1">
      <alignment horizontal="center" vertical="center"/>
    </xf>
    <xf numFmtId="39" fontId="11" fillId="4" borderId="2" xfId="4" applyNumberFormat="1" applyFont="1" applyFill="1" applyBorder="1" applyAlignment="1">
      <alignment horizontal="center" vertical="center"/>
    </xf>
    <xf numFmtId="39" fontId="11" fillId="4" borderId="4" xfId="4" applyNumberFormat="1" applyFont="1" applyFill="1" applyBorder="1" applyAlignment="1">
      <alignment horizontal="center" vertical="center"/>
    </xf>
    <xf numFmtId="165" fontId="9" fillId="3" borderId="0" xfId="3" applyFont="1" applyFill="1" applyAlignment="1">
      <alignment horizontal="right" vertical="center"/>
    </xf>
    <xf numFmtId="0" fontId="9" fillId="3" borderId="3" xfId="4" applyFont="1" applyFill="1" applyBorder="1" applyAlignment="1">
      <alignment horizontal="right" vertical="center"/>
    </xf>
    <xf numFmtId="0" fontId="9" fillId="12" borderId="1" xfId="5" applyFont="1" applyFill="1" applyBorder="1" applyAlignment="1" applyProtection="1">
      <alignment horizontal="center" vertical="center"/>
      <protection locked="0"/>
    </xf>
    <xf numFmtId="0" fontId="9" fillId="12" borderId="2" xfId="5" applyFont="1" applyFill="1" applyBorder="1" applyAlignment="1" applyProtection="1">
      <alignment horizontal="center" vertical="center"/>
      <protection locked="0"/>
    </xf>
    <xf numFmtId="0" fontId="9" fillId="12" borderId="4" xfId="5" applyFont="1" applyFill="1" applyBorder="1" applyAlignment="1" applyProtection="1">
      <alignment horizontal="center" vertical="center"/>
      <protection locked="0"/>
    </xf>
    <xf numFmtId="49" fontId="2" fillId="17" borderId="3" xfId="2" applyNumberFormat="1" applyFont="1" applyFill="1" applyBorder="1" applyAlignment="1">
      <alignment horizontal="left" vertical="center"/>
    </xf>
    <xf numFmtId="167" fontId="9" fillId="4" borderId="11" xfId="5" applyNumberFormat="1" applyFont="1" applyFill="1" applyBorder="1" applyAlignment="1">
      <alignment horizontal="left" vertical="center"/>
    </xf>
    <xf numFmtId="167" fontId="9" fillId="4" borderId="12" xfId="5" applyNumberFormat="1" applyFont="1" applyFill="1" applyBorder="1" applyAlignment="1">
      <alignment horizontal="left" vertical="center"/>
    </xf>
    <xf numFmtId="0" fontId="9" fillId="4" borderId="2" xfId="4" applyFont="1" applyFill="1" applyBorder="1" applyAlignment="1">
      <alignment horizontal="right" vertical="center"/>
    </xf>
    <xf numFmtId="1" fontId="9" fillId="4" borderId="12" xfId="5" applyNumberFormat="1" applyFont="1" applyFill="1" applyBorder="1" applyAlignment="1">
      <alignment horizontal="center" vertical="center"/>
    </xf>
    <xf numFmtId="1" fontId="19" fillId="4" borderId="12" xfId="5" applyNumberFormat="1" applyFont="1" applyFill="1" applyBorder="1" applyAlignment="1">
      <alignment horizontal="center" vertical="center"/>
    </xf>
    <xf numFmtId="1" fontId="19" fillId="4" borderId="13" xfId="5" applyNumberFormat="1" applyFont="1" applyFill="1" applyBorder="1" applyAlignment="1">
      <alignment horizontal="center" vertical="center"/>
    </xf>
    <xf numFmtId="0" fontId="8" fillId="45" borderId="13" xfId="5" applyFont="1" applyFill="1" applyBorder="1" applyAlignment="1">
      <alignment horizontal="left" vertical="center"/>
    </xf>
    <xf numFmtId="49" fontId="19" fillId="7" borderId="0" xfId="3" applyNumberFormat="1" applyFont="1" applyFill="1" applyBorder="1" applyAlignment="1">
      <alignment horizontal="left" vertical="center"/>
    </xf>
    <xf numFmtId="49" fontId="19" fillId="7" borderId="9" xfId="3" applyNumberFormat="1" applyFont="1" applyFill="1" applyBorder="1" applyAlignment="1">
      <alignment horizontal="left" vertical="center"/>
    </xf>
    <xf numFmtId="165" fontId="9" fillId="3" borderId="6" xfId="3" applyFont="1" applyFill="1" applyBorder="1" applyAlignment="1">
      <alignment horizontal="right" vertical="center"/>
    </xf>
    <xf numFmtId="44" fontId="9" fillId="27" borderId="22" xfId="1" applyFont="1" applyFill="1" applyBorder="1" applyAlignment="1" applyProtection="1">
      <alignment horizontal="center" vertical="center"/>
    </xf>
    <xf numFmtId="44" fontId="1" fillId="39" borderId="0" xfId="1" applyFont="1" applyFill="1" applyAlignment="1" applyProtection="1">
      <alignment horizontal="center" vertical="center"/>
      <protection locked="0"/>
    </xf>
    <xf numFmtId="0" fontId="9" fillId="12" borderId="6" xfId="5" applyFont="1" applyFill="1" applyBorder="1" applyAlignment="1" applyProtection="1">
      <alignment horizontal="center" vertical="center"/>
      <protection locked="0"/>
    </xf>
    <xf numFmtId="0" fontId="9" fillId="12" borderId="7" xfId="5" applyFont="1" applyFill="1" applyBorder="1" applyAlignment="1" applyProtection="1">
      <alignment horizontal="center" vertical="center"/>
      <protection locked="0"/>
    </xf>
    <xf numFmtId="0" fontId="9" fillId="12" borderId="9" xfId="5" applyFont="1" applyFill="1" applyBorder="1" applyAlignment="1" applyProtection="1">
      <alignment horizontal="center" vertical="center"/>
      <protection locked="0"/>
    </xf>
    <xf numFmtId="0" fontId="9" fillId="12" borderId="3" xfId="5" applyFont="1" applyFill="1" applyBorder="1" applyAlignment="1" applyProtection="1">
      <alignment horizontal="center" vertical="center"/>
      <protection locked="0"/>
    </xf>
    <xf numFmtId="0" fontId="9" fillId="12" borderId="11" xfId="5" applyFont="1" applyFill="1" applyBorder="1" applyAlignment="1" applyProtection="1">
      <alignment horizontal="center" vertical="center"/>
      <protection locked="0"/>
    </xf>
    <xf numFmtId="168" fontId="5" fillId="6" borderId="1" xfId="5" applyNumberFormat="1" applyFont="1" applyFill="1" applyBorder="1" applyAlignment="1" applyProtection="1">
      <alignment horizontal="center" vertical="center"/>
      <protection locked="0"/>
    </xf>
    <xf numFmtId="168" fontId="5" fillId="6" borderId="4" xfId="5" applyNumberFormat="1" applyFont="1" applyFill="1" applyBorder="1" applyAlignment="1" applyProtection="1">
      <alignment horizontal="center" vertical="center"/>
      <protection locked="0"/>
    </xf>
    <xf numFmtId="40" fontId="28" fillId="0" borderId="0" xfId="6" applyFont="1" applyBorder="1" applyAlignment="1" applyProtection="1">
      <alignment horizontal="center" vertical="center" shrinkToFit="1"/>
      <protection locked="0"/>
    </xf>
    <xf numFmtId="0" fontId="28" fillId="0" borderId="0" xfId="5" applyFont="1" applyAlignment="1" applyProtection="1">
      <alignment horizontal="center" vertical="center" shrinkToFit="1"/>
      <protection locked="0"/>
    </xf>
    <xf numFmtId="0" fontId="3" fillId="6" borderId="1" xfId="5" applyFont="1" applyFill="1" applyBorder="1" applyAlignment="1" applyProtection="1">
      <alignment vertical="center"/>
      <protection locked="0"/>
    </xf>
    <xf numFmtId="0" fontId="3" fillId="6" borderId="2" xfId="5" applyFont="1" applyFill="1" applyBorder="1" applyAlignment="1" applyProtection="1">
      <alignment vertical="center"/>
      <protection locked="0"/>
    </xf>
    <xf numFmtId="0" fontId="3" fillId="6" borderId="4" xfId="5" applyFont="1" applyFill="1" applyBorder="1" applyAlignment="1" applyProtection="1">
      <alignment vertical="center"/>
      <protection locked="0"/>
    </xf>
    <xf numFmtId="0" fontId="9" fillId="15" borderId="13" xfId="5" applyFont="1" applyFill="1" applyBorder="1" applyAlignment="1" applyProtection="1">
      <alignment horizontal="center" vertical="center"/>
      <protection locked="0"/>
    </xf>
    <xf numFmtId="0" fontId="9" fillId="12" borderId="8" xfId="5" applyFont="1" applyFill="1" applyBorder="1" applyAlignment="1" applyProtection="1">
      <alignment horizontal="center" vertical="center"/>
      <protection locked="0"/>
    </xf>
    <xf numFmtId="0" fontId="9" fillId="12" borderId="10" xfId="5" applyFont="1" applyFill="1" applyBorder="1" applyAlignment="1" applyProtection="1">
      <alignment horizontal="center" vertical="center"/>
      <protection locked="0"/>
    </xf>
    <xf numFmtId="38" fontId="3" fillId="12" borderId="8" xfId="6" applyNumberFormat="1" applyFont="1" applyFill="1" applyBorder="1" applyAlignment="1">
      <alignment horizontal="center" vertical="center"/>
    </xf>
    <xf numFmtId="38" fontId="3" fillId="12" borderId="9" xfId="6" applyNumberFormat="1" applyFont="1" applyFill="1" applyBorder="1" applyAlignment="1">
      <alignment horizontal="center" vertical="center"/>
    </xf>
    <xf numFmtId="38" fontId="3" fillId="12" borderId="10" xfId="6" applyNumberFormat="1" applyFont="1" applyFill="1" applyBorder="1" applyAlignment="1">
      <alignment horizontal="center" vertical="center"/>
    </xf>
    <xf numFmtId="38" fontId="3" fillId="12" borderId="11" xfId="6" applyNumberFormat="1" applyFont="1" applyFill="1" applyBorder="1" applyAlignment="1">
      <alignment horizontal="center" vertical="center"/>
    </xf>
    <xf numFmtId="38" fontId="3" fillId="12" borderId="0" xfId="6" applyNumberFormat="1" applyFont="1" applyFill="1" applyBorder="1" applyAlignment="1">
      <alignment horizontal="center" vertical="center"/>
    </xf>
    <xf numFmtId="38" fontId="3" fillId="12" borderId="3" xfId="6" applyNumberFormat="1" applyFont="1" applyFill="1" applyBorder="1" applyAlignment="1">
      <alignment horizontal="center" vertical="center"/>
    </xf>
    <xf numFmtId="38" fontId="9" fillId="7" borderId="10" xfId="6" applyNumberFormat="1" applyFont="1" applyFill="1" applyBorder="1" applyAlignment="1">
      <alignment horizontal="left" vertical="center"/>
    </xf>
    <xf numFmtId="38" fontId="9" fillId="7" borderId="3" xfId="6" applyNumberFormat="1" applyFont="1" applyFill="1" applyBorder="1" applyAlignment="1">
      <alignment horizontal="left" vertical="center"/>
    </xf>
    <xf numFmtId="44" fontId="9" fillId="27" borderId="12" xfId="1" applyFont="1" applyFill="1" applyBorder="1" applyAlignment="1" applyProtection="1">
      <alignment horizontal="center" vertical="center"/>
    </xf>
    <xf numFmtId="44" fontId="9" fillId="27" borderId="13" xfId="1" applyFont="1" applyFill="1" applyBorder="1" applyAlignment="1" applyProtection="1">
      <alignment horizontal="center" vertical="center"/>
    </xf>
    <xf numFmtId="0" fontId="9" fillId="34" borderId="1" xfId="5" applyFont="1" applyFill="1" applyBorder="1" applyAlignment="1">
      <alignment horizontal="center" vertical="center"/>
    </xf>
    <xf numFmtId="0" fontId="9" fillId="34" borderId="4" xfId="5" applyFont="1" applyFill="1" applyBorder="1" applyAlignment="1">
      <alignment horizontal="center" vertical="center"/>
    </xf>
    <xf numFmtId="0" fontId="8" fillId="34" borderId="2" xfId="5" applyFont="1" applyFill="1" applyBorder="1" applyAlignment="1">
      <alignment horizontal="center" vertical="center"/>
    </xf>
    <xf numFmtId="0" fontId="8" fillId="34" borderId="4" xfId="5" applyFont="1" applyFill="1" applyBorder="1" applyAlignment="1">
      <alignment horizontal="center" vertical="center"/>
    </xf>
    <xf numFmtId="0" fontId="9" fillId="15" borderId="22" xfId="5" applyFont="1" applyFill="1" applyBorder="1" applyAlignment="1">
      <alignment horizontal="center" vertical="center"/>
    </xf>
    <xf numFmtId="2" fontId="34" fillId="0" borderId="6" xfId="5" applyNumberFormat="1" applyFont="1" applyBorder="1" applyAlignment="1" applyProtection="1">
      <alignment horizontal="center" vertical="center" shrinkToFit="1"/>
      <protection locked="0"/>
    </xf>
    <xf numFmtId="2" fontId="34" fillId="0" borderId="0" xfId="5" applyNumberFormat="1" applyFont="1" applyAlignment="1" applyProtection="1">
      <alignment horizontal="center" vertical="center" shrinkToFit="1"/>
      <protection locked="0"/>
    </xf>
    <xf numFmtId="2" fontId="34" fillId="0" borderId="3" xfId="5" applyNumberFormat="1" applyFont="1" applyBorder="1" applyAlignment="1" applyProtection="1">
      <alignment horizontal="center" vertical="center" shrinkToFit="1"/>
      <protection locked="0"/>
    </xf>
    <xf numFmtId="0" fontId="8" fillId="0" borderId="1" xfId="5" applyFont="1" applyBorder="1" applyAlignment="1">
      <alignment horizontal="left" vertical="center"/>
    </xf>
    <xf numFmtId="168" fontId="5" fillId="0" borderId="5" xfId="5" applyNumberFormat="1" applyFont="1" applyBorder="1" applyAlignment="1" applyProtection="1">
      <alignment horizontal="center" vertical="center"/>
      <protection locked="0"/>
    </xf>
    <xf numFmtId="168" fontId="5" fillId="0" borderId="7" xfId="5" applyNumberFormat="1" applyFont="1" applyBorder="1" applyAlignment="1" applyProtection="1">
      <alignment horizontal="center" vertical="center"/>
      <protection locked="0"/>
    </xf>
    <xf numFmtId="168" fontId="5" fillId="0" borderId="8" xfId="5" applyNumberFormat="1" applyFont="1" applyBorder="1" applyAlignment="1" applyProtection="1">
      <alignment horizontal="center" vertical="center"/>
      <protection locked="0"/>
    </xf>
    <xf numFmtId="168" fontId="5" fillId="0" borderId="9" xfId="5" applyNumberFormat="1" applyFont="1" applyBorder="1" applyAlignment="1" applyProtection="1">
      <alignment horizontal="center" vertical="center"/>
      <protection locked="0"/>
    </xf>
    <xf numFmtId="168" fontId="5" fillId="0" borderId="10" xfId="5" applyNumberFormat="1" applyFont="1" applyBorder="1" applyAlignment="1" applyProtection="1">
      <alignment horizontal="center" vertical="center"/>
      <protection locked="0"/>
    </xf>
    <xf numFmtId="168" fontId="5" fillId="0" borderId="11" xfId="5" applyNumberFormat="1" applyFont="1" applyBorder="1" applyAlignment="1" applyProtection="1">
      <alignment horizontal="center" vertical="center"/>
      <protection locked="0"/>
    </xf>
    <xf numFmtId="0" fontId="77" fillId="12" borderId="6" xfId="5" applyFont="1" applyFill="1" applyBorder="1" applyAlignment="1">
      <alignment horizontal="center" vertical="center"/>
    </xf>
    <xf numFmtId="44" fontId="9" fillId="34" borderId="1" xfId="1" applyFont="1" applyFill="1" applyBorder="1" applyAlignment="1" applyProtection="1">
      <alignment horizontal="left" vertical="center"/>
    </xf>
    <xf numFmtId="44" fontId="9" fillId="34" borderId="4" xfId="1" applyFont="1" applyFill="1" applyBorder="1" applyAlignment="1" applyProtection="1">
      <alignment horizontal="left" vertical="center"/>
    </xf>
    <xf numFmtId="44" fontId="66" fillId="0" borderId="6" xfId="1" applyFont="1" applyFill="1" applyBorder="1" applyAlignment="1" applyProtection="1">
      <alignment horizontal="center" vertical="center" textRotation="90"/>
    </xf>
    <xf numFmtId="44" fontId="66" fillId="0" borderId="7" xfId="1" applyFont="1" applyFill="1" applyBorder="1" applyAlignment="1" applyProtection="1">
      <alignment horizontal="center" vertical="center" textRotation="90"/>
    </xf>
    <xf numFmtId="44" fontId="66" fillId="0" borderId="0" xfId="1" applyFont="1" applyFill="1" applyBorder="1" applyAlignment="1" applyProtection="1">
      <alignment horizontal="center" vertical="center" textRotation="90"/>
    </xf>
    <xf numFmtId="44" fontId="66" fillId="0" borderId="9" xfId="1" applyFont="1" applyFill="1" applyBorder="1" applyAlignment="1" applyProtection="1">
      <alignment horizontal="center" vertical="center" textRotation="90"/>
    </xf>
    <xf numFmtId="44" fontId="66" fillId="0" borderId="3" xfId="1" applyFont="1" applyFill="1" applyBorder="1" applyAlignment="1" applyProtection="1">
      <alignment horizontal="center" vertical="center" textRotation="90"/>
    </xf>
    <xf numFmtId="44" fontId="66" fillId="0" borderId="11" xfId="1" applyFont="1" applyFill="1" applyBorder="1" applyAlignment="1" applyProtection="1">
      <alignment horizontal="center" vertical="center" textRotation="90"/>
    </xf>
    <xf numFmtId="2" fontId="33" fillId="0" borderId="22" xfId="5" applyNumberFormat="1" applyFont="1" applyBorder="1" applyAlignment="1" applyProtection="1">
      <alignment horizontal="center" vertical="center" shrinkToFit="1"/>
      <protection locked="0"/>
    </xf>
    <xf numFmtId="2" fontId="33" fillId="0" borderId="14" xfId="5" applyNumberFormat="1" applyFont="1" applyBorder="1" applyAlignment="1" applyProtection="1">
      <alignment horizontal="center" vertical="center" shrinkToFit="1"/>
      <protection locked="0"/>
    </xf>
    <xf numFmtId="2" fontId="33" fillId="0" borderId="12" xfId="5" applyNumberFormat="1" applyFont="1" applyBorder="1" applyAlignment="1" applyProtection="1">
      <alignment horizontal="center" vertical="center" shrinkToFit="1"/>
      <protection locked="0"/>
    </xf>
    <xf numFmtId="38" fontId="9" fillId="0" borderId="0" xfId="6" applyNumberFormat="1" applyFont="1" applyFill="1" applyBorder="1" applyAlignment="1" applyProtection="1">
      <alignment horizontal="center" vertical="center"/>
    </xf>
    <xf numFmtId="38" fontId="44" fillId="11" borderId="8" xfId="6" applyNumberFormat="1" applyFont="1" applyFill="1" applyBorder="1" applyAlignment="1" applyProtection="1">
      <alignment horizontal="center" vertical="center" wrapText="1"/>
    </xf>
    <xf numFmtId="38" fontId="44" fillId="11" borderId="0" xfId="6" applyNumberFormat="1" applyFont="1" applyFill="1" applyBorder="1" applyAlignment="1" applyProtection="1">
      <alignment horizontal="center" vertical="center" wrapText="1"/>
    </xf>
    <xf numFmtId="38" fontId="44" fillId="11" borderId="9" xfId="6" applyNumberFormat="1" applyFont="1" applyFill="1" applyBorder="1" applyAlignment="1" applyProtection="1">
      <alignment horizontal="center" vertical="center" wrapText="1"/>
    </xf>
    <xf numFmtId="38" fontId="44" fillId="11" borderId="10" xfId="6" applyNumberFormat="1" applyFont="1" applyFill="1" applyBorder="1" applyAlignment="1" applyProtection="1">
      <alignment horizontal="center" vertical="center" wrapText="1"/>
    </xf>
    <xf numFmtId="38" fontId="44" fillId="11" borderId="3" xfId="6" applyNumberFormat="1" applyFont="1" applyFill="1" applyBorder="1" applyAlignment="1" applyProtection="1">
      <alignment horizontal="center" vertical="center" wrapText="1"/>
    </xf>
    <xf numFmtId="38" fontId="44" fillId="11" borderId="11" xfId="6" applyNumberFormat="1" applyFont="1" applyFill="1" applyBorder="1" applyAlignment="1" applyProtection="1">
      <alignment horizontal="center" vertical="center" wrapText="1"/>
    </xf>
    <xf numFmtId="0" fontId="8" fillId="0" borderId="0" xfId="5" applyFont="1" applyAlignment="1">
      <alignment horizontal="center" vertical="center"/>
    </xf>
    <xf numFmtId="0" fontId="8" fillId="0" borderId="8" xfId="5" applyFont="1" applyBorder="1" applyAlignment="1">
      <alignment horizontal="center" vertical="center"/>
    </xf>
    <xf numFmtId="0" fontId="19" fillId="0" borderId="0" xfId="5" applyFont="1" applyAlignment="1">
      <alignment horizontal="center" vertical="center"/>
    </xf>
    <xf numFmtId="0" fontId="19" fillId="0" borderId="3" xfId="5" applyFont="1" applyBorder="1" applyAlignment="1">
      <alignment horizontal="center" vertical="center"/>
    </xf>
    <xf numFmtId="44" fontId="10" fillId="11" borderId="8" xfId="1" applyFont="1" applyFill="1" applyBorder="1" applyAlignment="1">
      <alignment horizontal="center" vertical="center"/>
    </xf>
    <xf numFmtId="44" fontId="10" fillId="11" borderId="0" xfId="1" applyFont="1" applyFill="1" applyBorder="1" applyAlignment="1">
      <alignment horizontal="center" vertical="center"/>
    </xf>
    <xf numFmtId="0" fontId="8" fillId="8" borderId="5" xfId="5" applyFont="1" applyFill="1" applyBorder="1" applyAlignment="1" applyProtection="1">
      <alignment horizontal="center" vertical="center"/>
      <protection locked="0"/>
    </xf>
    <xf numFmtId="0" fontId="8" fillId="8" borderId="6" xfId="5" applyFont="1" applyFill="1" applyBorder="1" applyAlignment="1" applyProtection="1">
      <alignment horizontal="center" vertical="center"/>
      <protection locked="0"/>
    </xf>
    <xf numFmtId="0" fontId="8" fillId="8" borderId="7" xfId="5" applyFont="1" applyFill="1" applyBorder="1" applyAlignment="1" applyProtection="1">
      <alignment horizontal="center" vertical="center"/>
      <protection locked="0"/>
    </xf>
    <xf numFmtId="0" fontId="9" fillId="0" borderId="5" xfId="5" applyFont="1" applyBorder="1" applyAlignment="1" applyProtection="1">
      <alignment horizontal="center" vertical="center"/>
      <protection locked="0"/>
    </xf>
    <xf numFmtId="0" fontId="9" fillId="0" borderId="6" xfId="5" applyFont="1" applyBorder="1" applyAlignment="1" applyProtection="1">
      <alignment horizontal="center" vertical="center"/>
      <protection locked="0"/>
    </xf>
    <xf numFmtId="0" fontId="9" fillId="8" borderId="10" xfId="5" applyFont="1" applyFill="1" applyBorder="1" applyAlignment="1" applyProtection="1">
      <alignment horizontal="left" vertical="center"/>
      <protection locked="0"/>
    </xf>
    <xf numFmtId="0" fontId="9" fillId="8" borderId="3" xfId="5" applyFont="1" applyFill="1" applyBorder="1" applyAlignment="1" applyProtection="1">
      <alignment horizontal="left" vertical="center"/>
      <protection locked="0"/>
    </xf>
    <xf numFmtId="0" fontId="9" fillId="8" borderId="11" xfId="5" applyFont="1" applyFill="1" applyBorder="1" applyAlignment="1" applyProtection="1">
      <alignment horizontal="left" vertical="center"/>
      <protection locked="0"/>
    </xf>
    <xf numFmtId="1" fontId="9" fillId="0" borderId="6" xfId="5" applyNumberFormat="1" applyFont="1" applyBorder="1" applyAlignment="1">
      <alignment horizontal="center" vertical="center"/>
    </xf>
    <xf numFmtId="1" fontId="9" fillId="0" borderId="7" xfId="5" applyNumberFormat="1" applyFont="1" applyBorder="1" applyAlignment="1">
      <alignment horizontal="center" vertical="center"/>
    </xf>
    <xf numFmtId="44" fontId="9" fillId="0" borderId="6" xfId="1" applyFont="1" applyBorder="1" applyAlignment="1" applyProtection="1">
      <alignment horizontal="center" vertical="center"/>
    </xf>
    <xf numFmtId="9" fontId="37" fillId="0" borderId="14" xfId="7" applyFont="1" applyBorder="1" applyAlignment="1" applyProtection="1">
      <alignment horizontal="center" vertical="center" shrinkToFit="1"/>
    </xf>
    <xf numFmtId="9" fontId="37" fillId="0" borderId="12" xfId="7" applyFont="1" applyBorder="1" applyAlignment="1" applyProtection="1">
      <alignment horizontal="center" vertical="center" shrinkToFit="1"/>
    </xf>
    <xf numFmtId="38" fontId="100" fillId="2" borderId="1" xfId="6" applyNumberFormat="1" applyFont="1" applyFill="1" applyBorder="1" applyAlignment="1" applyProtection="1">
      <alignment horizontal="center" vertical="center" shrinkToFit="1"/>
    </xf>
    <xf numFmtId="38" fontId="100" fillId="2" borderId="2" xfId="6" applyNumberFormat="1" applyFont="1" applyFill="1" applyBorder="1" applyAlignment="1" applyProtection="1">
      <alignment horizontal="center" vertical="center" shrinkToFit="1"/>
    </xf>
    <xf numFmtId="40" fontId="19" fillId="0" borderId="10" xfId="6" applyFont="1" applyBorder="1" applyAlignment="1" applyProtection="1">
      <alignment horizontal="right" vertical="center" shrinkToFit="1"/>
      <protection locked="0"/>
    </xf>
    <xf numFmtId="40" fontId="19" fillId="0" borderId="3" xfId="6" applyFont="1" applyBorder="1" applyAlignment="1" applyProtection="1">
      <alignment horizontal="right" vertical="center" shrinkToFit="1"/>
      <protection locked="0"/>
    </xf>
    <xf numFmtId="0" fontId="9" fillId="0" borderId="4" xfId="5" applyFont="1" applyBorder="1" applyAlignment="1" applyProtection="1">
      <alignment horizontal="center" vertical="center"/>
      <protection locked="0"/>
    </xf>
    <xf numFmtId="0" fontId="8" fillId="0" borderId="1" xfId="5" applyFont="1" applyBorder="1" applyAlignment="1" applyProtection="1">
      <alignment horizontal="left" vertical="center"/>
      <protection locked="0"/>
    </xf>
    <xf numFmtId="0" fontId="8" fillId="0" borderId="3" xfId="5" applyFont="1" applyBorder="1" applyAlignment="1" applyProtection="1">
      <alignment horizontal="left" vertical="center"/>
      <protection locked="0"/>
    </xf>
    <xf numFmtId="44" fontId="86" fillId="0" borderId="13" xfId="1" applyFont="1" applyBorder="1" applyAlignment="1" applyProtection="1">
      <alignment horizontal="center" vertical="center"/>
      <protection locked="0"/>
    </xf>
    <xf numFmtId="0" fontId="9" fillId="33" borderId="5" xfId="5" applyFont="1" applyFill="1" applyBorder="1" applyAlignment="1" applyProtection="1">
      <alignment horizontal="center" vertical="center"/>
      <protection locked="0"/>
    </xf>
    <xf numFmtId="0" fontId="9" fillId="33" borderId="7" xfId="5" applyFont="1" applyFill="1" applyBorder="1" applyAlignment="1" applyProtection="1">
      <alignment horizontal="center" vertical="center"/>
      <protection locked="0"/>
    </xf>
    <xf numFmtId="0" fontId="9" fillId="33" borderId="8" xfId="5" applyFont="1" applyFill="1" applyBorder="1" applyAlignment="1" applyProtection="1">
      <alignment horizontal="center" vertical="center"/>
      <protection locked="0"/>
    </xf>
    <xf numFmtId="0" fontId="9" fillId="33" borderId="9" xfId="5" applyFont="1" applyFill="1" applyBorder="1" applyAlignment="1" applyProtection="1">
      <alignment horizontal="center" vertical="center"/>
      <protection locked="0"/>
    </xf>
    <xf numFmtId="0" fontId="9" fillId="33" borderId="10" xfId="5" applyFont="1" applyFill="1" applyBorder="1" applyAlignment="1" applyProtection="1">
      <alignment horizontal="center" vertical="center"/>
      <protection locked="0"/>
    </xf>
    <xf numFmtId="0" fontId="9" fillId="33" borderId="11" xfId="5" applyFont="1" applyFill="1" applyBorder="1" applyAlignment="1" applyProtection="1">
      <alignment horizontal="center" vertical="center"/>
      <protection locked="0"/>
    </xf>
    <xf numFmtId="38" fontId="9" fillId="7" borderId="5" xfId="6" applyNumberFormat="1" applyFont="1" applyFill="1" applyBorder="1" applyAlignment="1">
      <alignment horizontal="left" vertical="center"/>
    </xf>
    <xf numFmtId="38" fontId="9" fillId="7" borderId="6" xfId="6" applyNumberFormat="1" applyFont="1" applyFill="1" applyBorder="1" applyAlignment="1">
      <alignment horizontal="left" vertical="center"/>
    </xf>
    <xf numFmtId="38" fontId="9" fillId="7" borderId="7" xfId="6" applyNumberFormat="1" applyFont="1" applyFill="1" applyBorder="1" applyAlignment="1">
      <alignment horizontal="left" vertical="center"/>
    </xf>
    <xf numFmtId="38" fontId="29" fillId="48" borderId="5" xfId="6" applyNumberFormat="1" applyFont="1" applyFill="1" applyBorder="1" applyAlignment="1">
      <alignment horizontal="center" vertical="center"/>
    </xf>
    <xf numFmtId="38" fontId="29" fillId="48" borderId="6" xfId="6" applyNumberFormat="1" applyFont="1" applyFill="1" applyBorder="1" applyAlignment="1">
      <alignment horizontal="center" vertical="center"/>
    </xf>
    <xf numFmtId="38" fontId="29" fillId="48" borderId="8" xfId="6" applyNumberFormat="1" applyFont="1" applyFill="1" applyBorder="1" applyAlignment="1">
      <alignment horizontal="center" vertical="center"/>
    </xf>
    <xf numFmtId="38" fontId="29" fillId="48" borderId="0" xfId="6" applyNumberFormat="1" applyFont="1" applyFill="1" applyAlignment="1">
      <alignment horizontal="center" vertical="center"/>
    </xf>
    <xf numFmtId="167" fontId="120" fillId="48" borderId="6" xfId="1" applyNumberFormat="1" applyFont="1" applyFill="1" applyBorder="1" applyAlignment="1">
      <alignment horizontal="center" vertical="center" wrapText="1"/>
    </xf>
    <xf numFmtId="167" fontId="120" fillId="48" borderId="7" xfId="1" applyNumberFormat="1" applyFont="1" applyFill="1" applyBorder="1" applyAlignment="1">
      <alignment horizontal="center" vertical="center"/>
    </xf>
    <xf numFmtId="167" fontId="120" fillId="48" borderId="0" xfId="1" applyNumberFormat="1" applyFont="1" applyFill="1" applyBorder="1" applyAlignment="1">
      <alignment horizontal="center" vertical="center"/>
    </xf>
    <xf numFmtId="167" fontId="120" fillId="48" borderId="9" xfId="1" applyNumberFormat="1" applyFont="1" applyFill="1" applyBorder="1" applyAlignment="1">
      <alignment horizontal="center" vertical="center"/>
    </xf>
    <xf numFmtId="167" fontId="120" fillId="48" borderId="3" xfId="1" applyNumberFormat="1" applyFont="1" applyFill="1" applyBorder="1" applyAlignment="1">
      <alignment horizontal="center" vertical="center"/>
    </xf>
    <xf numFmtId="167" fontId="120" fillId="48" borderId="11" xfId="1" applyNumberFormat="1" applyFont="1" applyFill="1" applyBorder="1" applyAlignment="1">
      <alignment horizontal="center" vertical="center"/>
    </xf>
    <xf numFmtId="2" fontId="34" fillId="33" borderId="22" xfId="5" applyNumberFormat="1" applyFont="1" applyFill="1" applyBorder="1" applyAlignment="1" applyProtection="1">
      <alignment horizontal="center" vertical="center" shrinkToFit="1"/>
      <protection locked="0"/>
    </xf>
    <xf numFmtId="2" fontId="34" fillId="33" borderId="14" xfId="5" applyNumberFormat="1" applyFont="1" applyFill="1" applyBorder="1" applyAlignment="1" applyProtection="1">
      <alignment horizontal="center" vertical="center" shrinkToFit="1"/>
      <protection locked="0"/>
    </xf>
    <xf numFmtId="0" fontId="29" fillId="0" borderId="1" xfId="5" applyFont="1" applyBorder="1" applyAlignment="1" applyProtection="1">
      <alignment horizontal="left" vertical="center"/>
      <protection locked="0"/>
    </xf>
    <xf numFmtId="0" fontId="29" fillId="0" borderId="2" xfId="5" applyFont="1" applyBorder="1" applyAlignment="1" applyProtection="1">
      <alignment horizontal="left" vertical="center"/>
      <protection locked="0"/>
    </xf>
    <xf numFmtId="0" fontId="29" fillId="0" borderId="3" xfId="5" applyFont="1" applyBorder="1" applyAlignment="1" applyProtection="1">
      <alignment horizontal="left" vertical="center"/>
      <protection locked="0"/>
    </xf>
    <xf numFmtId="0" fontId="29" fillId="0" borderId="11" xfId="5" applyFont="1" applyBorder="1" applyAlignment="1" applyProtection="1">
      <alignment horizontal="left" vertical="center"/>
      <protection locked="0"/>
    </xf>
    <xf numFmtId="9" fontId="18" fillId="48" borderId="1" xfId="5" applyNumberFormat="1" applyFont="1" applyFill="1" applyBorder="1" applyAlignment="1">
      <alignment horizontal="left" vertical="center" shrinkToFit="1"/>
    </xf>
    <xf numFmtId="9" fontId="18" fillId="48" borderId="2" xfId="5" applyNumberFormat="1" applyFont="1" applyFill="1" applyBorder="1" applyAlignment="1">
      <alignment horizontal="left" vertical="center" shrinkToFit="1"/>
    </xf>
    <xf numFmtId="9" fontId="18" fillId="48" borderId="4" xfId="5" applyNumberFormat="1" applyFont="1" applyFill="1" applyBorder="1" applyAlignment="1">
      <alignment horizontal="left" vertical="center" shrinkToFit="1"/>
    </xf>
    <xf numFmtId="44" fontId="10" fillId="11" borderId="1" xfId="1" applyFont="1" applyFill="1" applyBorder="1" applyAlignment="1" applyProtection="1">
      <alignment horizontal="center" vertical="center"/>
    </xf>
    <xf numFmtId="44" fontId="10" fillId="11" borderId="4" xfId="1" applyFont="1" applyFill="1" applyBorder="1" applyAlignment="1" applyProtection="1">
      <alignment horizontal="center" vertical="center"/>
    </xf>
    <xf numFmtId="2" fontId="34" fillId="33" borderId="5" xfId="5" applyNumberFormat="1" applyFont="1" applyFill="1" applyBorder="1" applyAlignment="1" applyProtection="1">
      <alignment horizontal="center" vertical="center" shrinkToFit="1"/>
      <protection locked="0"/>
    </xf>
    <xf numFmtId="2" fontId="34" fillId="33" borderId="6" xfId="5" applyNumberFormat="1" applyFont="1" applyFill="1" applyBorder="1" applyAlignment="1" applyProtection="1">
      <alignment horizontal="center" vertical="center" shrinkToFit="1"/>
      <protection locked="0"/>
    </xf>
    <xf numFmtId="2" fontId="34" fillId="33" borderId="7" xfId="5" applyNumberFormat="1" applyFont="1" applyFill="1" applyBorder="1" applyAlignment="1" applyProtection="1">
      <alignment horizontal="center" vertical="center" shrinkToFit="1"/>
      <protection locked="0"/>
    </xf>
    <xf numFmtId="168" fontId="9" fillId="12" borderId="3" xfId="5" applyNumberFormat="1" applyFont="1" applyFill="1" applyBorder="1" applyAlignment="1">
      <alignment horizontal="center" vertical="center"/>
    </xf>
    <xf numFmtId="168" fontId="9" fillId="12" borderId="11" xfId="5" applyNumberFormat="1" applyFont="1" applyFill="1" applyBorder="1" applyAlignment="1">
      <alignment horizontal="center" vertical="center"/>
    </xf>
    <xf numFmtId="38" fontId="68" fillId="12" borderId="5" xfId="6" applyNumberFormat="1" applyFont="1" applyFill="1" applyBorder="1" applyAlignment="1">
      <alignment horizontal="center" vertical="center" textRotation="90"/>
    </xf>
    <xf numFmtId="38" fontId="68" fillId="12" borderId="6" xfId="6" applyNumberFormat="1" applyFont="1" applyFill="1" applyBorder="1" applyAlignment="1">
      <alignment horizontal="center" vertical="center" textRotation="90"/>
    </xf>
    <xf numFmtId="38" fontId="68" fillId="12" borderId="8" xfId="6" applyNumberFormat="1" applyFont="1" applyFill="1" applyBorder="1" applyAlignment="1">
      <alignment horizontal="center" vertical="center" textRotation="90"/>
    </xf>
    <xf numFmtId="38" fontId="68" fillId="12" borderId="0" xfId="6" applyNumberFormat="1" applyFont="1" applyFill="1" applyBorder="1" applyAlignment="1">
      <alignment horizontal="center" vertical="center" textRotation="90"/>
    </xf>
    <xf numFmtId="9" fontId="18" fillId="32" borderId="1" xfId="5" applyNumberFormat="1" applyFont="1" applyFill="1" applyBorder="1" applyAlignment="1">
      <alignment horizontal="left" vertical="center" shrinkToFit="1"/>
    </xf>
    <xf numFmtId="9" fontId="18" fillId="32" borderId="2" xfId="5" applyNumberFormat="1" applyFont="1" applyFill="1" applyBorder="1" applyAlignment="1">
      <alignment horizontal="left" vertical="center" shrinkToFit="1"/>
    </xf>
    <xf numFmtId="9" fontId="18" fillId="32" borderId="4" xfId="5" applyNumberFormat="1" applyFont="1" applyFill="1" applyBorder="1" applyAlignment="1">
      <alignment horizontal="left" vertical="center" shrinkToFit="1"/>
    </xf>
    <xf numFmtId="168" fontId="5" fillId="12" borderId="5" xfId="5" applyNumberFormat="1" applyFont="1" applyFill="1" applyBorder="1" applyAlignment="1" applyProtection="1">
      <alignment horizontal="center" vertical="center"/>
      <protection locked="0"/>
    </xf>
    <xf numFmtId="168" fontId="5" fillId="12" borderId="7" xfId="5" applyNumberFormat="1" applyFont="1" applyFill="1" applyBorder="1" applyAlignment="1" applyProtection="1">
      <alignment horizontal="center" vertical="center"/>
      <protection locked="0"/>
    </xf>
    <xf numFmtId="168" fontId="5" fillId="12" borderId="10" xfId="5" applyNumberFormat="1" applyFont="1" applyFill="1" applyBorder="1" applyAlignment="1" applyProtection="1">
      <alignment horizontal="center" vertical="center"/>
      <protection locked="0"/>
    </xf>
    <xf numFmtId="168" fontId="5" fillId="12" borderId="11" xfId="5" applyNumberFormat="1" applyFont="1" applyFill="1" applyBorder="1" applyAlignment="1" applyProtection="1">
      <alignment horizontal="center" vertical="center"/>
      <protection locked="0"/>
    </xf>
    <xf numFmtId="0" fontId="29" fillId="0" borderId="4" xfId="5" applyFont="1" applyBorder="1" applyAlignment="1" applyProtection="1">
      <alignment horizontal="left" vertical="center"/>
      <protection locked="0"/>
    </xf>
    <xf numFmtId="0" fontId="9" fillId="2" borderId="5" xfId="5" applyFont="1" applyFill="1" applyBorder="1" applyAlignment="1" applyProtection="1">
      <alignment horizontal="center" vertical="center"/>
      <protection locked="0"/>
    </xf>
    <xf numFmtId="0" fontId="9" fillId="2" borderId="7" xfId="5" applyFont="1" applyFill="1" applyBorder="1" applyAlignment="1" applyProtection="1">
      <alignment horizontal="center" vertical="center"/>
      <protection locked="0"/>
    </xf>
    <xf numFmtId="0" fontId="9" fillId="2" borderId="8" xfId="5" applyFont="1" applyFill="1" applyBorder="1" applyAlignment="1" applyProtection="1">
      <alignment horizontal="center" vertical="center"/>
      <protection locked="0"/>
    </xf>
    <xf numFmtId="0" fontId="9" fillId="2" borderId="9" xfId="5" applyFont="1" applyFill="1" applyBorder="1" applyAlignment="1" applyProtection="1">
      <alignment horizontal="center" vertical="center"/>
      <protection locked="0"/>
    </xf>
    <xf numFmtId="0" fontId="9" fillId="2" borderId="10" xfId="5" applyFont="1" applyFill="1" applyBorder="1" applyAlignment="1" applyProtection="1">
      <alignment horizontal="center" vertical="center"/>
      <protection locked="0"/>
    </xf>
    <xf numFmtId="0" fontId="9" fillId="2" borderId="11" xfId="5" applyFont="1" applyFill="1" applyBorder="1" applyAlignment="1" applyProtection="1">
      <alignment horizontal="center" vertical="center"/>
      <protection locked="0"/>
    </xf>
    <xf numFmtId="38" fontId="67" fillId="2" borderId="5" xfId="6" applyNumberFormat="1" applyFont="1" applyFill="1" applyBorder="1" applyAlignment="1">
      <alignment horizontal="left" vertical="center" textRotation="90"/>
    </xf>
    <xf numFmtId="38" fontId="67" fillId="2" borderId="7" xfId="6" applyNumberFormat="1" applyFont="1" applyFill="1" applyBorder="1" applyAlignment="1">
      <alignment horizontal="left" vertical="center" textRotation="90"/>
    </xf>
    <xf numFmtId="38" fontId="67" fillId="2" borderId="8" xfId="6" applyNumberFormat="1" applyFont="1" applyFill="1" applyBorder="1" applyAlignment="1">
      <alignment horizontal="left" vertical="center" textRotation="90"/>
    </xf>
    <xf numFmtId="38" fontId="67" fillId="2" borderId="9" xfId="6" applyNumberFormat="1" applyFont="1" applyFill="1" applyBorder="1" applyAlignment="1">
      <alignment horizontal="left" vertical="center" textRotation="90"/>
    </xf>
    <xf numFmtId="38" fontId="67" fillId="2" borderId="10" xfId="6" applyNumberFormat="1" applyFont="1" applyFill="1" applyBorder="1" applyAlignment="1">
      <alignment horizontal="left" vertical="center" textRotation="90"/>
    </xf>
    <xf numFmtId="38" fontId="67" fillId="2" borderId="11" xfId="6" applyNumberFormat="1" applyFont="1" applyFill="1" applyBorder="1" applyAlignment="1">
      <alignment horizontal="left" vertical="center" textRotation="90"/>
    </xf>
    <xf numFmtId="38" fontId="3" fillId="2" borderId="8" xfId="6" applyNumberFormat="1" applyFont="1" applyFill="1" applyBorder="1" applyAlignment="1">
      <alignment horizontal="center" vertical="center" wrapText="1"/>
    </xf>
    <xf numFmtId="38" fontId="3" fillId="2" borderId="0" xfId="6" applyNumberFormat="1" applyFont="1" applyFill="1" applyBorder="1" applyAlignment="1">
      <alignment horizontal="center" vertical="center"/>
    </xf>
    <xf numFmtId="38" fontId="3" fillId="2" borderId="9" xfId="6" applyNumberFormat="1" applyFont="1" applyFill="1" applyBorder="1" applyAlignment="1">
      <alignment horizontal="center" vertical="center"/>
    </xf>
    <xf numFmtId="38" fontId="3" fillId="2" borderId="8" xfId="6" applyNumberFormat="1" applyFont="1" applyFill="1" applyBorder="1" applyAlignment="1">
      <alignment horizontal="center" vertical="center"/>
    </xf>
    <xf numFmtId="38" fontId="3" fillId="2" borderId="10" xfId="6" applyNumberFormat="1" applyFont="1" applyFill="1" applyBorder="1" applyAlignment="1">
      <alignment horizontal="center" vertical="center"/>
    </xf>
    <xf numFmtId="38" fontId="3" fillId="2" borderId="3" xfId="6" applyNumberFormat="1" applyFont="1" applyFill="1" applyBorder="1" applyAlignment="1">
      <alignment horizontal="center" vertical="center"/>
    </xf>
    <xf numFmtId="38" fontId="3" fillId="2" borderId="11" xfId="6" applyNumberFormat="1" applyFont="1" applyFill="1" applyBorder="1" applyAlignment="1">
      <alignment horizontal="center" vertical="center"/>
    </xf>
    <xf numFmtId="38" fontId="9" fillId="7" borderId="11" xfId="6" applyNumberFormat="1" applyFont="1" applyFill="1" applyBorder="1" applyAlignment="1">
      <alignment horizontal="left" vertical="center"/>
    </xf>
    <xf numFmtId="38" fontId="9" fillId="7" borderId="9" xfId="6" applyNumberFormat="1" applyFont="1" applyFill="1" applyBorder="1" applyAlignment="1">
      <alignment horizontal="left" vertical="center"/>
    </xf>
    <xf numFmtId="38" fontId="3" fillId="2" borderId="6" xfId="6" applyNumberFormat="1" applyFont="1" applyFill="1" applyBorder="1" applyAlignment="1">
      <alignment horizontal="center" vertical="center"/>
    </xf>
    <xf numFmtId="44" fontId="37" fillId="0" borderId="14" xfId="1" applyFont="1" applyBorder="1" applyAlignment="1" applyProtection="1">
      <alignment horizontal="center" vertical="center" shrinkToFit="1"/>
    </xf>
    <xf numFmtId="2" fontId="34" fillId="0" borderId="14" xfId="5" applyNumberFormat="1" applyFont="1" applyBorder="1" applyAlignment="1" applyProtection="1">
      <alignment horizontal="center" vertical="center" shrinkToFit="1"/>
      <protection locked="0"/>
    </xf>
    <xf numFmtId="2" fontId="34" fillId="0" borderId="12" xfId="5" applyNumberFormat="1" applyFont="1" applyBorder="1" applyAlignment="1" applyProtection="1">
      <alignment horizontal="center" vertical="center" shrinkToFit="1"/>
      <protection locked="0"/>
    </xf>
    <xf numFmtId="0" fontId="9" fillId="31" borderId="6" xfId="5" applyFont="1" applyFill="1" applyBorder="1" applyAlignment="1" applyProtection="1">
      <alignment horizontal="center" vertical="center"/>
      <protection locked="0"/>
    </xf>
    <xf numFmtId="0" fontId="9" fillId="31" borderId="7" xfId="5" applyFont="1" applyFill="1" applyBorder="1" applyAlignment="1" applyProtection="1">
      <alignment horizontal="center" vertical="center"/>
      <protection locked="0"/>
    </xf>
    <xf numFmtId="0" fontId="9" fillId="31" borderId="0" xfId="5" applyFont="1" applyFill="1" applyAlignment="1" applyProtection="1">
      <alignment horizontal="center" vertical="center"/>
      <protection locked="0"/>
    </xf>
    <xf numFmtId="0" fontId="9" fillId="31" borderId="9" xfId="5" applyFont="1" applyFill="1" applyBorder="1" applyAlignment="1" applyProtection="1">
      <alignment horizontal="center" vertical="center"/>
      <protection locked="0"/>
    </xf>
    <xf numFmtId="0" fontId="9" fillId="31" borderId="3" xfId="5" applyFont="1" applyFill="1" applyBorder="1" applyAlignment="1" applyProtection="1">
      <alignment horizontal="center" vertical="center"/>
      <protection locked="0"/>
    </xf>
    <xf numFmtId="0" fontId="9" fillId="31" borderId="11" xfId="5" applyFont="1" applyFill="1" applyBorder="1" applyAlignment="1" applyProtection="1">
      <alignment horizontal="center" vertical="center"/>
      <protection locked="0"/>
    </xf>
    <xf numFmtId="0" fontId="9" fillId="7" borderId="5" xfId="5" applyFont="1" applyFill="1" applyBorder="1" applyAlignment="1" applyProtection="1">
      <alignment horizontal="center" vertical="center"/>
      <protection locked="0"/>
    </xf>
    <xf numFmtId="0" fontId="9" fillId="7" borderId="7" xfId="5" applyFont="1" applyFill="1" applyBorder="1" applyAlignment="1" applyProtection="1">
      <alignment horizontal="center" vertical="center"/>
      <protection locked="0"/>
    </xf>
    <xf numFmtId="0" fontId="9" fillId="7" borderId="8" xfId="5" applyFont="1" applyFill="1" applyBorder="1" applyAlignment="1" applyProtection="1">
      <alignment horizontal="center" vertical="center"/>
      <protection locked="0"/>
    </xf>
    <xf numFmtId="0" fontId="9" fillId="7" borderId="9" xfId="5" applyFont="1" applyFill="1" applyBorder="1" applyAlignment="1" applyProtection="1">
      <alignment horizontal="center" vertical="center"/>
      <protection locked="0"/>
    </xf>
    <xf numFmtId="0" fontId="9" fillId="7" borderId="10" xfId="5" applyFont="1" applyFill="1" applyBorder="1" applyAlignment="1" applyProtection="1">
      <alignment horizontal="center" vertical="center"/>
      <protection locked="0"/>
    </xf>
    <xf numFmtId="0" fontId="9" fillId="7" borderId="11" xfId="5" applyFont="1" applyFill="1" applyBorder="1" applyAlignment="1" applyProtection="1">
      <alignment horizontal="center" vertical="center"/>
      <protection locked="0"/>
    </xf>
    <xf numFmtId="38" fontId="120" fillId="0" borderId="0" xfId="6" applyNumberFormat="1" applyFont="1" applyBorder="1" applyAlignment="1">
      <alignment horizontal="center" vertical="center" wrapText="1"/>
    </xf>
    <xf numFmtId="38" fontId="120" fillId="0" borderId="0" xfId="6" applyNumberFormat="1" applyFont="1" applyBorder="1" applyAlignment="1">
      <alignment horizontal="center" vertical="center"/>
    </xf>
    <xf numFmtId="168" fontId="9" fillId="2" borderId="2" xfId="5" applyNumberFormat="1" applyFont="1" applyFill="1" applyBorder="1" applyAlignment="1">
      <alignment horizontal="center" vertical="center"/>
    </xf>
    <xf numFmtId="168" fontId="9" fillId="2" borderId="4" xfId="5" applyNumberFormat="1" applyFont="1" applyFill="1" applyBorder="1" applyAlignment="1">
      <alignment horizontal="center" vertical="center"/>
    </xf>
    <xf numFmtId="168" fontId="67" fillId="2" borderId="0" xfId="5" applyNumberFormat="1" applyFont="1" applyFill="1" applyAlignment="1" applyProtection="1">
      <alignment horizontal="left" vertical="center" textRotation="90"/>
      <protection locked="0"/>
    </xf>
    <xf numFmtId="44" fontId="104" fillId="0" borderId="13" xfId="1" applyFont="1" applyBorder="1" applyAlignment="1">
      <alignment horizontal="center" vertical="center"/>
    </xf>
    <xf numFmtId="0" fontId="8" fillId="11" borderId="2" xfId="5" applyFont="1" applyFill="1" applyBorder="1" applyAlignment="1">
      <alignment horizontal="center" vertical="center"/>
    </xf>
    <xf numFmtId="0" fontId="8" fillId="2" borderId="2" xfId="5" applyFont="1" applyFill="1" applyBorder="1" applyAlignment="1">
      <alignment horizontal="center" vertical="center"/>
    </xf>
    <xf numFmtId="0" fontId="8" fillId="12" borderId="2" xfId="5" applyFont="1" applyFill="1" applyBorder="1" applyAlignment="1">
      <alignment horizontal="center" vertical="center"/>
    </xf>
    <xf numFmtId="0" fontId="8" fillId="7" borderId="2" xfId="5" applyFont="1" applyFill="1" applyBorder="1" applyAlignment="1">
      <alignment horizontal="center" vertical="center"/>
    </xf>
    <xf numFmtId="0" fontId="105" fillId="33" borderId="2" xfId="5" applyFont="1" applyFill="1" applyBorder="1" applyAlignment="1">
      <alignment horizontal="center" vertical="center"/>
    </xf>
    <xf numFmtId="38" fontId="3" fillId="33" borderId="8" xfId="6" applyNumberFormat="1" applyFont="1" applyFill="1" applyBorder="1" applyAlignment="1">
      <alignment horizontal="center" vertical="center"/>
    </xf>
    <xf numFmtId="38" fontId="3" fillId="33" borderId="9" xfId="6" applyNumberFormat="1" applyFont="1" applyFill="1" applyBorder="1" applyAlignment="1">
      <alignment horizontal="center" vertical="center"/>
    </xf>
    <xf numFmtId="38" fontId="3" fillId="33" borderId="10" xfId="6" applyNumberFormat="1" applyFont="1" applyFill="1" applyBorder="1" applyAlignment="1">
      <alignment horizontal="center" vertical="center"/>
    </xf>
    <xf numFmtId="38" fontId="3" fillId="33" borderId="11" xfId="6" applyNumberFormat="1" applyFont="1" applyFill="1" applyBorder="1" applyAlignment="1">
      <alignment horizontal="center" vertical="center"/>
    </xf>
    <xf numFmtId="38" fontId="110" fillId="33" borderId="5" xfId="6" applyNumberFormat="1" applyFont="1" applyFill="1" applyBorder="1" applyAlignment="1">
      <alignment horizontal="center" vertical="center" textRotation="90" wrapText="1"/>
    </xf>
    <xf numFmtId="38" fontId="110" fillId="33" borderId="7" xfId="6" applyNumberFormat="1" applyFont="1" applyFill="1" applyBorder="1" applyAlignment="1">
      <alignment horizontal="center" vertical="center" textRotation="90" wrapText="1"/>
    </xf>
    <xf numFmtId="38" fontId="110" fillId="33" borderId="8" xfId="6" applyNumberFormat="1" applyFont="1" applyFill="1" applyBorder="1" applyAlignment="1">
      <alignment horizontal="center" vertical="center" textRotation="90" wrapText="1"/>
    </xf>
    <xf numFmtId="38" fontId="110" fillId="33" borderId="9" xfId="6" applyNumberFormat="1" applyFont="1" applyFill="1" applyBorder="1" applyAlignment="1">
      <alignment horizontal="center" vertical="center" textRotation="90" wrapText="1"/>
    </xf>
    <xf numFmtId="38" fontId="110" fillId="33" borderId="10" xfId="6" applyNumberFormat="1" applyFont="1" applyFill="1" applyBorder="1" applyAlignment="1">
      <alignment horizontal="center" vertical="center" textRotation="90" wrapText="1"/>
    </xf>
    <xf numFmtId="38" fontId="110" fillId="33" borderId="11" xfId="6" applyNumberFormat="1" applyFont="1" applyFill="1" applyBorder="1" applyAlignment="1">
      <alignment horizontal="center" vertical="center" textRotation="90" wrapText="1"/>
    </xf>
    <xf numFmtId="38" fontId="3" fillId="33" borderId="8" xfId="6" applyNumberFormat="1" applyFont="1" applyFill="1" applyBorder="1" applyAlignment="1">
      <alignment horizontal="center" vertical="center" wrapText="1"/>
    </xf>
    <xf numFmtId="38" fontId="3" fillId="33" borderId="0" xfId="6" applyNumberFormat="1" applyFont="1" applyFill="1" applyBorder="1" applyAlignment="1">
      <alignment horizontal="center" vertical="center" wrapText="1"/>
    </xf>
    <xf numFmtId="38" fontId="3" fillId="33" borderId="9" xfId="6" applyNumberFormat="1" applyFont="1" applyFill="1" applyBorder="1" applyAlignment="1">
      <alignment horizontal="center" vertical="center" wrapText="1"/>
    </xf>
    <xf numFmtId="38" fontId="3" fillId="33" borderId="10" xfId="6" applyNumberFormat="1" applyFont="1" applyFill="1" applyBorder="1" applyAlignment="1">
      <alignment horizontal="center" vertical="center" wrapText="1"/>
    </xf>
    <xf numFmtId="38" fontId="3" fillId="33" borderId="3" xfId="6" applyNumberFormat="1" applyFont="1" applyFill="1" applyBorder="1" applyAlignment="1">
      <alignment horizontal="center" vertical="center" wrapText="1"/>
    </xf>
    <xf numFmtId="38" fontId="3" fillId="33" borderId="11" xfId="6" applyNumberFormat="1" applyFont="1" applyFill="1" applyBorder="1" applyAlignment="1">
      <alignment horizontal="center" vertical="center" wrapText="1"/>
    </xf>
    <xf numFmtId="44" fontId="110" fillId="33" borderId="5" xfId="1" applyFont="1" applyFill="1" applyBorder="1" applyAlignment="1">
      <alignment horizontal="center" vertical="center" textRotation="90" wrapText="1"/>
    </xf>
    <xf numFmtId="44" fontId="110" fillId="33" borderId="7" xfId="1" applyFont="1" applyFill="1" applyBorder="1" applyAlignment="1">
      <alignment horizontal="center" vertical="center" textRotation="90"/>
    </xf>
    <xf numFmtId="44" fontId="110" fillId="33" borderId="8" xfId="1" applyFont="1" applyFill="1" applyBorder="1" applyAlignment="1">
      <alignment horizontal="center" vertical="center" textRotation="90"/>
    </xf>
    <xf numFmtId="44" fontId="110" fillId="33" borderId="9" xfId="1" applyFont="1" applyFill="1" applyBorder="1" applyAlignment="1">
      <alignment horizontal="center" vertical="center" textRotation="90"/>
    </xf>
    <xf numFmtId="2" fontId="34" fillId="33" borderId="10" xfId="5" applyNumberFormat="1" applyFont="1" applyFill="1" applyBorder="1" applyAlignment="1" applyProtection="1">
      <alignment horizontal="center" vertical="center" shrinkToFit="1"/>
      <protection locked="0"/>
    </xf>
    <xf numFmtId="2" fontId="34" fillId="33" borderId="11" xfId="5" applyNumberFormat="1" applyFont="1" applyFill="1" applyBorder="1" applyAlignment="1" applyProtection="1">
      <alignment horizontal="center" vertical="center" shrinkToFit="1"/>
      <protection locked="0"/>
    </xf>
    <xf numFmtId="38" fontId="3" fillId="33" borderId="0" xfId="6" applyNumberFormat="1" applyFont="1" applyFill="1" applyBorder="1" applyAlignment="1">
      <alignment horizontal="center" vertical="center"/>
    </xf>
    <xf numFmtId="44" fontId="110" fillId="33" borderId="3" xfId="1" applyFont="1" applyFill="1" applyBorder="1" applyAlignment="1">
      <alignment horizontal="center" vertical="center" textRotation="90"/>
    </xf>
    <xf numFmtId="44" fontId="110" fillId="33" borderId="11" xfId="1" applyFont="1" applyFill="1" applyBorder="1" applyAlignment="1">
      <alignment horizontal="center" vertical="center" textRotation="90"/>
    </xf>
    <xf numFmtId="0" fontId="3" fillId="6" borderId="1" xfId="5" applyFont="1" applyFill="1" applyBorder="1" applyAlignment="1" applyProtection="1">
      <alignment horizontal="center" vertical="center"/>
      <protection locked="0"/>
    </xf>
    <xf numFmtId="0" fontId="3" fillId="6" borderId="2" xfId="5" applyFont="1" applyFill="1" applyBorder="1" applyAlignment="1" applyProtection="1">
      <alignment horizontal="center" vertical="center"/>
      <protection locked="0"/>
    </xf>
    <xf numFmtId="0" fontId="3" fillId="6" borderId="4" xfId="5" applyFont="1" applyFill="1" applyBorder="1" applyAlignment="1" applyProtection="1">
      <alignment horizontal="center" vertical="center"/>
      <protection locked="0"/>
    </xf>
    <xf numFmtId="0" fontId="9" fillId="48" borderId="6" xfId="5" applyFont="1" applyFill="1" applyBorder="1" applyAlignment="1" applyProtection="1">
      <alignment horizontal="center" vertical="center"/>
      <protection locked="0"/>
    </xf>
    <xf numFmtId="0" fontId="9" fillId="48" borderId="7" xfId="5" applyFont="1" applyFill="1" applyBorder="1" applyAlignment="1" applyProtection="1">
      <alignment horizontal="center" vertical="center"/>
      <protection locked="0"/>
    </xf>
    <xf numFmtId="0" fontId="9" fillId="48" borderId="0" xfId="5" applyFont="1" applyFill="1" applyAlignment="1" applyProtection="1">
      <alignment horizontal="center" vertical="center"/>
      <protection locked="0"/>
    </xf>
    <xf numFmtId="0" fontId="9" fillId="48" borderId="9" xfId="5" applyFont="1" applyFill="1" applyBorder="1" applyAlignment="1" applyProtection="1">
      <alignment horizontal="center" vertical="center"/>
      <protection locked="0"/>
    </xf>
    <xf numFmtId="0" fontId="9" fillId="48" borderId="3" xfId="5" applyFont="1" applyFill="1" applyBorder="1" applyAlignment="1" applyProtection="1">
      <alignment horizontal="center" vertical="center"/>
      <protection locked="0"/>
    </xf>
    <xf numFmtId="0" fontId="9" fillId="48" borderId="11" xfId="5" applyFont="1" applyFill="1" applyBorder="1" applyAlignment="1" applyProtection="1">
      <alignment horizontal="center" vertical="center"/>
      <protection locked="0"/>
    </xf>
    <xf numFmtId="0" fontId="8" fillId="0" borderId="10" xfId="5" applyFont="1" applyBorder="1" applyAlignment="1">
      <alignment horizontal="center" vertical="center"/>
    </xf>
    <xf numFmtId="0" fontId="8" fillId="0" borderId="3" xfId="5" applyFont="1" applyBorder="1" applyAlignment="1">
      <alignment horizontal="center" vertical="center"/>
    </xf>
    <xf numFmtId="168" fontId="5" fillId="48" borderId="5" xfId="5" applyNumberFormat="1" applyFont="1" applyFill="1" applyBorder="1" applyAlignment="1" applyProtection="1">
      <alignment horizontal="center" vertical="center"/>
      <protection locked="0"/>
    </xf>
    <xf numFmtId="168" fontId="5" fillId="48" borderId="7" xfId="5" applyNumberFormat="1" applyFont="1" applyFill="1" applyBorder="1" applyAlignment="1" applyProtection="1">
      <alignment horizontal="center" vertical="center"/>
      <protection locked="0"/>
    </xf>
    <xf numFmtId="168" fontId="5" fillId="48" borderId="10" xfId="5" applyNumberFormat="1" applyFont="1" applyFill="1" applyBorder="1" applyAlignment="1" applyProtection="1">
      <alignment horizontal="center" vertical="center"/>
      <protection locked="0"/>
    </xf>
    <xf numFmtId="168" fontId="5" fillId="48" borderId="11" xfId="5" applyNumberFormat="1" applyFont="1" applyFill="1" applyBorder="1" applyAlignment="1" applyProtection="1">
      <alignment horizontal="center" vertical="center"/>
      <protection locked="0"/>
    </xf>
    <xf numFmtId="38" fontId="3" fillId="33" borderId="6" xfId="6" applyNumberFormat="1" applyFont="1" applyFill="1" applyBorder="1" applyAlignment="1">
      <alignment horizontal="center" vertical="center"/>
    </xf>
    <xf numFmtId="168" fontId="9" fillId="33" borderId="2" xfId="5" applyNumberFormat="1" applyFont="1" applyFill="1" applyBorder="1" applyAlignment="1">
      <alignment horizontal="center" vertical="center"/>
    </xf>
    <xf numFmtId="168" fontId="9" fillId="33" borderId="4" xfId="5" applyNumberFormat="1" applyFont="1" applyFill="1" applyBorder="1" applyAlignment="1">
      <alignment horizontal="center" vertical="center"/>
    </xf>
    <xf numFmtId="0" fontId="28" fillId="48" borderId="3" xfId="5" applyFont="1" applyFill="1" applyBorder="1" applyAlignment="1" applyProtection="1">
      <alignment horizontal="center" vertical="center" shrinkToFit="1"/>
      <protection locked="0"/>
    </xf>
    <xf numFmtId="167" fontId="120" fillId="48" borderId="5" xfId="1" applyNumberFormat="1" applyFont="1" applyFill="1" applyBorder="1" applyAlignment="1">
      <alignment horizontal="center" vertical="center" wrapText="1"/>
    </xf>
    <xf numFmtId="167" fontId="120" fillId="48" borderId="8" xfId="1" applyNumberFormat="1" applyFont="1" applyFill="1" applyBorder="1" applyAlignment="1">
      <alignment horizontal="center" vertical="center" wrapText="1"/>
    </xf>
    <xf numFmtId="167" fontId="120" fillId="48" borderId="0" xfId="1" applyNumberFormat="1" applyFont="1" applyFill="1" applyBorder="1" applyAlignment="1">
      <alignment horizontal="center" vertical="center" wrapText="1"/>
    </xf>
    <xf numFmtId="167" fontId="120" fillId="48" borderId="10" xfId="1" applyNumberFormat="1" applyFont="1" applyFill="1" applyBorder="1" applyAlignment="1">
      <alignment horizontal="center" vertical="center" wrapText="1"/>
    </xf>
    <xf numFmtId="167" fontId="120" fillId="48" borderId="3" xfId="1" applyNumberFormat="1" applyFont="1" applyFill="1" applyBorder="1" applyAlignment="1">
      <alignment horizontal="center" vertical="center" wrapText="1"/>
    </xf>
    <xf numFmtId="0" fontId="9" fillId="0" borderId="7" xfId="5" applyFont="1" applyBorder="1" applyAlignment="1" applyProtection="1">
      <alignment horizontal="center" vertical="center"/>
      <protection locked="0"/>
    </xf>
    <xf numFmtId="0" fontId="9" fillId="0" borderId="0" xfId="5" applyFont="1" applyAlignment="1" applyProtection="1">
      <alignment horizontal="center" vertical="center"/>
      <protection locked="0"/>
    </xf>
    <xf numFmtId="0" fontId="9" fillId="0" borderId="9" xfId="5" applyFont="1" applyBorder="1" applyAlignment="1" applyProtection="1">
      <alignment horizontal="center" vertical="center"/>
      <protection locked="0"/>
    </xf>
    <xf numFmtId="0" fontId="9" fillId="0" borderId="3" xfId="5" applyFont="1" applyBorder="1" applyAlignment="1" applyProtection="1">
      <alignment horizontal="center" vertical="center"/>
      <protection locked="0"/>
    </xf>
    <xf numFmtId="0" fontId="9" fillId="0" borderId="11" xfId="5" applyFont="1" applyBorder="1" applyAlignment="1" applyProtection="1">
      <alignment horizontal="center" vertical="center"/>
      <protection locked="0"/>
    </xf>
    <xf numFmtId="168" fontId="5" fillId="32" borderId="5" xfId="5" applyNumberFormat="1" applyFont="1" applyFill="1" applyBorder="1" applyAlignment="1" applyProtection="1">
      <alignment horizontal="center" vertical="center"/>
      <protection locked="0"/>
    </xf>
    <xf numFmtId="168" fontId="5" fillId="32" borderId="7" xfId="5" applyNumberFormat="1" applyFont="1" applyFill="1" applyBorder="1" applyAlignment="1" applyProtection="1">
      <alignment horizontal="center" vertical="center"/>
      <protection locked="0"/>
    </xf>
    <xf numFmtId="168" fontId="5" fillId="32" borderId="10" xfId="5" applyNumberFormat="1" applyFont="1" applyFill="1" applyBorder="1" applyAlignment="1" applyProtection="1">
      <alignment horizontal="center" vertical="center"/>
      <protection locked="0"/>
    </xf>
    <xf numFmtId="168" fontId="5" fillId="32" borderId="11" xfId="5" applyNumberFormat="1" applyFont="1" applyFill="1" applyBorder="1" applyAlignment="1" applyProtection="1">
      <alignment horizontal="center" vertical="center"/>
      <protection locked="0"/>
    </xf>
    <xf numFmtId="168" fontId="67" fillId="32" borderId="8" xfId="5" applyNumberFormat="1" applyFont="1" applyFill="1" applyBorder="1" applyAlignment="1" applyProtection="1">
      <alignment horizontal="left" vertical="center" textRotation="90"/>
      <protection locked="0"/>
    </xf>
    <xf numFmtId="168" fontId="67" fillId="32" borderId="9" xfId="5" applyNumberFormat="1" applyFont="1" applyFill="1" applyBorder="1" applyAlignment="1" applyProtection="1">
      <alignment horizontal="left" vertical="center" textRotation="90"/>
      <protection locked="0"/>
    </xf>
    <xf numFmtId="2" fontId="33" fillId="32" borderId="22" xfId="5" applyNumberFormat="1" applyFont="1" applyFill="1" applyBorder="1" applyAlignment="1" applyProtection="1">
      <alignment horizontal="center" vertical="center" shrinkToFit="1"/>
      <protection locked="0"/>
    </xf>
    <xf numFmtId="2" fontId="33" fillId="32" borderId="14" xfId="5" applyNumberFormat="1" applyFont="1" applyFill="1" applyBorder="1" applyAlignment="1" applyProtection="1">
      <alignment horizontal="center" vertical="center" shrinkToFit="1"/>
      <protection locked="0"/>
    </xf>
    <xf numFmtId="2" fontId="33" fillId="32" borderId="12" xfId="5" applyNumberFormat="1" applyFont="1" applyFill="1" applyBorder="1" applyAlignment="1" applyProtection="1">
      <alignment horizontal="center" vertical="center" shrinkToFit="1"/>
      <protection locked="0"/>
    </xf>
    <xf numFmtId="38" fontId="99" fillId="7" borderId="5" xfId="6" applyNumberFormat="1" applyFont="1" applyFill="1" applyBorder="1" applyAlignment="1">
      <alignment horizontal="center" vertical="center" textRotation="90"/>
    </xf>
    <xf numFmtId="38" fontId="99" fillId="7" borderId="7" xfId="6" applyNumberFormat="1" applyFont="1" applyFill="1" applyBorder="1" applyAlignment="1">
      <alignment horizontal="center" vertical="center" textRotation="90"/>
    </xf>
    <xf numFmtId="38" fontId="99" fillId="7" borderId="8" xfId="6" applyNumberFormat="1" applyFont="1" applyFill="1" applyBorder="1" applyAlignment="1">
      <alignment horizontal="center" vertical="center" textRotation="90"/>
    </xf>
    <xf numFmtId="38" fontId="99" fillId="7" borderId="9" xfId="6" applyNumberFormat="1" applyFont="1" applyFill="1" applyBorder="1" applyAlignment="1">
      <alignment horizontal="center" vertical="center" textRotation="90"/>
    </xf>
    <xf numFmtId="38" fontId="99" fillId="7" borderId="10" xfId="6" applyNumberFormat="1" applyFont="1" applyFill="1" applyBorder="1" applyAlignment="1">
      <alignment horizontal="center" vertical="center" textRotation="90"/>
    </xf>
    <xf numFmtId="38" fontId="99" fillId="7" borderId="11" xfId="6" applyNumberFormat="1" applyFont="1" applyFill="1" applyBorder="1" applyAlignment="1">
      <alignment horizontal="center" vertical="center" textRotation="90"/>
    </xf>
    <xf numFmtId="2" fontId="34" fillId="48" borderId="22" xfId="5" applyNumberFormat="1" applyFont="1" applyFill="1" applyBorder="1" applyAlignment="1" applyProtection="1">
      <alignment horizontal="center" vertical="center" shrinkToFit="1"/>
      <protection locked="0"/>
    </xf>
    <xf numFmtId="2" fontId="34" fillId="48" borderId="14" xfId="5" applyNumberFormat="1" applyFont="1" applyFill="1" applyBorder="1" applyAlignment="1" applyProtection="1">
      <alignment horizontal="center" vertical="center" shrinkToFit="1"/>
      <protection locked="0"/>
    </xf>
    <xf numFmtId="9" fontId="18" fillId="12" borderId="1" xfId="5" applyNumberFormat="1" applyFont="1" applyFill="1" applyBorder="1" applyAlignment="1">
      <alignment horizontal="left" vertical="center" shrinkToFit="1"/>
    </xf>
    <xf numFmtId="9" fontId="18" fillId="12" borderId="2" xfId="5" applyNumberFormat="1" applyFont="1" applyFill="1" applyBorder="1" applyAlignment="1">
      <alignment horizontal="left" vertical="center" shrinkToFit="1"/>
    </xf>
    <xf numFmtId="9" fontId="18" fillId="12" borderId="4" xfId="5" applyNumberFormat="1" applyFont="1" applyFill="1" applyBorder="1" applyAlignment="1">
      <alignment horizontal="left" vertical="center" shrinkToFit="1"/>
    </xf>
    <xf numFmtId="168" fontId="9" fillId="7" borderId="3" xfId="5" applyNumberFormat="1" applyFont="1" applyFill="1" applyBorder="1" applyAlignment="1">
      <alignment horizontal="center" vertical="center"/>
    </xf>
    <xf numFmtId="168" fontId="9" fillId="7" borderId="11" xfId="5" applyNumberFormat="1" applyFont="1" applyFill="1" applyBorder="1" applyAlignment="1">
      <alignment horizontal="center" vertical="center"/>
    </xf>
    <xf numFmtId="38" fontId="68" fillId="12" borderId="7" xfId="6" applyNumberFormat="1" applyFont="1" applyFill="1" applyBorder="1" applyAlignment="1">
      <alignment horizontal="center" vertical="center" textRotation="90"/>
    </xf>
    <xf numFmtId="38" fontId="68" fillId="12" borderId="9" xfId="6" applyNumberFormat="1" applyFont="1" applyFill="1" applyBorder="1" applyAlignment="1">
      <alignment horizontal="center" vertical="center" textRotation="90"/>
    </xf>
    <xf numFmtId="38" fontId="68" fillId="12" borderId="10" xfId="6" applyNumberFormat="1" applyFont="1" applyFill="1" applyBorder="1" applyAlignment="1">
      <alignment horizontal="center" vertical="center" textRotation="90"/>
    </xf>
    <xf numFmtId="38" fontId="68" fillId="12" borderId="11" xfId="6" applyNumberFormat="1" applyFont="1" applyFill="1" applyBorder="1" applyAlignment="1">
      <alignment horizontal="center" vertical="center" textRotation="90"/>
    </xf>
    <xf numFmtId="44" fontId="9" fillId="34" borderId="2" xfId="1" applyFont="1" applyFill="1" applyBorder="1" applyAlignment="1" applyProtection="1">
      <alignment horizontal="left" vertical="center"/>
    </xf>
    <xf numFmtId="44" fontId="1" fillId="41" borderId="0" xfId="1" applyFont="1" applyFill="1" applyAlignment="1" applyProtection="1">
      <alignment horizontal="center" vertical="center"/>
      <protection locked="0"/>
    </xf>
    <xf numFmtId="0" fontId="9" fillId="0" borderId="8" xfId="5" applyFont="1" applyBorder="1" applyAlignment="1" applyProtection="1">
      <alignment horizontal="center" vertical="center"/>
      <protection locked="0"/>
    </xf>
    <xf numFmtId="0" fontId="9" fillId="0" borderId="10" xfId="5" applyFont="1" applyBorder="1" applyAlignment="1" applyProtection="1">
      <alignment horizontal="center" vertical="center"/>
      <protection locked="0"/>
    </xf>
    <xf numFmtId="0" fontId="9" fillId="0" borderId="5" xfId="5" applyFont="1" applyBorder="1" applyAlignment="1" applyProtection="1">
      <alignment horizontal="left" vertical="center"/>
      <protection locked="0"/>
    </xf>
    <xf numFmtId="0" fontId="9" fillId="0" borderId="7" xfId="5" applyFont="1" applyBorder="1" applyAlignment="1" applyProtection="1">
      <alignment horizontal="left" vertical="center"/>
      <protection locked="0"/>
    </xf>
    <xf numFmtId="1" fontId="47" fillId="0" borderId="0" xfId="2" applyNumberFormat="1" applyFont="1" applyAlignment="1" applyProtection="1">
      <alignment horizontal="center" vertical="center" wrapText="1"/>
      <protection locked="0"/>
    </xf>
    <xf numFmtId="1" fontId="47" fillId="0" borderId="9" xfId="2" applyNumberFormat="1" applyFont="1" applyBorder="1" applyAlignment="1" applyProtection="1">
      <alignment horizontal="center" vertical="center" wrapText="1"/>
      <protection locked="0"/>
    </xf>
    <xf numFmtId="0" fontId="65" fillId="0" borderId="10" xfId="0" applyFont="1" applyBorder="1" applyAlignment="1">
      <alignment horizontal="left" vertical="center"/>
    </xf>
    <xf numFmtId="0" fontId="65" fillId="0" borderId="3" xfId="0" applyFont="1" applyBorder="1" applyAlignment="1">
      <alignment horizontal="left" vertical="center"/>
    </xf>
    <xf numFmtId="0" fontId="65" fillId="0" borderId="11" xfId="0" applyFont="1" applyBorder="1" applyAlignment="1">
      <alignment horizontal="left" vertical="center"/>
    </xf>
    <xf numFmtId="0" fontId="74" fillId="0" borderId="1" xfId="0" applyFont="1" applyBorder="1" applyAlignment="1">
      <alignment horizontal="left"/>
    </xf>
    <xf numFmtId="0" fontId="74" fillId="0" borderId="2" xfId="0" applyFont="1" applyBorder="1" applyAlignment="1">
      <alignment horizontal="left"/>
    </xf>
    <xf numFmtId="0" fontId="74" fillId="0" borderId="4" xfId="0" applyFont="1" applyBorder="1" applyAlignment="1">
      <alignment horizontal="left"/>
    </xf>
    <xf numFmtId="0" fontId="63" fillId="14" borderId="30" xfId="0" applyFont="1" applyFill="1" applyBorder="1" applyAlignment="1">
      <alignment horizontal="left" vertical="center"/>
    </xf>
    <xf numFmtId="0" fontId="63" fillId="14" borderId="28" xfId="0" applyFont="1" applyFill="1" applyBorder="1" applyAlignment="1">
      <alignment horizontal="left" vertical="center"/>
    </xf>
    <xf numFmtId="0" fontId="63" fillId="14" borderId="31" xfId="0" applyFont="1" applyFill="1" applyBorder="1" applyAlignment="1">
      <alignment horizontal="left" vertical="center"/>
    </xf>
    <xf numFmtId="0" fontId="49" fillId="7" borderId="1" xfId="0" applyFont="1" applyFill="1" applyBorder="1" applyAlignment="1">
      <alignment horizontal="left"/>
    </xf>
    <xf numFmtId="0" fontId="49" fillId="7" borderId="2" xfId="0" applyFont="1" applyFill="1" applyBorder="1" applyAlignment="1">
      <alignment horizontal="left"/>
    </xf>
    <xf numFmtId="0" fontId="49" fillId="7" borderId="4" xfId="0" applyFont="1" applyFill="1" applyBorder="1" applyAlignment="1">
      <alignment horizontal="left"/>
    </xf>
    <xf numFmtId="0" fontId="63" fillId="6" borderId="30" xfId="0" applyFont="1" applyFill="1" applyBorder="1" applyAlignment="1">
      <alignment horizontal="left" vertical="center"/>
    </xf>
    <xf numFmtId="0" fontId="63" fillId="6" borderId="28" xfId="0" applyFont="1" applyFill="1" applyBorder="1" applyAlignment="1">
      <alignment horizontal="left" vertical="center"/>
    </xf>
    <xf numFmtId="0" fontId="63" fillId="6" borderId="31" xfId="0" applyFont="1" applyFill="1" applyBorder="1" applyAlignment="1">
      <alignment horizontal="left" vertical="center"/>
    </xf>
    <xf numFmtId="0" fontId="5" fillId="0" borderId="5" xfId="5" applyFont="1" applyBorder="1" applyAlignment="1" applyProtection="1">
      <alignment horizontal="center"/>
      <protection locked="0"/>
    </xf>
    <xf numFmtId="0" fontId="5" fillId="0" borderId="6" xfId="5" applyFont="1" applyBorder="1" applyAlignment="1" applyProtection="1">
      <alignment horizontal="center"/>
      <protection locked="0"/>
    </xf>
    <xf numFmtId="0" fontId="5" fillId="0" borderId="7" xfId="5" applyFont="1" applyBorder="1" applyAlignment="1" applyProtection="1">
      <alignment horizontal="center"/>
      <protection locked="0"/>
    </xf>
    <xf numFmtId="0" fontId="5" fillId="0" borderId="10" xfId="5" applyFont="1" applyBorder="1" applyAlignment="1" applyProtection="1">
      <alignment horizontal="center"/>
      <protection locked="0"/>
    </xf>
    <xf numFmtId="0" fontId="5" fillId="0" borderId="3" xfId="5" applyFont="1" applyBorder="1" applyAlignment="1" applyProtection="1">
      <alignment horizontal="center"/>
      <protection locked="0"/>
    </xf>
    <xf numFmtId="0" fontId="5" fillId="0" borderId="11" xfId="5" applyFont="1" applyBorder="1" applyAlignment="1" applyProtection="1">
      <alignment horizontal="center"/>
      <protection locked="0"/>
    </xf>
    <xf numFmtId="0" fontId="19" fillId="2" borderId="1" xfId="5" applyFont="1" applyFill="1" applyBorder="1" applyAlignment="1" applyProtection="1">
      <alignment horizontal="center" vertical="center"/>
      <protection locked="0"/>
    </xf>
    <xf numFmtId="0" fontId="19" fillId="2" borderId="2" xfId="5" applyFont="1" applyFill="1" applyBorder="1" applyAlignment="1" applyProtection="1">
      <alignment horizontal="center" vertical="center"/>
      <protection locked="0"/>
    </xf>
    <xf numFmtId="0" fontId="106" fillId="0" borderId="8" xfId="5" applyFont="1" applyBorder="1" applyAlignment="1" applyProtection="1">
      <alignment horizontal="center" vertical="center" wrapText="1"/>
      <protection locked="0"/>
    </xf>
    <xf numFmtId="0" fontId="106" fillId="0" borderId="0" xfId="5" applyFont="1" applyAlignment="1" applyProtection="1">
      <alignment horizontal="center" vertical="center" wrapText="1"/>
      <protection locked="0"/>
    </xf>
    <xf numFmtId="0" fontId="106" fillId="0" borderId="10" xfId="5" applyFont="1" applyBorder="1" applyAlignment="1" applyProtection="1">
      <alignment horizontal="center" vertical="center" wrapText="1"/>
      <protection locked="0"/>
    </xf>
    <xf numFmtId="0" fontId="106" fillId="0" borderId="3" xfId="5" applyFont="1" applyBorder="1" applyAlignment="1" applyProtection="1">
      <alignment horizontal="center" vertical="center" wrapText="1"/>
      <protection locked="0"/>
    </xf>
    <xf numFmtId="44" fontId="95" fillId="0" borderId="8" xfId="1" applyFont="1" applyFill="1" applyBorder="1" applyAlignment="1">
      <alignment horizontal="left" vertical="center"/>
    </xf>
    <xf numFmtId="44" fontId="95" fillId="0" borderId="9" xfId="1" applyFont="1" applyFill="1" applyBorder="1" applyAlignment="1">
      <alignment horizontal="left" vertical="center"/>
    </xf>
    <xf numFmtId="0" fontId="8" fillId="7" borderId="1" xfId="5" applyFont="1" applyFill="1" applyBorder="1" applyAlignment="1" applyProtection="1">
      <alignment horizontal="left"/>
      <protection locked="0"/>
    </xf>
    <xf numFmtId="0" fontId="8" fillId="7" borderId="2" xfId="5" applyFont="1" applyFill="1" applyBorder="1" applyAlignment="1" applyProtection="1">
      <alignment horizontal="left"/>
      <protection locked="0"/>
    </xf>
    <xf numFmtId="0" fontId="8" fillId="7" borderId="4" xfId="5" applyFont="1" applyFill="1" applyBorder="1" applyAlignment="1" applyProtection="1">
      <alignment horizontal="left"/>
      <protection locked="0"/>
    </xf>
    <xf numFmtId="44" fontId="95" fillId="0" borderId="5" xfId="1" applyFont="1" applyFill="1" applyBorder="1" applyAlignment="1">
      <alignment horizontal="center" vertical="center"/>
    </xf>
    <xf numFmtId="44" fontId="95" fillId="0" borderId="6" xfId="1" applyFont="1" applyFill="1" applyBorder="1" applyAlignment="1">
      <alignment horizontal="center" vertical="center"/>
    </xf>
    <xf numFmtId="44" fontId="95" fillId="0" borderId="7" xfId="1" applyFont="1" applyFill="1" applyBorder="1" applyAlignment="1">
      <alignment horizontal="center" vertical="center"/>
    </xf>
    <xf numFmtId="44" fontId="95" fillId="0" borderId="10" xfId="1" applyFont="1" applyFill="1" applyBorder="1" applyAlignment="1">
      <alignment horizontal="center" vertical="center"/>
    </xf>
    <xf numFmtId="44" fontId="95" fillId="0" borderId="3" xfId="1" applyFont="1" applyFill="1" applyBorder="1" applyAlignment="1">
      <alignment horizontal="center" vertical="center"/>
    </xf>
    <xf numFmtId="44" fontId="95" fillId="0" borderId="11" xfId="1" applyFont="1" applyFill="1" applyBorder="1" applyAlignment="1">
      <alignment horizontal="center" vertical="center"/>
    </xf>
    <xf numFmtId="0" fontId="117" fillId="0" borderId="10" xfId="0" applyFont="1" applyBorder="1" applyAlignment="1">
      <alignment horizontal="left" vertical="center"/>
    </xf>
    <xf numFmtId="0" fontId="117" fillId="0" borderId="11" xfId="0" applyFont="1" applyBorder="1" applyAlignment="1">
      <alignment horizontal="left" vertical="center"/>
    </xf>
    <xf numFmtId="0" fontId="1" fillId="0" borderId="1" xfId="5" applyFont="1" applyBorder="1" applyAlignment="1" applyProtection="1">
      <alignment horizontal="center" vertical="center"/>
      <protection locked="0"/>
    </xf>
    <xf numFmtId="0" fontId="1" fillId="0" borderId="4" xfId="5" applyFont="1" applyBorder="1" applyAlignment="1" applyProtection="1">
      <alignment horizontal="center" vertical="center"/>
      <protection locked="0"/>
    </xf>
    <xf numFmtId="0" fontId="105" fillId="23" borderId="1" xfId="5" applyFont="1" applyFill="1" applyBorder="1" applyAlignment="1" applyProtection="1">
      <alignment horizontal="center" vertical="center"/>
      <protection locked="0"/>
    </xf>
    <xf numFmtId="0" fontId="105" fillId="23" borderId="2" xfId="5" applyFont="1" applyFill="1" applyBorder="1" applyAlignment="1" applyProtection="1">
      <alignment horizontal="center" vertical="center"/>
      <protection locked="0"/>
    </xf>
    <xf numFmtId="0" fontId="105" fillId="23" borderId="4" xfId="5" applyFont="1" applyFill="1" applyBorder="1" applyAlignment="1" applyProtection="1">
      <alignment horizontal="center" vertical="center"/>
      <protection locked="0"/>
    </xf>
    <xf numFmtId="0" fontId="9" fillId="27" borderId="1" xfId="5" applyFont="1" applyFill="1" applyBorder="1" applyAlignment="1" applyProtection="1">
      <alignment horizontal="center" vertical="center"/>
      <protection locked="0"/>
    </xf>
    <xf numFmtId="0" fontId="9" fillId="27" borderId="2" xfId="5" applyFont="1" applyFill="1" applyBorder="1" applyAlignment="1" applyProtection="1">
      <alignment horizontal="center" vertical="center"/>
      <protection locked="0"/>
    </xf>
    <xf numFmtId="0" fontId="9" fillId="27" borderId="3" xfId="5" applyFont="1" applyFill="1" applyBorder="1" applyAlignment="1" applyProtection="1">
      <alignment horizontal="center" vertical="center"/>
      <protection locked="0"/>
    </xf>
    <xf numFmtId="0" fontId="9" fillId="27" borderId="4" xfId="5" applyFont="1" applyFill="1" applyBorder="1" applyAlignment="1" applyProtection="1">
      <alignment horizontal="center" vertical="center"/>
      <protection locked="0"/>
    </xf>
    <xf numFmtId="0" fontId="13" fillId="0" borderId="5" xfId="0" applyFont="1" applyBorder="1" applyAlignment="1">
      <alignment horizontal="center"/>
    </xf>
    <xf numFmtId="0" fontId="13" fillId="0" borderId="6" xfId="0" applyFont="1" applyBorder="1" applyAlignment="1">
      <alignment horizontal="center"/>
    </xf>
    <xf numFmtId="0" fontId="13" fillId="0" borderId="8" xfId="0" applyFont="1" applyBorder="1" applyAlignment="1">
      <alignment horizontal="center"/>
    </xf>
    <xf numFmtId="0" fontId="13" fillId="0" borderId="0" xfId="0" applyFont="1" applyAlignment="1">
      <alignment horizontal="center"/>
    </xf>
    <xf numFmtId="0" fontId="106" fillId="0" borderId="5" xfId="5" applyFont="1" applyBorder="1" applyAlignment="1" applyProtection="1">
      <alignment horizontal="center"/>
      <protection locked="0"/>
    </xf>
    <xf numFmtId="0" fontId="106" fillId="0" borderId="6" xfId="5" applyFont="1" applyBorder="1" applyAlignment="1" applyProtection="1">
      <alignment horizontal="center"/>
      <protection locked="0"/>
    </xf>
    <xf numFmtId="0" fontId="106" fillId="0" borderId="8" xfId="5" applyFont="1" applyBorder="1" applyAlignment="1" applyProtection="1">
      <alignment horizontal="center"/>
      <protection locked="0"/>
    </xf>
    <xf numFmtId="0" fontId="106" fillId="0" borderId="0" xfId="5" applyFont="1" applyAlignment="1" applyProtection="1">
      <alignment horizontal="center"/>
      <protection locked="0"/>
    </xf>
    <xf numFmtId="0" fontId="83" fillId="0" borderId="8" xfId="0" applyFont="1" applyBorder="1" applyAlignment="1">
      <alignment horizontal="center" vertical="center"/>
    </xf>
    <xf numFmtId="0" fontId="83" fillId="0" borderId="0" xfId="0" applyFont="1" applyAlignment="1">
      <alignment horizontal="center" vertical="center"/>
    </xf>
    <xf numFmtId="0" fontId="79" fillId="39" borderId="5" xfId="0" applyFont="1" applyFill="1" applyBorder="1" applyAlignment="1">
      <alignment horizontal="center" vertical="center" wrapText="1"/>
    </xf>
    <xf numFmtId="0" fontId="79" fillId="39" borderId="6" xfId="0" applyFont="1" applyFill="1" applyBorder="1" applyAlignment="1">
      <alignment horizontal="center" vertical="center" wrapText="1"/>
    </xf>
    <xf numFmtId="0" fontId="79" fillId="39" borderId="7" xfId="0" applyFont="1" applyFill="1" applyBorder="1" applyAlignment="1">
      <alignment horizontal="center" vertical="center" wrapText="1"/>
    </xf>
    <xf numFmtId="0" fontId="79" fillId="39" borderId="8" xfId="0" applyFont="1" applyFill="1" applyBorder="1" applyAlignment="1">
      <alignment horizontal="center" vertical="center" wrapText="1"/>
    </xf>
    <xf numFmtId="0" fontId="79" fillId="39" borderId="0" xfId="0" applyFont="1" applyFill="1" applyAlignment="1">
      <alignment horizontal="center" vertical="center" wrapText="1"/>
    </xf>
    <xf numFmtId="0" fontId="79" fillId="39" borderId="9" xfId="0" applyFont="1" applyFill="1" applyBorder="1" applyAlignment="1">
      <alignment horizontal="center" vertical="center" wrapText="1"/>
    </xf>
    <xf numFmtId="0" fontId="9" fillId="29" borderId="10" xfId="5" applyFont="1" applyFill="1" applyBorder="1" applyAlignment="1" applyProtection="1">
      <alignment horizontal="center"/>
      <protection locked="0"/>
    </xf>
    <xf numFmtId="0" fontId="9" fillId="29" borderId="3" xfId="5" applyFont="1" applyFill="1" applyBorder="1" applyAlignment="1" applyProtection="1">
      <alignment horizontal="center"/>
      <protection locked="0"/>
    </xf>
    <xf numFmtId="0" fontId="9" fillId="29" borderId="11" xfId="5" applyFont="1" applyFill="1" applyBorder="1" applyAlignment="1" applyProtection="1">
      <alignment horizontal="center"/>
      <protection locked="0"/>
    </xf>
    <xf numFmtId="0" fontId="9" fillId="27" borderId="1" xfId="5" applyFont="1" applyFill="1" applyBorder="1" applyAlignment="1" applyProtection="1">
      <alignment horizontal="center"/>
      <protection locked="0"/>
    </xf>
    <xf numFmtId="0" fontId="9" fillId="27" borderId="2" xfId="5" applyFont="1" applyFill="1" applyBorder="1" applyAlignment="1" applyProtection="1">
      <alignment horizontal="center"/>
      <protection locked="0"/>
    </xf>
    <xf numFmtId="0" fontId="9" fillId="27" borderId="4" xfId="5" applyFont="1" applyFill="1" applyBorder="1" applyAlignment="1" applyProtection="1">
      <alignment horizontal="center"/>
      <protection locked="0"/>
    </xf>
    <xf numFmtId="0" fontId="92" fillId="25" borderId="8" xfId="0" applyFont="1" applyFill="1" applyBorder="1" applyAlignment="1">
      <alignment horizontal="left" vertical="center"/>
    </xf>
    <xf numFmtId="0" fontId="92" fillId="25" borderId="0" xfId="0" applyFont="1" applyFill="1" applyAlignment="1">
      <alignment horizontal="left" vertical="center"/>
    </xf>
    <xf numFmtId="0" fontId="92" fillId="25" borderId="9" xfId="0" applyFont="1" applyFill="1" applyBorder="1" applyAlignment="1">
      <alignment horizontal="left" vertical="center"/>
    </xf>
    <xf numFmtId="0" fontId="0" fillId="0" borderId="8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25" borderId="1" xfId="5" applyFont="1" applyFill="1" applyBorder="1" applyAlignment="1" applyProtection="1">
      <alignment horizontal="center"/>
      <protection locked="0"/>
    </xf>
    <xf numFmtId="0" fontId="9" fillId="25" borderId="2" xfId="5" applyFont="1" applyFill="1" applyBorder="1" applyAlignment="1" applyProtection="1">
      <alignment horizontal="center"/>
      <protection locked="0"/>
    </xf>
    <xf numFmtId="0" fontId="9" fillId="25" borderId="4" xfId="5" applyFont="1" applyFill="1" applyBorder="1" applyAlignment="1" applyProtection="1">
      <alignment horizontal="center"/>
      <protection locked="0"/>
    </xf>
    <xf numFmtId="0" fontId="117" fillId="0" borderId="8" xfId="0" applyFont="1" applyBorder="1" applyAlignment="1">
      <alignment horizontal="left" vertical="center"/>
    </xf>
    <xf numFmtId="0" fontId="117" fillId="0" borderId="9" xfId="0" applyFont="1" applyBorder="1" applyAlignment="1">
      <alignment horizontal="left" vertical="center"/>
    </xf>
    <xf numFmtId="0" fontId="83" fillId="0" borderId="9" xfId="0" applyFont="1" applyBorder="1" applyAlignment="1">
      <alignment horizontal="center" vertical="center"/>
    </xf>
    <xf numFmtId="0" fontId="92" fillId="25" borderId="8" xfId="0" applyFont="1" applyFill="1" applyBorder="1" applyAlignment="1">
      <alignment horizontal="center" vertical="center"/>
    </xf>
    <xf numFmtId="0" fontId="92" fillId="25" borderId="0" xfId="0" applyFont="1" applyFill="1" applyAlignment="1">
      <alignment horizontal="center" vertical="center"/>
    </xf>
    <xf numFmtId="0" fontId="79" fillId="47" borderId="5" xfId="0" applyFont="1" applyFill="1" applyBorder="1" applyAlignment="1">
      <alignment horizontal="center" vertical="center" wrapText="1"/>
    </xf>
    <xf numFmtId="0" fontId="79" fillId="47" borderId="6" xfId="0" applyFont="1" applyFill="1" applyBorder="1" applyAlignment="1">
      <alignment horizontal="center" vertical="center" wrapText="1"/>
    </xf>
    <xf numFmtId="0" fontId="79" fillId="47" borderId="7" xfId="0" applyFont="1" applyFill="1" applyBorder="1" applyAlignment="1">
      <alignment horizontal="center" vertical="center" wrapText="1"/>
    </xf>
    <xf numFmtId="0" fontId="79" fillId="47" borderId="8" xfId="0" applyFont="1" applyFill="1" applyBorder="1" applyAlignment="1">
      <alignment horizontal="center" vertical="center" wrapText="1"/>
    </xf>
    <xf numFmtId="0" fontId="79" fillId="47" borderId="0" xfId="0" applyFont="1" applyFill="1" applyAlignment="1">
      <alignment horizontal="center" vertical="center" wrapText="1"/>
    </xf>
    <xf numFmtId="0" fontId="79" fillId="47" borderId="9" xfId="0" applyFont="1" applyFill="1" applyBorder="1" applyAlignment="1">
      <alignment horizontal="center" vertical="center" wrapText="1"/>
    </xf>
    <xf numFmtId="0" fontId="117" fillId="0" borderId="5" xfId="0" applyFont="1" applyBorder="1" applyAlignment="1">
      <alignment horizontal="left" vertical="center"/>
    </xf>
    <xf numFmtId="0" fontId="117" fillId="0" borderId="7" xfId="0" applyFont="1" applyBorder="1" applyAlignment="1">
      <alignment horizontal="left" vertical="center"/>
    </xf>
    <xf numFmtId="0" fontId="92" fillId="30" borderId="1" xfId="0" applyFont="1" applyFill="1" applyBorder="1" applyAlignment="1">
      <alignment horizontal="center" vertical="center"/>
    </xf>
    <xf numFmtId="0" fontId="92" fillId="30" borderId="2" xfId="0" applyFont="1" applyFill="1" applyBorder="1" applyAlignment="1">
      <alignment horizontal="center" vertical="center"/>
    </xf>
    <xf numFmtId="0" fontId="92" fillId="30" borderId="4" xfId="0" applyFont="1" applyFill="1" applyBorder="1" applyAlignment="1">
      <alignment horizontal="center" vertical="center"/>
    </xf>
    <xf numFmtId="0" fontId="96" fillId="2" borderId="1" xfId="5" applyFont="1" applyFill="1" applyBorder="1" applyAlignment="1" applyProtection="1">
      <alignment horizontal="center" vertical="center"/>
      <protection locked="0"/>
    </xf>
    <xf numFmtId="0" fontId="96" fillId="2" borderId="2" xfId="5" applyFont="1" applyFill="1" applyBorder="1" applyAlignment="1" applyProtection="1">
      <alignment horizontal="center" vertical="center"/>
      <protection locked="0"/>
    </xf>
    <xf numFmtId="0" fontId="96" fillId="2" borderId="4" xfId="5" applyFont="1" applyFill="1" applyBorder="1" applyAlignment="1" applyProtection="1">
      <alignment horizontal="center" vertical="center"/>
      <protection locked="0"/>
    </xf>
    <xf numFmtId="0" fontId="21" fillId="8" borderId="19" xfId="0" applyFont="1" applyFill="1" applyBorder="1"/>
    <xf numFmtId="0" fontId="0" fillId="0" borderId="19" xfId="0" applyBorder="1"/>
    <xf numFmtId="0" fontId="13" fillId="0" borderId="17" xfId="0" applyFont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25" fillId="16" borderId="14" xfId="0" applyFont="1" applyFill="1" applyBorder="1" applyAlignment="1">
      <alignment vertical="top"/>
    </xf>
    <xf numFmtId="0" fontId="24" fillId="19" borderId="22" xfId="5" applyFont="1" applyFill="1" applyBorder="1" applyAlignment="1" applyProtection="1">
      <alignment horizontal="center" vertical="top"/>
      <protection locked="0"/>
    </xf>
    <xf numFmtId="0" fontId="24" fillId="19" borderId="14" xfId="5" applyFont="1" applyFill="1" applyBorder="1" applyAlignment="1" applyProtection="1">
      <alignment horizontal="center" vertical="top"/>
      <protection locked="0"/>
    </xf>
    <xf numFmtId="0" fontId="24" fillId="19" borderId="12" xfId="5" applyFont="1" applyFill="1" applyBorder="1" applyAlignment="1" applyProtection="1">
      <alignment horizontal="center" vertical="top"/>
      <protection locked="0"/>
    </xf>
    <xf numFmtId="0" fontId="24" fillId="16" borderId="22" xfId="5" applyFont="1" applyFill="1" applyBorder="1" applyAlignment="1" applyProtection="1">
      <alignment horizontal="center"/>
      <protection locked="0"/>
    </xf>
    <xf numFmtId="0" fontId="25" fillId="16" borderId="14" xfId="0" applyFont="1" applyFill="1" applyBorder="1"/>
    <xf numFmtId="0" fontId="25" fillId="16" borderId="12" xfId="0" applyFont="1" applyFill="1" applyBorder="1"/>
    <xf numFmtId="0" fontId="9" fillId="15" borderId="1" xfId="5" applyFont="1" applyFill="1" applyBorder="1" applyAlignment="1" applyProtection="1">
      <alignment horizontal="center" vertical="center"/>
      <protection locked="0"/>
    </xf>
    <xf numFmtId="0" fontId="9" fillId="15" borderId="2" xfId="5" applyFont="1" applyFill="1" applyBorder="1" applyAlignment="1" applyProtection="1">
      <alignment horizontal="center" vertical="center"/>
      <protection locked="0"/>
    </xf>
    <xf numFmtId="0" fontId="19" fillId="11" borderId="5" xfId="5" applyFont="1" applyFill="1" applyBorder="1" applyAlignment="1" applyProtection="1">
      <alignment horizontal="center" vertical="center"/>
      <protection locked="0"/>
    </xf>
    <xf numFmtId="0" fontId="19" fillId="11" borderId="6" xfId="5" applyFont="1" applyFill="1" applyBorder="1" applyAlignment="1" applyProtection="1">
      <alignment horizontal="center" vertical="center"/>
      <protection locked="0"/>
    </xf>
    <xf numFmtId="0" fontId="19" fillId="11" borderId="7" xfId="5" applyFont="1" applyFill="1" applyBorder="1" applyAlignment="1" applyProtection="1">
      <alignment horizontal="center" vertical="center"/>
      <protection locked="0"/>
    </xf>
    <xf numFmtId="0" fontId="19" fillId="11" borderId="10" xfId="5" applyFont="1" applyFill="1" applyBorder="1" applyAlignment="1" applyProtection="1">
      <alignment horizontal="center" vertical="center"/>
      <protection locked="0"/>
    </xf>
    <xf numFmtId="0" fontId="19" fillId="11" borderId="3" xfId="5" applyFont="1" applyFill="1" applyBorder="1" applyAlignment="1" applyProtection="1">
      <alignment horizontal="center" vertical="center"/>
      <protection locked="0"/>
    </xf>
    <xf numFmtId="0" fontId="19" fillId="11" borderId="11" xfId="5" applyFont="1" applyFill="1" applyBorder="1" applyAlignment="1" applyProtection="1">
      <alignment horizontal="center" vertical="center"/>
      <protection locked="0"/>
    </xf>
    <xf numFmtId="0" fontId="9" fillId="27" borderId="13" xfId="5" applyFont="1" applyFill="1" applyBorder="1" applyAlignment="1" applyProtection="1">
      <alignment horizontal="center" vertical="center"/>
      <protection locked="0"/>
    </xf>
    <xf numFmtId="0" fontId="9" fillId="27" borderId="22" xfId="5" applyFont="1" applyFill="1" applyBorder="1" applyProtection="1">
      <protection locked="0"/>
    </xf>
    <xf numFmtId="0" fontId="0" fillId="27" borderId="14" xfId="0" applyFill="1" applyBorder="1"/>
    <xf numFmtId="0" fontId="0" fillId="27" borderId="12" xfId="0" applyFill="1" applyBorder="1"/>
    <xf numFmtId="0" fontId="19" fillId="18" borderId="18" xfId="5" applyFont="1" applyFill="1" applyBorder="1" applyAlignment="1" applyProtection="1">
      <alignment horizontal="center" vertical="center"/>
      <protection locked="0"/>
    </xf>
    <xf numFmtId="0" fontId="19" fillId="18" borderId="19" xfId="5" applyFont="1" applyFill="1" applyBorder="1" applyAlignment="1" applyProtection="1">
      <alignment horizontal="center" vertical="center"/>
      <protection locked="0"/>
    </xf>
    <xf numFmtId="0" fontId="19" fillId="18" borderId="51" xfId="5" applyFont="1" applyFill="1" applyBorder="1" applyAlignment="1" applyProtection="1">
      <alignment horizontal="center" vertical="center"/>
      <protection locked="0"/>
    </xf>
    <xf numFmtId="0" fontId="3" fillId="0" borderId="22" xfId="5" applyFont="1" applyBorder="1" applyAlignment="1" applyProtection="1">
      <alignment horizontal="center" vertical="center" wrapText="1"/>
      <protection locked="0"/>
    </xf>
    <xf numFmtId="0" fontId="3" fillId="0" borderId="12" xfId="5" applyFont="1" applyBorder="1" applyAlignment="1" applyProtection="1">
      <alignment horizontal="center" vertical="center" wrapText="1"/>
      <protection locked="0"/>
    </xf>
    <xf numFmtId="0" fontId="9" fillId="0" borderId="1" xfId="5" applyFont="1" applyBorder="1" applyAlignment="1" applyProtection="1">
      <alignment horizontal="left" vertical="center"/>
      <protection locked="0"/>
    </xf>
    <xf numFmtId="0" fontId="9" fillId="0" borderId="2" xfId="5" applyFont="1" applyBorder="1" applyAlignment="1" applyProtection="1">
      <alignment horizontal="left" vertical="center"/>
      <protection locked="0"/>
    </xf>
    <xf numFmtId="0" fontId="9" fillId="0" borderId="4" xfId="5" applyFont="1" applyBorder="1" applyAlignment="1" applyProtection="1">
      <alignment horizontal="left" vertical="center"/>
      <protection locked="0"/>
    </xf>
    <xf numFmtId="0" fontId="9" fillId="0" borderId="0" xfId="5" applyFont="1" applyAlignment="1" applyProtection="1">
      <alignment horizontal="center"/>
      <protection locked="0"/>
    </xf>
    <xf numFmtId="0" fontId="9" fillId="0" borderId="9" xfId="5" applyFont="1" applyBorder="1" applyAlignment="1" applyProtection="1">
      <alignment horizontal="center"/>
      <protection locked="0"/>
    </xf>
    <xf numFmtId="0" fontId="9" fillId="0" borderId="3" xfId="5" applyFont="1" applyBorder="1" applyAlignment="1" applyProtection="1">
      <alignment horizontal="center"/>
      <protection locked="0"/>
    </xf>
    <xf numFmtId="0" fontId="9" fillId="0" borderId="11" xfId="5" applyFont="1" applyBorder="1" applyAlignment="1" applyProtection="1">
      <alignment horizontal="center"/>
      <protection locked="0"/>
    </xf>
    <xf numFmtId="0" fontId="19" fillId="0" borderId="18" xfId="5" applyFont="1" applyBorder="1" applyAlignment="1" applyProtection="1">
      <alignment horizontal="right" vertical="center"/>
      <protection locked="0"/>
    </xf>
    <xf numFmtId="0" fontId="19" fillId="0" borderId="19" xfId="5" applyFont="1" applyBorder="1" applyAlignment="1" applyProtection="1">
      <alignment horizontal="right" vertical="center"/>
      <protection locked="0"/>
    </xf>
    <xf numFmtId="0" fontId="19" fillId="0" borderId="20" xfId="5" applyFont="1" applyBorder="1" applyAlignment="1" applyProtection="1">
      <alignment horizontal="right" vertical="center"/>
      <protection locked="0"/>
    </xf>
    <xf numFmtId="0" fontId="71" fillId="0" borderId="37" xfId="5" applyFont="1" applyBorder="1" applyAlignment="1" applyProtection="1">
      <alignment horizontal="center" vertical="center" textRotation="90"/>
      <protection locked="0"/>
    </xf>
    <xf numFmtId="0" fontId="71" fillId="0" borderId="38" xfId="5" applyFont="1" applyBorder="1" applyAlignment="1" applyProtection="1">
      <alignment horizontal="center" vertical="center" textRotation="90"/>
      <protection locked="0"/>
    </xf>
    <xf numFmtId="0" fontId="71" fillId="0" borderId="40" xfId="5" applyFont="1" applyBorder="1" applyAlignment="1" applyProtection="1">
      <alignment horizontal="center" vertical="center" textRotation="90"/>
      <protection locked="0"/>
    </xf>
    <xf numFmtId="0" fontId="9" fillId="0" borderId="21" xfId="5" applyFont="1" applyBorder="1" applyAlignment="1" applyProtection="1">
      <alignment horizontal="center" vertical="center"/>
      <protection locked="0"/>
    </xf>
    <xf numFmtId="0" fontId="9" fillId="0" borderId="35" xfId="5" applyFont="1" applyBorder="1" applyAlignment="1" applyProtection="1">
      <alignment horizontal="center" vertical="center"/>
      <protection locked="0"/>
    </xf>
    <xf numFmtId="0" fontId="9" fillId="0" borderId="0" xfId="5" applyFont="1" applyAlignment="1" applyProtection="1">
      <alignment horizontal="center" wrapText="1"/>
      <protection locked="0"/>
    </xf>
    <xf numFmtId="0" fontId="107" fillId="2" borderId="1" xfId="5" applyFont="1" applyFill="1" applyBorder="1" applyAlignment="1" applyProtection="1">
      <alignment horizontal="left" vertical="center"/>
      <protection locked="0"/>
    </xf>
    <xf numFmtId="0" fontId="107" fillId="2" borderId="2" xfId="5" applyFont="1" applyFill="1" applyBorder="1" applyAlignment="1" applyProtection="1">
      <alignment horizontal="left" vertical="center"/>
      <protection locked="0"/>
    </xf>
    <xf numFmtId="0" fontId="9" fillId="0" borderId="60" xfId="5" applyFont="1" applyBorder="1" applyAlignment="1" applyProtection="1">
      <alignment horizontal="center" vertical="center"/>
      <protection locked="0"/>
    </xf>
    <xf numFmtId="0" fontId="71" fillId="0" borderId="39" xfId="5" applyFont="1" applyBorder="1" applyAlignment="1" applyProtection="1">
      <alignment horizontal="center" vertical="center" textRotation="90"/>
      <protection locked="0"/>
    </xf>
    <xf numFmtId="0" fontId="19" fillId="0" borderId="18" xfId="5" applyFont="1" applyBorder="1" applyAlignment="1" applyProtection="1">
      <alignment horizontal="left" vertical="center"/>
      <protection locked="0"/>
    </xf>
    <xf numFmtId="0" fontId="19" fillId="0" borderId="19" xfId="5" applyFont="1" applyBorder="1" applyAlignment="1" applyProtection="1">
      <alignment horizontal="left" vertical="center"/>
      <protection locked="0"/>
    </xf>
    <xf numFmtId="0" fontId="19" fillId="0" borderId="20" xfId="5" applyFont="1" applyBorder="1" applyAlignment="1" applyProtection="1">
      <alignment horizontal="left" vertical="center"/>
      <protection locked="0"/>
    </xf>
    <xf numFmtId="0" fontId="9" fillId="27" borderId="22" xfId="5" applyFont="1" applyFill="1" applyBorder="1" applyAlignment="1" applyProtection="1">
      <alignment horizontal="center"/>
      <protection locked="0"/>
    </xf>
    <xf numFmtId="0" fontId="9" fillId="27" borderId="14" xfId="5" applyFont="1" applyFill="1" applyBorder="1" applyAlignment="1" applyProtection="1">
      <alignment horizontal="center"/>
      <protection locked="0"/>
    </xf>
    <xf numFmtId="0" fontId="9" fillId="27" borderId="12" xfId="5" applyFont="1" applyFill="1" applyBorder="1" applyAlignment="1" applyProtection="1">
      <alignment horizontal="center"/>
      <protection locked="0"/>
    </xf>
    <xf numFmtId="0" fontId="109" fillId="2" borderId="1" xfId="5" applyFont="1" applyFill="1" applyBorder="1" applyAlignment="1" applyProtection="1">
      <alignment horizontal="center" vertical="center"/>
      <protection locked="0"/>
    </xf>
    <xf numFmtId="0" fontId="109" fillId="2" borderId="2" xfId="5" applyFont="1" applyFill="1" applyBorder="1" applyAlignment="1" applyProtection="1">
      <alignment horizontal="center" vertical="center"/>
      <protection locked="0"/>
    </xf>
    <xf numFmtId="0" fontId="109" fillId="2" borderId="4" xfId="5" applyFont="1" applyFill="1" applyBorder="1" applyAlignment="1" applyProtection="1">
      <alignment horizontal="center" vertical="center"/>
      <protection locked="0"/>
    </xf>
    <xf numFmtId="0" fontId="19" fillId="0" borderId="19" xfId="5" applyFont="1" applyBorder="1" applyAlignment="1" applyProtection="1">
      <alignment horizontal="center" vertical="center"/>
      <protection locked="0"/>
    </xf>
    <xf numFmtId="0" fontId="9" fillId="0" borderId="18" xfId="5" applyFont="1" applyBorder="1" applyAlignment="1" applyProtection="1">
      <alignment horizontal="center" vertical="center"/>
      <protection locked="0"/>
    </xf>
    <xf numFmtId="0" fontId="9" fillId="0" borderId="19" xfId="5" applyFont="1" applyBorder="1" applyAlignment="1" applyProtection="1">
      <alignment horizontal="center" vertical="center"/>
      <protection locked="0"/>
    </xf>
    <xf numFmtId="0" fontId="9" fillId="0" borderId="20" xfId="5" applyFont="1" applyBorder="1" applyAlignment="1" applyProtection="1">
      <alignment horizontal="center" vertical="center"/>
      <protection locked="0"/>
    </xf>
    <xf numFmtId="0" fontId="9" fillId="0" borderId="5" xfId="5" applyFont="1" applyBorder="1" applyAlignment="1" applyProtection="1">
      <alignment horizontal="center" vertical="top"/>
      <protection locked="0"/>
    </xf>
    <xf numFmtId="0" fontId="9" fillId="0" borderId="6" xfId="5" applyFont="1" applyBorder="1" applyAlignment="1" applyProtection="1">
      <alignment horizontal="center" vertical="top"/>
      <protection locked="0"/>
    </xf>
    <xf numFmtId="0" fontId="9" fillId="0" borderId="0" xfId="5" applyFont="1" applyAlignment="1" applyProtection="1">
      <alignment horizontal="center" vertical="top"/>
      <protection locked="0"/>
    </xf>
    <xf numFmtId="0" fontId="19" fillId="0" borderId="18" xfId="5" applyFont="1" applyBorder="1" applyAlignment="1" applyProtection="1">
      <alignment horizontal="center" vertical="center"/>
      <protection locked="0"/>
    </xf>
    <xf numFmtId="0" fontId="9" fillId="0" borderId="6" xfId="5" applyFont="1" applyBorder="1" applyAlignment="1" applyProtection="1">
      <alignment horizontal="center"/>
      <protection locked="0"/>
    </xf>
    <xf numFmtId="0" fontId="9" fillId="0" borderId="59" xfId="5" applyFont="1" applyBorder="1" applyAlignment="1" applyProtection="1">
      <alignment horizontal="center"/>
      <protection locked="0"/>
    </xf>
    <xf numFmtId="0" fontId="9" fillId="0" borderId="55" xfId="5" applyFont="1" applyBorder="1" applyAlignment="1" applyProtection="1">
      <alignment horizontal="center"/>
      <protection locked="0"/>
    </xf>
    <xf numFmtId="0" fontId="24" fillId="8" borderId="22" xfId="5" applyFont="1" applyFill="1" applyBorder="1" applyAlignment="1" applyProtection="1">
      <alignment horizontal="center" vertical="top"/>
      <protection locked="0"/>
    </xf>
    <xf numFmtId="0" fontId="24" fillId="8" borderId="14" xfId="5" applyFont="1" applyFill="1" applyBorder="1" applyAlignment="1" applyProtection="1">
      <alignment horizontal="center" vertical="top"/>
      <protection locked="0"/>
    </xf>
    <xf numFmtId="0" fontId="19" fillId="0" borderId="41" xfId="5" applyFont="1" applyBorder="1" applyAlignment="1" applyProtection="1">
      <alignment horizontal="center" vertical="center"/>
      <protection locked="0"/>
    </xf>
    <xf numFmtId="0" fontId="19" fillId="0" borderId="42" xfId="5" applyFont="1" applyBorder="1" applyAlignment="1" applyProtection="1">
      <alignment horizontal="center" vertical="center"/>
      <protection locked="0"/>
    </xf>
    <xf numFmtId="0" fontId="9" fillId="0" borderId="7" xfId="5" applyFont="1" applyBorder="1" applyAlignment="1" applyProtection="1">
      <alignment horizontal="center"/>
      <protection locked="0"/>
    </xf>
    <xf numFmtId="0" fontId="5" fillId="0" borderId="8" xfId="5" applyFont="1" applyBorder="1" applyAlignment="1" applyProtection="1">
      <alignment horizontal="center"/>
      <protection locked="0"/>
    </xf>
    <xf numFmtId="0" fontId="5" fillId="0" borderId="0" xfId="5" applyFont="1" applyAlignment="1" applyProtection="1">
      <alignment horizontal="center"/>
      <protection locked="0"/>
    </xf>
    <xf numFmtId="0" fontId="19" fillId="2" borderId="4" xfId="5" applyFont="1" applyFill="1" applyBorder="1" applyAlignment="1" applyProtection="1">
      <alignment horizontal="center" vertical="center"/>
      <protection locked="0"/>
    </xf>
    <xf numFmtId="0" fontId="56" fillId="0" borderId="8" xfId="0" applyFont="1" applyBorder="1" applyAlignment="1">
      <alignment horizontal="left" vertical="center" wrapText="1"/>
    </xf>
    <xf numFmtId="0" fontId="56" fillId="0" borderId="0" xfId="0" applyFont="1" applyAlignment="1">
      <alignment horizontal="left" vertical="center" wrapText="1"/>
    </xf>
    <xf numFmtId="0" fontId="56" fillId="0" borderId="9" xfId="0" applyFont="1" applyBorder="1" applyAlignment="1">
      <alignment horizontal="left" vertical="center" wrapText="1"/>
    </xf>
    <xf numFmtId="0" fontId="55" fillId="0" borderId="5" xfId="0" applyFont="1" applyBorder="1" applyAlignment="1">
      <alignment horizontal="center" vertical="center" wrapText="1"/>
    </xf>
    <xf numFmtId="0" fontId="55" fillId="0" borderId="6" xfId="0" applyFont="1" applyBorder="1" applyAlignment="1">
      <alignment horizontal="center" vertical="center" wrapText="1"/>
    </xf>
    <xf numFmtId="0" fontId="55" fillId="0" borderId="7" xfId="0" applyFont="1" applyBorder="1" applyAlignment="1">
      <alignment horizontal="center" vertical="center" wrapText="1"/>
    </xf>
    <xf numFmtId="0" fontId="55" fillId="0" borderId="8" xfId="0" applyFont="1" applyBorder="1" applyAlignment="1">
      <alignment horizontal="center" vertical="center" wrapText="1"/>
    </xf>
    <xf numFmtId="0" fontId="55" fillId="0" borderId="0" xfId="0" applyFont="1" applyAlignment="1">
      <alignment horizontal="center" vertical="center" wrapText="1"/>
    </xf>
    <xf numFmtId="0" fontId="55" fillId="0" borderId="9" xfId="0" applyFont="1" applyBorder="1" applyAlignment="1">
      <alignment horizontal="center" vertical="center" wrapText="1"/>
    </xf>
    <xf numFmtId="0" fontId="55" fillId="0" borderId="10" xfId="0" applyFont="1" applyBorder="1" applyAlignment="1">
      <alignment horizontal="center" vertical="center" wrapText="1"/>
    </xf>
    <xf numFmtId="0" fontId="55" fillId="0" borderId="3" xfId="0" applyFont="1" applyBorder="1" applyAlignment="1">
      <alignment horizontal="center" vertical="center" wrapText="1"/>
    </xf>
    <xf numFmtId="0" fontId="14" fillId="0" borderId="10" xfId="0" applyFont="1" applyBorder="1" applyAlignment="1">
      <alignment horizontal="right" vertical="center" wrapText="1"/>
    </xf>
    <xf numFmtId="0" fontId="14" fillId="0" borderId="3" xfId="0" applyFont="1" applyBorder="1" applyAlignment="1">
      <alignment horizontal="right" vertical="center" wrapText="1"/>
    </xf>
    <xf numFmtId="20" fontId="13" fillId="9" borderId="1" xfId="0" applyNumberFormat="1" applyFont="1" applyFill="1" applyBorder="1" applyAlignment="1">
      <alignment horizontal="center" vertical="center" wrapText="1"/>
    </xf>
    <xf numFmtId="20" fontId="13" fillId="9" borderId="2" xfId="0" applyNumberFormat="1" applyFont="1" applyFill="1" applyBorder="1" applyAlignment="1">
      <alignment horizontal="center" vertical="center" wrapText="1"/>
    </xf>
    <xf numFmtId="20" fontId="13" fillId="9" borderId="4" xfId="0" applyNumberFormat="1" applyFont="1" applyFill="1" applyBorder="1" applyAlignment="1">
      <alignment horizontal="center" vertical="center" wrapText="1"/>
    </xf>
    <xf numFmtId="0" fontId="49" fillId="0" borderId="5" xfId="0" applyFont="1" applyBorder="1" applyAlignment="1">
      <alignment horizontal="left" vertical="center"/>
    </xf>
    <xf numFmtId="0" fontId="49" fillId="0" borderId="6" xfId="0" applyFont="1" applyBorder="1" applyAlignment="1">
      <alignment horizontal="left" vertical="center"/>
    </xf>
    <xf numFmtId="0" fontId="0" fillId="13" borderId="1" xfId="0" applyFill="1" applyBorder="1" applyAlignment="1">
      <alignment horizontal="center" vertical="center"/>
    </xf>
    <xf numFmtId="0" fontId="0" fillId="13" borderId="2" xfId="0" applyFill="1" applyBorder="1" applyAlignment="1">
      <alignment horizontal="center" vertical="center"/>
    </xf>
    <xf numFmtId="0" fontId="0" fillId="13" borderId="3" xfId="0" applyFill="1" applyBorder="1" applyAlignment="1">
      <alignment horizontal="center" vertical="center"/>
    </xf>
    <xf numFmtId="0" fontId="0" fillId="13" borderId="4" xfId="0" applyFill="1" applyBorder="1" applyAlignment="1">
      <alignment horizontal="center" vertical="center"/>
    </xf>
    <xf numFmtId="0" fontId="49" fillId="0" borderId="7" xfId="0" applyFont="1" applyBorder="1" applyAlignment="1">
      <alignment horizontal="left" vertical="center"/>
    </xf>
    <xf numFmtId="49" fontId="52" fillId="0" borderId="10" xfId="0" applyNumberFormat="1" applyFont="1" applyBorder="1" applyAlignment="1">
      <alignment horizontal="right" vertical="center"/>
    </xf>
    <xf numFmtId="0" fontId="52" fillId="0" borderId="3" xfId="0" applyFont="1" applyBorder="1" applyAlignment="1">
      <alignment horizontal="right" vertical="center"/>
    </xf>
    <xf numFmtId="0" fontId="13" fillId="0" borderId="7" xfId="0" applyFont="1" applyBorder="1" applyAlignment="1">
      <alignment horizontal="center" vertical="center"/>
    </xf>
    <xf numFmtId="0" fontId="13" fillId="0" borderId="22" xfId="0" applyFont="1" applyBorder="1" applyAlignment="1">
      <alignment horizontal="center" vertical="center"/>
    </xf>
    <xf numFmtId="0" fontId="49" fillId="0" borderId="5" xfId="0" applyFont="1" applyBorder="1" applyAlignment="1">
      <alignment horizontal="center" vertical="center"/>
    </xf>
    <xf numFmtId="0" fontId="49" fillId="0" borderId="6" xfId="0" applyFont="1" applyBorder="1" applyAlignment="1">
      <alignment horizontal="center" vertical="center"/>
    </xf>
    <xf numFmtId="0" fontId="49" fillId="0" borderId="7" xfId="0" applyFont="1" applyBorder="1" applyAlignment="1">
      <alignment horizontal="center" vertical="center"/>
    </xf>
    <xf numFmtId="0" fontId="49" fillId="0" borderId="10" xfId="0" applyFont="1" applyBorder="1" applyAlignment="1">
      <alignment horizontal="center" vertical="center"/>
    </xf>
    <xf numFmtId="0" fontId="49" fillId="0" borderId="3" xfId="0" applyFont="1" applyBorder="1" applyAlignment="1">
      <alignment horizontal="center" vertical="center"/>
    </xf>
    <xf numFmtId="0" fontId="49" fillId="0" borderId="11" xfId="0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13" fillId="0" borderId="14" xfId="0" applyFon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92" fillId="0" borderId="5" xfId="0" applyFont="1" applyBorder="1" applyAlignment="1">
      <alignment horizontal="center" vertical="center"/>
    </xf>
    <xf numFmtId="0" fontId="92" fillId="0" borderId="6" xfId="0" applyFont="1" applyBorder="1" applyAlignment="1">
      <alignment horizontal="center" vertical="center"/>
    </xf>
    <xf numFmtId="0" fontId="92" fillId="0" borderId="7" xfId="0" applyFont="1" applyBorder="1" applyAlignment="1">
      <alignment horizontal="center" vertical="center"/>
    </xf>
    <xf numFmtId="0" fontId="92" fillId="0" borderId="8" xfId="0" applyFont="1" applyBorder="1" applyAlignment="1">
      <alignment horizontal="center" vertical="center"/>
    </xf>
    <xf numFmtId="0" fontId="92" fillId="0" borderId="0" xfId="0" applyFont="1" applyAlignment="1">
      <alignment horizontal="center" vertical="center"/>
    </xf>
    <xf numFmtId="0" fontId="92" fillId="0" borderId="9" xfId="0" applyFont="1" applyBorder="1" applyAlignment="1">
      <alignment horizontal="center" vertical="center"/>
    </xf>
    <xf numFmtId="0" fontId="92" fillId="0" borderId="10" xfId="0" applyFont="1" applyBorder="1" applyAlignment="1">
      <alignment horizontal="center" vertical="center"/>
    </xf>
    <xf numFmtId="0" fontId="92" fillId="0" borderId="3" xfId="0" applyFont="1" applyBorder="1" applyAlignment="1">
      <alignment horizontal="center" vertical="center"/>
    </xf>
    <xf numFmtId="0" fontId="92" fillId="0" borderId="11" xfId="0" applyFont="1" applyBorder="1" applyAlignment="1">
      <alignment horizontal="center" vertical="center"/>
    </xf>
    <xf numFmtId="0" fontId="13" fillId="0" borderId="4" xfId="0" applyFont="1" applyBorder="1" applyAlignment="1">
      <alignment horizontal="left" vertical="center"/>
    </xf>
    <xf numFmtId="0" fontId="13" fillId="0" borderId="13" xfId="0" applyFont="1" applyBorder="1" applyAlignment="1">
      <alignment horizontal="left" vertical="center"/>
    </xf>
    <xf numFmtId="49" fontId="0" fillId="0" borderId="2" xfId="0" applyNumberFormat="1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36" fillId="0" borderId="2" xfId="8" applyBorder="1" applyAlignment="1">
      <alignment horizontal="right" vertical="center"/>
    </xf>
    <xf numFmtId="0" fontId="0" fillId="0" borderId="2" xfId="0" applyBorder="1" applyAlignment="1">
      <alignment horizontal="right" vertical="center"/>
    </xf>
    <xf numFmtId="0" fontId="0" fillId="0" borderId="4" xfId="0" applyBorder="1" applyAlignment="1">
      <alignment horizontal="right" vertical="center"/>
    </xf>
    <xf numFmtId="0" fontId="49" fillId="0" borderId="1" xfId="0" applyFont="1" applyBorder="1" applyAlignment="1">
      <alignment horizontal="left" vertical="center"/>
    </xf>
    <xf numFmtId="0" fontId="49" fillId="0" borderId="2" xfId="0" applyFont="1" applyBorder="1" applyAlignment="1">
      <alignment horizontal="left" vertical="center"/>
    </xf>
    <xf numFmtId="0" fontId="13" fillId="0" borderId="5" xfId="0" applyFont="1" applyBorder="1" applyAlignment="1">
      <alignment horizontal="left" vertical="center"/>
    </xf>
    <xf numFmtId="0" fontId="13" fillId="0" borderId="6" xfId="0" applyFont="1" applyBorder="1" applyAlignment="1">
      <alignment horizontal="left" vertical="center"/>
    </xf>
    <xf numFmtId="0" fontId="13" fillId="0" borderId="7" xfId="0" applyFont="1" applyBorder="1" applyAlignment="1">
      <alignment horizontal="left" vertical="center"/>
    </xf>
    <xf numFmtId="49" fontId="0" fillId="0" borderId="6" xfId="0" applyNumberFormat="1" applyBorder="1" applyAlignment="1">
      <alignment horizontal="right" vertical="center"/>
    </xf>
    <xf numFmtId="49" fontId="0" fillId="0" borderId="7" xfId="0" applyNumberFormat="1" applyBorder="1" applyAlignment="1">
      <alignment horizontal="right" vertical="center"/>
    </xf>
    <xf numFmtId="0" fontId="49" fillId="0" borderId="10" xfId="0" applyFont="1" applyBorder="1" applyAlignment="1">
      <alignment horizontal="left" vertical="center"/>
    </xf>
    <xf numFmtId="0" fontId="49" fillId="0" borderId="3" xfId="0" applyFont="1" applyBorder="1" applyAlignment="1">
      <alignment horizontal="left" vertical="center"/>
    </xf>
    <xf numFmtId="0" fontId="0" fillId="0" borderId="6" xfId="0" applyBorder="1" applyAlignment="1">
      <alignment horizontal="left" vertical="center" wrapText="1"/>
    </xf>
    <xf numFmtId="0" fontId="0" fillId="0" borderId="7" xfId="0" applyBorder="1" applyAlignment="1">
      <alignment horizontal="left" vertical="center" wrapText="1"/>
    </xf>
    <xf numFmtId="0" fontId="0" fillId="0" borderId="3" xfId="0" applyBorder="1" applyAlignment="1">
      <alignment horizontal="left" vertical="center" wrapText="1"/>
    </xf>
    <xf numFmtId="0" fontId="0" fillId="0" borderId="11" xfId="0" applyBorder="1" applyAlignment="1">
      <alignment horizontal="left" vertical="center" wrapText="1"/>
    </xf>
    <xf numFmtId="0" fontId="50" fillId="0" borderId="0" xfId="0" applyFont="1" applyAlignment="1">
      <alignment horizontal="right" vertical="center"/>
    </xf>
    <xf numFmtId="0" fontId="49" fillId="0" borderId="0" xfId="0" applyFont="1" applyAlignment="1">
      <alignment horizontal="right" vertical="center"/>
    </xf>
    <xf numFmtId="0" fontId="122" fillId="0" borderId="0" xfId="0" applyFont="1" applyAlignment="1">
      <alignment horizontal="center" vertical="center"/>
    </xf>
    <xf numFmtId="0" fontId="14" fillId="0" borderId="0" xfId="0" applyFont="1" applyAlignment="1">
      <alignment horizontal="right" vertical="center"/>
    </xf>
    <xf numFmtId="0" fontId="55" fillId="0" borderId="3" xfId="0" applyFont="1" applyBorder="1" applyAlignment="1">
      <alignment horizontal="center" vertical="center"/>
    </xf>
    <xf numFmtId="178" fontId="49" fillId="0" borderId="6" xfId="0" applyNumberFormat="1" applyFont="1" applyBorder="1" applyAlignment="1">
      <alignment horizontal="right" vertical="center"/>
    </xf>
    <xf numFmtId="178" fontId="49" fillId="0" borderId="7" xfId="0" applyNumberFormat="1" applyFont="1" applyBorder="1" applyAlignment="1">
      <alignment horizontal="right" vertical="center"/>
    </xf>
    <xf numFmtId="0" fontId="13" fillId="0" borderId="2" xfId="0" applyFont="1" applyBorder="1" applyAlignment="1">
      <alignment horizontal="left" vertical="center"/>
    </xf>
    <xf numFmtId="0" fontId="88" fillId="0" borderId="8" xfId="0" applyFont="1" applyBorder="1" applyAlignment="1">
      <alignment horizontal="left" vertical="center" wrapText="1"/>
    </xf>
    <xf numFmtId="0" fontId="88" fillId="0" borderId="0" xfId="0" applyFont="1" applyAlignment="1">
      <alignment horizontal="left" vertical="center" wrapText="1"/>
    </xf>
    <xf numFmtId="0" fontId="88" fillId="0" borderId="9" xfId="0" applyFont="1" applyBorder="1" applyAlignment="1">
      <alignment horizontal="left" vertical="center" wrapText="1"/>
    </xf>
    <xf numFmtId="0" fontId="88" fillId="0" borderId="10" xfId="0" applyFont="1" applyBorder="1" applyAlignment="1">
      <alignment horizontal="left" vertical="center" wrapText="1"/>
    </xf>
    <xf numFmtId="0" fontId="88" fillId="0" borderId="3" xfId="0" applyFont="1" applyBorder="1" applyAlignment="1">
      <alignment horizontal="left" vertical="center" wrapText="1"/>
    </xf>
    <xf numFmtId="0" fontId="88" fillId="0" borderId="11" xfId="0" applyFont="1" applyBorder="1" applyAlignment="1">
      <alignment horizontal="left" vertical="center" wrapText="1"/>
    </xf>
    <xf numFmtId="0" fontId="51" fillId="0" borderId="8" xfId="0" applyFont="1" applyBorder="1" applyAlignment="1">
      <alignment horizontal="left" vertical="center" wrapText="1"/>
    </xf>
    <xf numFmtId="0" fontId="51" fillId="0" borderId="0" xfId="0" applyFont="1" applyAlignment="1">
      <alignment horizontal="left" vertical="center" wrapText="1"/>
    </xf>
    <xf numFmtId="0" fontId="51" fillId="0" borderId="9" xfId="0" applyFont="1" applyBorder="1" applyAlignment="1">
      <alignment horizontal="left" vertical="center" wrapText="1"/>
    </xf>
    <xf numFmtId="0" fontId="53" fillId="0" borderId="10" xfId="0" applyFont="1" applyBorder="1" applyAlignment="1">
      <alignment horizontal="center" vertical="center" wrapText="1"/>
    </xf>
    <xf numFmtId="0" fontId="53" fillId="0" borderId="3" xfId="0" applyFont="1" applyBorder="1" applyAlignment="1">
      <alignment horizontal="center" vertical="center" wrapText="1"/>
    </xf>
    <xf numFmtId="0" fontId="53" fillId="0" borderId="11" xfId="0" applyFont="1" applyBorder="1" applyAlignment="1">
      <alignment horizontal="center" vertical="center" wrapText="1"/>
    </xf>
    <xf numFmtId="0" fontId="14" fillId="0" borderId="8" xfId="0" applyFont="1" applyBorder="1" applyAlignment="1">
      <alignment horizontal="left" vertical="center" wrapText="1"/>
    </xf>
    <xf numFmtId="0" fontId="14" fillId="0" borderId="0" xfId="0" applyFont="1" applyAlignment="1">
      <alignment horizontal="left" vertical="center" wrapText="1"/>
    </xf>
    <xf numFmtId="0" fontId="13" fillId="0" borderId="0" xfId="0" applyFont="1" applyAlignment="1">
      <alignment horizontal="left" vertical="center" wrapText="1"/>
    </xf>
    <xf numFmtId="0" fontId="13" fillId="0" borderId="9" xfId="0" applyFont="1" applyBorder="1" applyAlignment="1">
      <alignment horizontal="left" vertical="center" wrapText="1"/>
    </xf>
    <xf numFmtId="0" fontId="13" fillId="0" borderId="10" xfId="0" applyFont="1" applyBorder="1" applyAlignment="1">
      <alignment horizontal="left" vertical="center" wrapText="1"/>
    </xf>
    <xf numFmtId="0" fontId="13" fillId="0" borderId="3" xfId="0" applyFont="1" applyBorder="1" applyAlignment="1">
      <alignment horizontal="left" vertical="center" wrapText="1"/>
    </xf>
    <xf numFmtId="0" fontId="13" fillId="0" borderId="11" xfId="0" applyFont="1" applyBorder="1" applyAlignment="1">
      <alignment horizontal="left" vertical="center" wrapText="1"/>
    </xf>
    <xf numFmtId="0" fontId="88" fillId="0" borderId="5" xfId="0" applyFont="1" applyBorder="1" applyAlignment="1">
      <alignment horizontal="left" vertical="center" wrapText="1"/>
    </xf>
    <xf numFmtId="0" fontId="88" fillId="0" borderId="6" xfId="0" applyFont="1" applyBorder="1" applyAlignment="1">
      <alignment horizontal="left" vertical="center" wrapText="1"/>
    </xf>
    <xf numFmtId="0" fontId="88" fillId="0" borderId="7" xfId="0" applyFont="1" applyBorder="1" applyAlignment="1">
      <alignment horizontal="left" vertical="center" wrapText="1"/>
    </xf>
    <xf numFmtId="1" fontId="13" fillId="0" borderId="1" xfId="0" applyNumberFormat="1" applyFont="1" applyBorder="1" applyAlignment="1">
      <alignment horizontal="right" vertical="center" wrapText="1"/>
    </xf>
    <xf numFmtId="1" fontId="13" fillId="0" borderId="4" xfId="0" applyNumberFormat="1" applyFont="1" applyBorder="1" applyAlignment="1">
      <alignment horizontal="right" vertical="center" wrapText="1"/>
    </xf>
    <xf numFmtId="0" fontId="13" fillId="0" borderId="1" xfId="0" applyFont="1" applyBorder="1" applyAlignment="1">
      <alignment horizontal="center" vertical="center" wrapText="1"/>
    </xf>
    <xf numFmtId="0" fontId="13" fillId="0" borderId="2" xfId="0" applyFont="1" applyBorder="1" applyAlignment="1">
      <alignment horizontal="center" vertical="center" wrapText="1"/>
    </xf>
    <xf numFmtId="0" fontId="13" fillId="0" borderId="4" xfId="0" applyFont="1" applyBorder="1" applyAlignment="1">
      <alignment horizontal="center" vertical="center" wrapText="1"/>
    </xf>
    <xf numFmtId="0" fontId="13" fillId="0" borderId="13" xfId="0" applyFont="1" applyBorder="1" applyAlignment="1">
      <alignment horizontal="center" vertical="center"/>
    </xf>
    <xf numFmtId="0" fontId="14" fillId="0" borderId="5" xfId="0" applyFont="1" applyBorder="1" applyAlignment="1">
      <alignment horizontal="left" vertical="center" wrapText="1"/>
    </xf>
    <xf numFmtId="0" fontId="14" fillId="0" borderId="6" xfId="0" applyFont="1" applyBorder="1" applyAlignment="1">
      <alignment horizontal="left" vertical="center" wrapText="1"/>
    </xf>
    <xf numFmtId="0" fontId="0" fillId="0" borderId="8" xfId="0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0" fillId="0" borderId="9" xfId="0" applyBorder="1" applyAlignment="1">
      <alignment horizontal="left" vertical="center" wrapText="1"/>
    </xf>
    <xf numFmtId="49" fontId="0" fillId="0" borderId="1" xfId="0" applyNumberFormat="1" applyBorder="1" applyAlignment="1">
      <alignment horizontal="left" vertical="center"/>
    </xf>
    <xf numFmtId="0" fontId="52" fillId="0" borderId="10" xfId="0" applyFont="1" applyBorder="1" applyAlignment="1">
      <alignment horizontal="right" vertical="center"/>
    </xf>
    <xf numFmtId="0" fontId="52" fillId="0" borderId="11" xfId="0" applyFont="1" applyBorder="1" applyAlignment="1">
      <alignment horizontal="right" vertical="center"/>
    </xf>
    <xf numFmtId="0" fontId="50" fillId="0" borderId="0" xfId="0" applyFont="1" applyAlignment="1">
      <alignment horizontal="left" vertical="center"/>
    </xf>
    <xf numFmtId="0" fontId="50" fillId="0" borderId="9" xfId="0" applyFont="1" applyBorder="1" applyAlignment="1">
      <alignment horizontal="left" vertical="center"/>
    </xf>
    <xf numFmtId="0" fontId="13" fillId="0" borderId="5" xfId="0" applyFont="1" applyBorder="1" applyAlignment="1">
      <alignment horizontal="center" vertical="center"/>
    </xf>
    <xf numFmtId="0" fontId="13" fillId="0" borderId="6" xfId="0" applyFont="1" applyBorder="1" applyAlignment="1">
      <alignment horizontal="center" vertical="center"/>
    </xf>
    <xf numFmtId="0" fontId="52" fillId="0" borderId="2" xfId="0" applyFont="1" applyBorder="1" applyAlignment="1">
      <alignment horizontal="left" vertical="center"/>
    </xf>
    <xf numFmtId="0" fontId="52" fillId="0" borderId="4" xfId="0" applyFont="1" applyBorder="1" applyAlignment="1">
      <alignment horizontal="left" vertical="center"/>
    </xf>
    <xf numFmtId="0" fontId="49" fillId="0" borderId="3" xfId="0" applyFont="1" applyBorder="1" applyAlignment="1">
      <alignment horizontal="right" vertical="center"/>
    </xf>
    <xf numFmtId="49" fontId="0" fillId="0" borderId="8" xfId="0" applyNumberFormat="1" applyBorder="1" applyAlignment="1">
      <alignment horizontal="right" vertical="center"/>
    </xf>
    <xf numFmtId="49" fontId="0" fillId="0" borderId="0" xfId="0" applyNumberFormat="1" applyAlignment="1">
      <alignment horizontal="right" vertical="center"/>
    </xf>
    <xf numFmtId="49" fontId="0" fillId="0" borderId="9" xfId="0" applyNumberFormat="1" applyBorder="1" applyAlignment="1">
      <alignment horizontal="right" vertical="center"/>
    </xf>
    <xf numFmtId="0" fontId="49" fillId="9" borderId="6" xfId="0" applyFont="1" applyFill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11" xfId="0" applyBorder="1" applyAlignment="1">
      <alignment horizontal="left" vertical="center"/>
    </xf>
    <xf numFmtId="49" fontId="0" fillId="0" borderId="2" xfId="0" applyNumberFormat="1" applyBorder="1" applyAlignment="1">
      <alignment horizontal="right" vertical="center"/>
    </xf>
    <xf numFmtId="49" fontId="0" fillId="0" borderId="4" xfId="0" applyNumberFormat="1" applyBorder="1" applyAlignment="1">
      <alignment horizontal="right" vertical="center"/>
    </xf>
    <xf numFmtId="0" fontId="124" fillId="0" borderId="1" xfId="0" applyFont="1" applyBorder="1" applyAlignment="1">
      <alignment horizontal="left" vertical="top" wrapText="1"/>
    </xf>
    <xf numFmtId="0" fontId="124" fillId="0" borderId="2" xfId="0" applyFont="1" applyBorder="1" applyAlignment="1">
      <alignment horizontal="left" vertical="top" wrapText="1"/>
    </xf>
    <xf numFmtId="0" fontId="124" fillId="0" borderId="4" xfId="0" applyFont="1" applyBorder="1" applyAlignment="1">
      <alignment horizontal="left" vertical="top" wrapText="1"/>
    </xf>
    <xf numFmtId="0" fontId="0" fillId="0" borderId="10" xfId="0" applyBorder="1" applyAlignment="1">
      <alignment horizontal="left" vertical="top" wrapText="1"/>
    </xf>
    <xf numFmtId="0" fontId="0" fillId="0" borderId="3" xfId="0" applyBorder="1" applyAlignment="1">
      <alignment horizontal="left" vertical="top"/>
    </xf>
    <xf numFmtId="0" fontId="0" fillId="0" borderId="11" xfId="0" applyBorder="1" applyAlignment="1">
      <alignment horizontal="left" vertical="top"/>
    </xf>
    <xf numFmtId="0" fontId="0" fillId="0" borderId="1" xfId="0" applyBorder="1" applyAlignment="1">
      <alignment horizontal="left" vertical="top" wrapText="1"/>
    </xf>
    <xf numFmtId="0" fontId="0" fillId="0" borderId="2" xfId="0" applyBorder="1" applyAlignment="1">
      <alignment horizontal="left" vertical="top" wrapText="1"/>
    </xf>
    <xf numFmtId="0" fontId="0" fillId="0" borderId="4" xfId="0" applyBorder="1" applyAlignment="1">
      <alignment horizontal="left" vertical="top" wrapText="1"/>
    </xf>
    <xf numFmtId="0" fontId="123" fillId="0" borderId="13" xfId="0" applyFont="1" applyBorder="1" applyAlignment="1">
      <alignment horizontal="center" vertical="center"/>
    </xf>
    <xf numFmtId="49" fontId="134" fillId="46" borderId="13" xfId="0" applyNumberFormat="1" applyFont="1" applyFill="1" applyBorder="1" applyAlignment="1">
      <alignment horizontal="center" vertical="center"/>
    </xf>
    <xf numFmtId="0" fontId="134" fillId="46" borderId="13" xfId="0" applyFont="1" applyFill="1" applyBorder="1" applyAlignment="1">
      <alignment horizontal="center" vertical="center"/>
    </xf>
    <xf numFmtId="0" fontId="16" fillId="0" borderId="6" xfId="0" applyFont="1" applyBorder="1" applyAlignment="1">
      <alignment horizontal="center" vertical="center"/>
    </xf>
    <xf numFmtId="49" fontId="0" fillId="0" borderId="3" xfId="0" applyNumberFormat="1" applyBorder="1" applyAlignment="1">
      <alignment horizontal="right" vertical="center"/>
    </xf>
    <xf numFmtId="178" fontId="123" fillId="0" borderId="1" xfId="0" applyNumberFormat="1" applyFont="1" applyBorder="1" applyAlignment="1">
      <alignment horizontal="left" vertical="center"/>
    </xf>
    <xf numFmtId="0" fontId="123" fillId="0" borderId="4" xfId="0" applyFont="1" applyBorder="1" applyAlignment="1">
      <alignment horizontal="left" vertical="center"/>
    </xf>
    <xf numFmtId="0" fontId="123" fillId="0" borderId="1" xfId="0" applyFont="1" applyBorder="1" applyAlignment="1">
      <alignment horizontal="right" vertical="center"/>
    </xf>
    <xf numFmtId="0" fontId="123" fillId="0" borderId="2" xfId="0" applyFont="1" applyBorder="1" applyAlignment="1">
      <alignment horizontal="right" vertical="center"/>
    </xf>
    <xf numFmtId="0" fontId="123" fillId="0" borderId="4" xfId="0" applyFont="1" applyBorder="1" applyAlignment="1">
      <alignment horizontal="right" vertical="center"/>
    </xf>
    <xf numFmtId="0" fontId="139" fillId="0" borderId="63" xfId="0" applyFont="1" applyBorder="1" applyAlignment="1">
      <alignment horizontal="center" vertical="center"/>
    </xf>
    <xf numFmtId="0" fontId="139" fillId="0" borderId="64" xfId="0" applyFont="1" applyBorder="1" applyAlignment="1">
      <alignment horizontal="center" vertical="center"/>
    </xf>
    <xf numFmtId="0" fontId="139" fillId="0" borderId="65" xfId="0" applyFont="1" applyBorder="1" applyAlignment="1">
      <alignment horizontal="center" vertical="center"/>
    </xf>
    <xf numFmtId="0" fontId="124" fillId="0" borderId="5" xfId="0" applyFont="1" applyBorder="1" applyAlignment="1">
      <alignment horizontal="left" vertical="top" wrapText="1"/>
    </xf>
    <xf numFmtId="0" fontId="124" fillId="0" borderId="6" xfId="0" applyFont="1" applyBorder="1" applyAlignment="1">
      <alignment horizontal="left" vertical="top" wrapText="1"/>
    </xf>
    <xf numFmtId="0" fontId="124" fillId="0" borderId="7" xfId="0" applyFont="1" applyBorder="1" applyAlignment="1">
      <alignment horizontal="left" vertical="top" wrapText="1"/>
    </xf>
    <xf numFmtId="0" fontId="124" fillId="0" borderId="8" xfId="0" applyFont="1" applyBorder="1" applyAlignment="1">
      <alignment horizontal="left" vertical="top" wrapText="1"/>
    </xf>
    <xf numFmtId="0" fontId="124" fillId="0" borderId="0" xfId="0" applyFont="1" applyAlignment="1">
      <alignment horizontal="left" vertical="top" wrapText="1"/>
    </xf>
    <xf numFmtId="0" fontId="124" fillId="0" borderId="9" xfId="0" applyFont="1" applyBorder="1" applyAlignment="1">
      <alignment horizontal="left" vertical="top" wrapText="1"/>
    </xf>
    <xf numFmtId="0" fontId="124" fillId="0" borderId="10" xfId="0" applyFont="1" applyBorder="1" applyAlignment="1">
      <alignment horizontal="left" vertical="top" wrapText="1"/>
    </xf>
    <xf numFmtId="0" fontId="124" fillId="0" borderId="3" xfId="0" applyFont="1" applyBorder="1" applyAlignment="1">
      <alignment horizontal="left" vertical="top" wrapText="1"/>
    </xf>
    <xf numFmtId="0" fontId="124" fillId="0" borderId="11" xfId="0" applyFont="1" applyBorder="1" applyAlignment="1">
      <alignment horizontal="left" vertical="top" wrapText="1"/>
    </xf>
    <xf numFmtId="0" fontId="0" fillId="0" borderId="1" xfId="0" applyBorder="1" applyAlignment="1">
      <alignment horizontal="left" vertical="center" wrapText="1"/>
    </xf>
    <xf numFmtId="0" fontId="0" fillId="0" borderId="2" xfId="0" applyBorder="1" applyAlignment="1">
      <alignment horizontal="left" vertical="center" wrapText="1"/>
    </xf>
    <xf numFmtId="178" fontId="0" fillId="0" borderId="2" xfId="0" applyNumberForma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66" xfId="0" applyBorder="1" applyAlignment="1">
      <alignment horizontal="left" vertical="top" wrapText="1"/>
    </xf>
    <xf numFmtId="0" fontId="0" fillId="0" borderId="67" xfId="0" applyBorder="1" applyAlignment="1">
      <alignment horizontal="left" vertical="top" wrapText="1"/>
    </xf>
    <xf numFmtId="0" fontId="0" fillId="0" borderId="68" xfId="0" applyBorder="1" applyAlignment="1">
      <alignment horizontal="left" vertical="top" wrapText="1"/>
    </xf>
    <xf numFmtId="0" fontId="0" fillId="0" borderId="5" xfId="0" applyBorder="1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7" xfId="0" applyBorder="1" applyAlignment="1">
      <alignment horizontal="left" vertical="top" wrapText="1"/>
    </xf>
    <xf numFmtId="0" fontId="0" fillId="0" borderId="8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9" xfId="0" applyBorder="1" applyAlignment="1">
      <alignment horizontal="left" vertical="top" wrapText="1"/>
    </xf>
    <xf numFmtId="0" fontId="0" fillId="0" borderId="3" xfId="0" applyBorder="1" applyAlignment="1">
      <alignment horizontal="left" vertical="top" wrapText="1"/>
    </xf>
    <xf numFmtId="0" fontId="0" fillId="0" borderId="11" xfId="0" applyBorder="1" applyAlignment="1">
      <alignment horizontal="left" vertical="top" wrapText="1"/>
    </xf>
    <xf numFmtId="0" fontId="0" fillId="0" borderId="69" xfId="0" applyBorder="1" applyAlignment="1">
      <alignment horizontal="left" vertical="top" wrapText="1"/>
    </xf>
    <xf numFmtId="0" fontId="0" fillId="0" borderId="70" xfId="0" applyBorder="1" applyAlignment="1">
      <alignment horizontal="left" vertical="top" wrapText="1"/>
    </xf>
    <xf numFmtId="0" fontId="129" fillId="0" borderId="0" xfId="0" applyFont="1" applyAlignment="1">
      <alignment horizontal="left"/>
    </xf>
    <xf numFmtId="0" fontId="0" fillId="0" borderId="1" xfId="0" applyBorder="1" applyAlignment="1">
      <alignment horizontal="left" vertical="top"/>
    </xf>
    <xf numFmtId="0" fontId="0" fillId="0" borderId="2" xfId="0" applyBorder="1" applyAlignment="1">
      <alignment horizontal="left" vertical="top"/>
    </xf>
    <xf numFmtId="0" fontId="0" fillId="0" borderId="4" xfId="0" applyBorder="1" applyAlignment="1">
      <alignment horizontal="left" vertical="top"/>
    </xf>
    <xf numFmtId="0" fontId="51" fillId="0" borderId="5" xfId="0" applyFont="1" applyBorder="1" applyAlignment="1">
      <alignment horizontal="left" vertical="top" wrapText="1"/>
    </xf>
    <xf numFmtId="0" fontId="51" fillId="0" borderId="6" xfId="0" applyFont="1" applyBorder="1" applyAlignment="1">
      <alignment horizontal="left" vertical="top" wrapText="1"/>
    </xf>
    <xf numFmtId="0" fontId="51" fillId="0" borderId="7" xfId="0" applyFont="1" applyBorder="1" applyAlignment="1">
      <alignment horizontal="left" vertical="top" wrapText="1"/>
    </xf>
    <xf numFmtId="0" fontId="51" fillId="0" borderId="8" xfId="0" applyFont="1" applyBorder="1" applyAlignment="1">
      <alignment horizontal="left" vertical="top" wrapText="1"/>
    </xf>
    <xf numFmtId="0" fontId="51" fillId="0" borderId="0" xfId="0" applyFont="1" applyAlignment="1">
      <alignment horizontal="left" vertical="top" wrapText="1"/>
    </xf>
    <xf numFmtId="0" fontId="51" fillId="0" borderId="9" xfId="0" applyFont="1" applyBorder="1" applyAlignment="1">
      <alignment horizontal="left" vertical="top" wrapText="1"/>
    </xf>
    <xf numFmtId="0" fontId="51" fillId="0" borderId="10" xfId="0" applyFont="1" applyBorder="1" applyAlignment="1">
      <alignment horizontal="left" vertical="top" wrapText="1"/>
    </xf>
    <xf numFmtId="0" fontId="51" fillId="0" borderId="3" xfId="0" applyFont="1" applyBorder="1" applyAlignment="1">
      <alignment horizontal="left" vertical="top" wrapText="1"/>
    </xf>
    <xf numFmtId="0" fontId="51" fillId="0" borderId="11" xfId="0" applyFont="1" applyBorder="1" applyAlignment="1">
      <alignment horizontal="left" vertical="top" wrapText="1"/>
    </xf>
    <xf numFmtId="0" fontId="55" fillId="0" borderId="11" xfId="0" applyFont="1" applyBorder="1" applyAlignment="1">
      <alignment horizontal="center" vertical="center" wrapText="1"/>
    </xf>
    <xf numFmtId="0" fontId="36" fillId="0" borderId="4" xfId="8" applyBorder="1" applyAlignment="1">
      <alignment horizontal="right" vertical="center"/>
    </xf>
    <xf numFmtId="0" fontId="0" fillId="0" borderId="1" xfId="0" applyBorder="1" applyAlignment="1">
      <alignment horizontal="left" vertical="center" shrinkToFit="1"/>
    </xf>
    <xf numFmtId="0" fontId="0" fillId="0" borderId="4" xfId="0" applyBorder="1" applyAlignment="1">
      <alignment horizontal="left" vertical="center" shrinkToFit="1"/>
    </xf>
    <xf numFmtId="0" fontId="13" fillId="0" borderId="5" xfId="0" applyFont="1" applyBorder="1" applyAlignment="1">
      <alignment horizontal="center" vertical="center" wrapText="1"/>
    </xf>
    <xf numFmtId="0" fontId="13" fillId="0" borderId="6" xfId="0" applyFont="1" applyBorder="1" applyAlignment="1">
      <alignment horizontal="center" vertical="center" wrapText="1"/>
    </xf>
    <xf numFmtId="0" fontId="13" fillId="0" borderId="10" xfId="0" applyFont="1" applyBorder="1" applyAlignment="1">
      <alignment horizontal="center" vertical="center" wrapText="1"/>
    </xf>
    <xf numFmtId="0" fontId="13" fillId="0" borderId="3" xfId="0" applyFont="1" applyBorder="1" applyAlignment="1">
      <alignment horizontal="center" vertical="center" wrapText="1"/>
    </xf>
    <xf numFmtId="0" fontId="13" fillId="0" borderId="11" xfId="0" applyFont="1" applyBorder="1" applyAlignment="1">
      <alignment horizontal="center" vertical="center" wrapText="1"/>
    </xf>
    <xf numFmtId="0" fontId="0" fillId="0" borderId="2" xfId="0" applyBorder="1" applyAlignment="1">
      <alignment horizontal="left" vertical="center" shrinkToFit="1"/>
    </xf>
    <xf numFmtId="38" fontId="0" fillId="0" borderId="5" xfId="0" applyNumberFormat="1" applyBorder="1" applyAlignment="1">
      <alignment horizontal="center" vertical="center"/>
    </xf>
    <xf numFmtId="38" fontId="0" fillId="0" borderId="6" xfId="0" applyNumberFormat="1" applyBorder="1" applyAlignment="1">
      <alignment horizontal="center" vertical="center"/>
    </xf>
    <xf numFmtId="38" fontId="0" fillId="0" borderId="7" xfId="0" applyNumberFormat="1" applyBorder="1" applyAlignment="1">
      <alignment horizontal="center" vertical="center"/>
    </xf>
    <xf numFmtId="38" fontId="0" fillId="0" borderId="10" xfId="0" applyNumberFormat="1" applyBorder="1" applyAlignment="1">
      <alignment horizontal="center" vertical="center"/>
    </xf>
    <xf numFmtId="38" fontId="0" fillId="0" borderId="3" xfId="0" applyNumberFormat="1" applyBorder="1" applyAlignment="1">
      <alignment horizontal="center" vertical="center"/>
    </xf>
    <xf numFmtId="38" fontId="0" fillId="0" borderId="11" xfId="0" applyNumberFormat="1" applyBorder="1" applyAlignment="1">
      <alignment horizontal="center" vertical="center"/>
    </xf>
    <xf numFmtId="0" fontId="53" fillId="0" borderId="8" xfId="0" applyFont="1" applyBorder="1" applyAlignment="1">
      <alignment horizontal="left" vertical="center" wrapText="1"/>
    </xf>
    <xf numFmtId="0" fontId="53" fillId="0" borderId="0" xfId="0" applyFont="1" applyAlignment="1">
      <alignment horizontal="left" vertical="center" wrapText="1"/>
    </xf>
    <xf numFmtId="0" fontId="53" fillId="0" borderId="9" xfId="0" applyFont="1" applyBorder="1" applyAlignment="1">
      <alignment horizontal="left" vertical="center" wrapText="1"/>
    </xf>
    <xf numFmtId="0" fontId="14" fillId="0" borderId="13" xfId="0" applyFont="1" applyBorder="1" applyAlignment="1">
      <alignment horizontal="left" vertical="center" wrapText="1"/>
    </xf>
    <xf numFmtId="0" fontId="0" fillId="0" borderId="13" xfId="0" applyBorder="1" applyAlignment="1">
      <alignment horizontal="left" vertical="center" wrapText="1"/>
    </xf>
    <xf numFmtId="0" fontId="0" fillId="0" borderId="22" xfId="0" applyBorder="1" applyAlignment="1">
      <alignment horizontal="left" vertical="center" wrapText="1"/>
    </xf>
    <xf numFmtId="0" fontId="51" fillId="0" borderId="5" xfId="0" applyFont="1" applyBorder="1" applyAlignment="1">
      <alignment horizontal="left" vertical="center" wrapText="1"/>
    </xf>
    <xf numFmtId="0" fontId="51" fillId="0" borderId="6" xfId="0" applyFont="1" applyBorder="1" applyAlignment="1">
      <alignment horizontal="left" vertical="center" wrapText="1"/>
    </xf>
    <xf numFmtId="0" fontId="51" fillId="0" borderId="7" xfId="0" applyFont="1" applyBorder="1" applyAlignment="1">
      <alignment horizontal="left" vertical="center" wrapText="1"/>
    </xf>
    <xf numFmtId="0" fontId="14" fillId="0" borderId="12" xfId="0" applyFont="1" applyBorder="1" applyAlignment="1">
      <alignment horizontal="left" vertical="center" wrapText="1"/>
    </xf>
    <xf numFmtId="0" fontId="49" fillId="0" borderId="2" xfId="0" applyFont="1" applyBorder="1" applyAlignment="1">
      <alignment horizontal="right" vertical="center"/>
    </xf>
    <xf numFmtId="0" fontId="50" fillId="0" borderId="6" xfId="0" applyFont="1" applyBorder="1" applyAlignment="1">
      <alignment horizontal="left" vertical="center"/>
    </xf>
    <xf numFmtId="0" fontId="50" fillId="0" borderId="7" xfId="0" applyFont="1" applyBorder="1" applyAlignment="1">
      <alignment horizontal="left" vertical="center"/>
    </xf>
    <xf numFmtId="0" fontId="123" fillId="0" borderId="6" xfId="0" applyFont="1" applyBorder="1" applyAlignment="1">
      <alignment horizontal="right" vertical="center"/>
    </xf>
    <xf numFmtId="0" fontId="123" fillId="0" borderId="7" xfId="0" applyFont="1" applyBorder="1" applyAlignment="1">
      <alignment horizontal="right" vertical="center"/>
    </xf>
    <xf numFmtId="0" fontId="39" fillId="0" borderId="6" xfId="0" applyFont="1" applyBorder="1" applyAlignment="1">
      <alignment horizontal="left" vertical="center"/>
    </xf>
    <xf numFmtId="0" fontId="39" fillId="0" borderId="5" xfId="0" applyFont="1" applyBorder="1" applyAlignment="1">
      <alignment horizontal="center" vertical="center"/>
    </xf>
    <xf numFmtId="0" fontId="39" fillId="0" borderId="6" xfId="0" applyFont="1" applyBorder="1" applyAlignment="1">
      <alignment horizontal="center" vertical="center"/>
    </xf>
    <xf numFmtId="0" fontId="0" fillId="13" borderId="11" xfId="0" applyFill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0" fontId="13" fillId="0" borderId="2" xfId="0" applyFont="1" applyBorder="1" applyAlignment="1">
      <alignment horizontal="center" vertical="center"/>
    </xf>
    <xf numFmtId="0" fontId="13" fillId="0" borderId="4" xfId="0" applyFont="1" applyBorder="1" applyAlignment="1">
      <alignment horizontal="center" vertical="center"/>
    </xf>
    <xf numFmtId="0" fontId="39" fillId="0" borderId="1" xfId="0" applyFont="1" applyBorder="1" applyAlignment="1">
      <alignment horizontal="center" vertical="center"/>
    </xf>
    <xf numFmtId="0" fontId="39" fillId="0" borderId="2" xfId="0" applyFont="1" applyBorder="1" applyAlignment="1">
      <alignment horizontal="center" vertical="center"/>
    </xf>
    <xf numFmtId="0" fontId="39" fillId="0" borderId="7" xfId="0" applyFont="1" applyBorder="1" applyAlignment="1">
      <alignment horizontal="left" vertical="center"/>
    </xf>
    <xf numFmtId="0" fontId="37" fillId="0" borderId="6" xfId="0" applyFont="1" applyBorder="1" applyAlignment="1">
      <alignment horizontal="left" vertical="center" wrapText="1"/>
    </xf>
    <xf numFmtId="0" fontId="38" fillId="0" borderId="5" xfId="0" applyFont="1" applyBorder="1" applyAlignment="1">
      <alignment horizontal="left" vertical="center" wrapText="1"/>
    </xf>
    <xf numFmtId="0" fontId="38" fillId="0" borderId="6" xfId="0" applyFont="1" applyBorder="1" applyAlignment="1">
      <alignment horizontal="left" vertical="center" wrapText="1"/>
    </xf>
    <xf numFmtId="0" fontId="124" fillId="0" borderId="2" xfId="0" applyFont="1" applyBorder="1" applyAlignment="1">
      <alignment horizontal="left" vertical="center"/>
    </xf>
    <xf numFmtId="0" fontId="38" fillId="0" borderId="10" xfId="0" applyFont="1" applyBorder="1" applyAlignment="1">
      <alignment horizontal="left" vertical="center" wrapText="1"/>
    </xf>
    <xf numFmtId="0" fontId="38" fillId="0" borderId="3" xfId="0" applyFont="1" applyBorder="1" applyAlignment="1">
      <alignment horizontal="left" vertical="center" wrapText="1"/>
    </xf>
    <xf numFmtId="0" fontId="124" fillId="0" borderId="2" xfId="0" applyFont="1" applyBorder="1" applyAlignment="1">
      <alignment horizontal="left" vertical="center" wrapText="1"/>
    </xf>
    <xf numFmtId="0" fontId="38" fillId="0" borderId="22" xfId="0" applyFont="1" applyBorder="1" applyAlignment="1">
      <alignment horizontal="center" vertical="center" wrapText="1"/>
    </xf>
    <xf numFmtId="0" fontId="38" fillId="0" borderId="12" xfId="0" applyFont="1" applyBorder="1" applyAlignment="1">
      <alignment horizontal="center" vertical="center" wrapText="1"/>
    </xf>
    <xf numFmtId="0" fontId="38" fillId="0" borderId="0" xfId="0" applyFont="1" applyAlignment="1">
      <alignment horizontal="left" vertical="center" wrapText="1"/>
    </xf>
    <xf numFmtId="0" fontId="38" fillId="0" borderId="13" xfId="0" applyFont="1" applyBorder="1" applyAlignment="1">
      <alignment horizontal="left" vertical="center" wrapText="1"/>
    </xf>
    <xf numFmtId="0" fontId="38" fillId="0" borderId="1" xfId="0" applyFont="1" applyBorder="1" applyAlignment="1">
      <alignment horizontal="left" vertical="center" wrapText="1"/>
    </xf>
    <xf numFmtId="0" fontId="125" fillId="0" borderId="2" xfId="0" applyFont="1" applyBorder="1" applyAlignment="1">
      <alignment horizontal="left" vertical="center"/>
    </xf>
    <xf numFmtId="0" fontId="38" fillId="0" borderId="2" xfId="0" applyFont="1" applyBorder="1" applyAlignment="1">
      <alignment horizontal="left" vertical="center" wrapText="1"/>
    </xf>
    <xf numFmtId="0" fontId="38" fillId="0" borderId="8" xfId="0" applyFont="1" applyBorder="1" applyAlignment="1">
      <alignment horizontal="left" vertical="center" wrapText="1"/>
    </xf>
    <xf numFmtId="0" fontId="17" fillId="0" borderId="0" xfId="0" applyFont="1" applyAlignment="1">
      <alignment horizontal="center" vertical="center" wrapText="1"/>
    </xf>
    <xf numFmtId="0" fontId="17" fillId="0" borderId="9" xfId="0" applyFont="1" applyBorder="1" applyAlignment="1">
      <alignment horizontal="center" vertical="center" wrapText="1"/>
    </xf>
    <xf numFmtId="0" fontId="17" fillId="0" borderId="10" xfId="0" applyFont="1" applyBorder="1" applyAlignment="1">
      <alignment horizontal="center" vertical="center" wrapText="1"/>
    </xf>
    <xf numFmtId="0" fontId="17" fillId="0" borderId="3" xfId="0" applyFont="1" applyBorder="1" applyAlignment="1">
      <alignment horizontal="center" vertical="center" wrapText="1"/>
    </xf>
    <xf numFmtId="0" fontId="17" fillId="0" borderId="11" xfId="0" applyFont="1" applyBorder="1" applyAlignment="1">
      <alignment horizontal="center" vertical="center" wrapText="1"/>
    </xf>
    <xf numFmtId="0" fontId="13" fillId="0" borderId="22" xfId="0" applyFont="1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0" fontId="0" fillId="0" borderId="5" xfId="0" applyBorder="1" applyAlignment="1">
      <alignment horizontal="left" vertical="top"/>
    </xf>
    <xf numFmtId="0" fontId="0" fillId="0" borderId="6" xfId="0" applyBorder="1" applyAlignment="1">
      <alignment horizontal="left" vertical="top"/>
    </xf>
    <xf numFmtId="0" fontId="0" fillId="0" borderId="7" xfId="0" applyBorder="1" applyAlignment="1">
      <alignment horizontal="left" vertical="top"/>
    </xf>
    <xf numFmtId="0" fontId="0" fillId="0" borderId="8" xfId="0" applyBorder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9" xfId="0" applyBorder="1" applyAlignment="1">
      <alignment horizontal="left" vertical="top"/>
    </xf>
    <xf numFmtId="0" fontId="0" fillId="0" borderId="10" xfId="0" applyBorder="1" applyAlignment="1">
      <alignment horizontal="left" vertical="top"/>
    </xf>
    <xf numFmtId="0" fontId="0" fillId="0" borderId="0" xfId="0" applyAlignment="1">
      <alignment horizontal="right" vertical="center"/>
    </xf>
    <xf numFmtId="20" fontId="13" fillId="3" borderId="5" xfId="0" applyNumberFormat="1" applyFont="1" applyFill="1" applyBorder="1" applyAlignment="1">
      <alignment horizontal="left" vertical="top" wrapText="1"/>
    </xf>
    <xf numFmtId="20" fontId="13" fillId="3" borderId="6" xfId="0" applyNumberFormat="1" applyFont="1" applyFill="1" applyBorder="1" applyAlignment="1">
      <alignment horizontal="left" vertical="top" wrapText="1"/>
    </xf>
    <xf numFmtId="20" fontId="13" fillId="3" borderId="7" xfId="0" applyNumberFormat="1" applyFont="1" applyFill="1" applyBorder="1" applyAlignment="1">
      <alignment horizontal="left" vertical="top" wrapText="1"/>
    </xf>
    <xf numFmtId="20" fontId="13" fillId="3" borderId="8" xfId="0" applyNumberFormat="1" applyFont="1" applyFill="1" applyBorder="1" applyAlignment="1">
      <alignment horizontal="left" vertical="top" wrapText="1"/>
    </xf>
    <xf numFmtId="20" fontId="13" fillId="3" borderId="0" xfId="0" applyNumberFormat="1" applyFont="1" applyFill="1" applyAlignment="1">
      <alignment horizontal="left" vertical="top" wrapText="1"/>
    </xf>
    <xf numFmtId="20" fontId="13" fillId="3" borderId="9" xfId="0" applyNumberFormat="1" applyFont="1" applyFill="1" applyBorder="1" applyAlignment="1">
      <alignment horizontal="left" vertical="top" wrapText="1"/>
    </xf>
    <xf numFmtId="20" fontId="13" fillId="3" borderId="10" xfId="0" applyNumberFormat="1" applyFont="1" applyFill="1" applyBorder="1" applyAlignment="1">
      <alignment horizontal="left" vertical="top" wrapText="1"/>
    </xf>
    <xf numFmtId="20" fontId="13" fillId="3" borderId="3" xfId="0" applyNumberFormat="1" applyFont="1" applyFill="1" applyBorder="1" applyAlignment="1">
      <alignment horizontal="left" vertical="top" wrapText="1"/>
    </xf>
    <xf numFmtId="20" fontId="13" fillId="3" borderId="11" xfId="0" applyNumberFormat="1" applyFont="1" applyFill="1" applyBorder="1" applyAlignment="1">
      <alignment horizontal="left" vertical="top" wrapText="1"/>
    </xf>
    <xf numFmtId="0" fontId="13" fillId="3" borderId="5" xfId="0" applyFont="1" applyFill="1" applyBorder="1" applyAlignment="1">
      <alignment horizontal="left" vertical="top"/>
    </xf>
    <xf numFmtId="0" fontId="13" fillId="3" borderId="6" xfId="0" applyFont="1" applyFill="1" applyBorder="1" applyAlignment="1">
      <alignment horizontal="left" vertical="top"/>
    </xf>
    <xf numFmtId="0" fontId="13" fillId="3" borderId="7" xfId="0" applyFont="1" applyFill="1" applyBorder="1" applyAlignment="1">
      <alignment horizontal="left" vertical="top"/>
    </xf>
    <xf numFmtId="0" fontId="13" fillId="3" borderId="8" xfId="0" applyFont="1" applyFill="1" applyBorder="1" applyAlignment="1">
      <alignment horizontal="left" vertical="top"/>
    </xf>
    <xf numFmtId="0" fontId="13" fillId="3" borderId="0" xfId="0" applyFont="1" applyFill="1" applyAlignment="1">
      <alignment horizontal="left" vertical="top"/>
    </xf>
    <xf numFmtId="0" fontId="13" fillId="3" borderId="9" xfId="0" applyFont="1" applyFill="1" applyBorder="1" applyAlignment="1">
      <alignment horizontal="left" vertical="top"/>
    </xf>
    <xf numFmtId="0" fontId="13" fillId="3" borderId="10" xfId="0" applyFont="1" applyFill="1" applyBorder="1" applyAlignment="1">
      <alignment horizontal="left" vertical="top"/>
    </xf>
    <xf numFmtId="0" fontId="13" fillId="3" borderId="3" xfId="0" applyFont="1" applyFill="1" applyBorder="1" applyAlignment="1">
      <alignment horizontal="left" vertical="top"/>
    </xf>
    <xf numFmtId="0" fontId="13" fillId="3" borderId="11" xfId="0" applyFont="1" applyFill="1" applyBorder="1" applyAlignment="1">
      <alignment horizontal="left" vertical="top"/>
    </xf>
    <xf numFmtId="0" fontId="39" fillId="0" borderId="0" xfId="0" applyFont="1" applyAlignment="1">
      <alignment horizontal="center" vertical="center"/>
    </xf>
    <xf numFmtId="0" fontId="51" fillId="0" borderId="5" xfId="0" applyFont="1" applyBorder="1" applyAlignment="1">
      <alignment horizontal="center" vertical="center" wrapText="1"/>
    </xf>
    <xf numFmtId="0" fontId="51" fillId="0" borderId="6" xfId="0" applyFont="1" applyBorder="1" applyAlignment="1">
      <alignment horizontal="center" vertical="center" wrapText="1"/>
    </xf>
    <xf numFmtId="0" fontId="51" fillId="0" borderId="7" xfId="0" applyFont="1" applyBorder="1" applyAlignment="1">
      <alignment horizontal="center" vertical="center" wrapText="1"/>
    </xf>
    <xf numFmtId="0" fontId="51" fillId="0" borderId="8" xfId="0" applyFont="1" applyBorder="1" applyAlignment="1">
      <alignment horizontal="center" vertical="center" wrapText="1"/>
    </xf>
    <xf numFmtId="0" fontId="51" fillId="0" borderId="0" xfId="0" applyFont="1" applyAlignment="1">
      <alignment horizontal="center" vertical="center" wrapText="1"/>
    </xf>
    <xf numFmtId="0" fontId="51" fillId="0" borderId="9" xfId="0" applyFont="1" applyBorder="1" applyAlignment="1">
      <alignment horizontal="center" vertical="center" wrapText="1"/>
    </xf>
    <xf numFmtId="0" fontId="56" fillId="0" borderId="10" xfId="0" applyFont="1" applyBorder="1" applyAlignment="1">
      <alignment horizontal="left" vertical="center" wrapText="1"/>
    </xf>
    <xf numFmtId="0" fontId="56" fillId="0" borderId="3" xfId="0" applyFont="1" applyBorder="1" applyAlignment="1">
      <alignment horizontal="left" vertical="center" wrapText="1"/>
    </xf>
    <xf numFmtId="0" fontId="56" fillId="0" borderId="11" xfId="0" applyFont="1" applyBorder="1" applyAlignment="1">
      <alignment horizontal="left" vertical="center" wrapText="1"/>
    </xf>
    <xf numFmtId="0" fontId="14" fillId="0" borderId="1" xfId="0" applyFont="1" applyBorder="1" applyAlignment="1">
      <alignment horizontal="right" vertical="center" wrapText="1"/>
    </xf>
    <xf numFmtId="0" fontId="14" fillId="0" borderId="2" xfId="0" applyFont="1" applyBorder="1" applyAlignment="1">
      <alignment horizontal="right" vertical="center" wrapText="1"/>
    </xf>
    <xf numFmtId="0" fontId="14" fillId="0" borderId="4" xfId="0" applyFont="1" applyBorder="1" applyAlignment="1">
      <alignment horizontal="right" vertical="center" wrapText="1"/>
    </xf>
    <xf numFmtId="0" fontId="39" fillId="0" borderId="0" xfId="0" applyFont="1" applyAlignment="1">
      <alignment horizontal="left" vertical="center"/>
    </xf>
    <xf numFmtId="0" fontId="39" fillId="0" borderId="9" xfId="0" applyFont="1" applyBorder="1" applyAlignment="1">
      <alignment horizontal="left" vertical="center"/>
    </xf>
    <xf numFmtId="0" fontId="87" fillId="0" borderId="0" xfId="0" applyFont="1" applyAlignment="1">
      <alignment horizontal="center" vertical="center"/>
    </xf>
    <xf numFmtId="173" fontId="49" fillId="0" borderId="2" xfId="0" applyNumberFormat="1" applyFont="1" applyBorder="1" applyAlignment="1">
      <alignment horizontal="right" vertical="center"/>
    </xf>
    <xf numFmtId="173" fontId="49" fillId="0" borderId="4" xfId="0" applyNumberFormat="1" applyFont="1" applyBorder="1" applyAlignment="1">
      <alignment horizontal="right" vertical="center"/>
    </xf>
    <xf numFmtId="0" fontId="14" fillId="0" borderId="6" xfId="0" applyFont="1" applyBorder="1" applyAlignment="1">
      <alignment horizontal="right"/>
    </xf>
    <xf numFmtId="0" fontId="15" fillId="0" borderId="0" xfId="0" applyFont="1" applyAlignment="1">
      <alignment horizontal="center"/>
    </xf>
    <xf numFmtId="0" fontId="13" fillId="14" borderId="1" xfId="0" applyFont="1" applyFill="1" applyBorder="1" applyAlignment="1">
      <alignment horizontal="center" vertical="center"/>
    </xf>
    <xf numFmtId="0" fontId="13" fillId="14" borderId="2" xfId="0" applyFont="1" applyFill="1" applyBorder="1" applyAlignment="1">
      <alignment horizontal="center" vertical="center"/>
    </xf>
    <xf numFmtId="0" fontId="13" fillId="14" borderId="4" xfId="0" applyFont="1" applyFill="1" applyBorder="1" applyAlignment="1">
      <alignment horizontal="center" vertical="center"/>
    </xf>
    <xf numFmtId="0" fontId="13" fillId="14" borderId="1" xfId="0" applyFont="1" applyFill="1" applyBorder="1" applyAlignment="1">
      <alignment horizontal="center"/>
    </xf>
    <xf numFmtId="0" fontId="13" fillId="14" borderId="2" xfId="0" applyFont="1" applyFill="1" applyBorder="1" applyAlignment="1">
      <alignment horizontal="center"/>
    </xf>
    <xf numFmtId="0" fontId="13" fillId="14" borderId="4" xfId="0" applyFont="1" applyFill="1" applyBorder="1" applyAlignment="1">
      <alignment horizontal="center"/>
    </xf>
    <xf numFmtId="0" fontId="13" fillId="49" borderId="1" xfId="0" applyFont="1" applyFill="1" applyBorder="1" applyAlignment="1">
      <alignment horizontal="center" vertical="center"/>
    </xf>
    <xf numFmtId="0" fontId="13" fillId="49" borderId="2" xfId="0" applyFont="1" applyFill="1" applyBorder="1" applyAlignment="1">
      <alignment horizontal="center" vertical="center"/>
    </xf>
    <xf numFmtId="0" fontId="13" fillId="49" borderId="4" xfId="0" applyFont="1" applyFill="1" applyBorder="1" applyAlignment="1">
      <alignment horizontal="center" vertical="center"/>
    </xf>
    <xf numFmtId="0" fontId="13" fillId="6" borderId="1" xfId="0" applyFont="1" applyFill="1" applyBorder="1" applyAlignment="1">
      <alignment horizontal="center"/>
    </xf>
    <xf numFmtId="0" fontId="13" fillId="6" borderId="2" xfId="0" applyFont="1" applyFill="1" applyBorder="1" applyAlignment="1">
      <alignment horizontal="center"/>
    </xf>
    <xf numFmtId="0" fontId="13" fillId="6" borderId="4" xfId="0" applyFont="1" applyFill="1" applyBorder="1" applyAlignment="1">
      <alignment horizontal="center"/>
    </xf>
    <xf numFmtId="0" fontId="13" fillId="10" borderId="1" xfId="0" applyFont="1" applyFill="1" applyBorder="1" applyAlignment="1">
      <alignment horizontal="center"/>
    </xf>
    <xf numFmtId="0" fontId="13" fillId="10" borderId="2" xfId="0" applyFont="1" applyFill="1" applyBorder="1" applyAlignment="1">
      <alignment horizontal="center"/>
    </xf>
    <xf numFmtId="0" fontId="13" fillId="10" borderId="4" xfId="0" applyFont="1" applyFill="1" applyBorder="1" applyAlignment="1">
      <alignment horizontal="center"/>
    </xf>
    <xf numFmtId="0" fontId="13" fillId="49" borderId="1" xfId="0" applyFont="1" applyFill="1" applyBorder="1" applyAlignment="1">
      <alignment horizontal="center"/>
    </xf>
    <xf numFmtId="0" fontId="13" fillId="49" borderId="2" xfId="0" applyFont="1" applyFill="1" applyBorder="1" applyAlignment="1">
      <alignment horizontal="center"/>
    </xf>
    <xf numFmtId="0" fontId="13" fillId="49" borderId="4" xfId="0" applyFont="1" applyFill="1" applyBorder="1" applyAlignment="1">
      <alignment horizontal="center"/>
    </xf>
    <xf numFmtId="0" fontId="13" fillId="6" borderId="1" xfId="0" applyFont="1" applyFill="1" applyBorder="1" applyAlignment="1">
      <alignment horizontal="center" vertical="center"/>
    </xf>
    <xf numFmtId="0" fontId="13" fillId="6" borderId="2" xfId="0" applyFont="1" applyFill="1" applyBorder="1" applyAlignment="1">
      <alignment horizontal="center" vertical="center"/>
    </xf>
    <xf numFmtId="0" fontId="13" fillId="6" borderId="4" xfId="0" applyFont="1" applyFill="1" applyBorder="1" applyAlignment="1">
      <alignment horizontal="center" vertical="center"/>
    </xf>
    <xf numFmtId="0" fontId="13" fillId="10" borderId="1" xfId="0" applyFont="1" applyFill="1" applyBorder="1" applyAlignment="1">
      <alignment horizontal="center" vertical="center"/>
    </xf>
    <xf numFmtId="0" fontId="13" fillId="10" borderId="2" xfId="0" applyFont="1" applyFill="1" applyBorder="1" applyAlignment="1">
      <alignment horizontal="center" vertical="center"/>
    </xf>
    <xf numFmtId="0" fontId="13" fillId="10" borderId="4" xfId="0" applyFont="1" applyFill="1" applyBorder="1" applyAlignment="1">
      <alignment horizontal="center" vertical="center"/>
    </xf>
  </cellXfs>
  <cellStyles count="10">
    <cellStyle name="Comma" xfId="9" builtinId="3"/>
    <cellStyle name="Comma 2" xfId="6" xr:uid="{00000000-0005-0000-0000-000000000000}"/>
    <cellStyle name="Comma_Wheels Estimate" xfId="3" xr:uid="{00000000-0005-0000-0000-000001000000}"/>
    <cellStyle name="Currency" xfId="1" builtinId="4"/>
    <cellStyle name="Hyperlink" xfId="8" builtinId="8"/>
    <cellStyle name="Normal" xfId="0" builtinId="0"/>
    <cellStyle name="Normal 2" xfId="5" xr:uid="{00000000-0005-0000-0000-000004000000}"/>
    <cellStyle name="Normal 4" xfId="2" xr:uid="{00000000-0005-0000-0000-000005000000}"/>
    <cellStyle name="Normal_Wheels Estimate" xfId="4" xr:uid="{00000000-0005-0000-0000-000006000000}"/>
    <cellStyle name="Percent" xfId="7" builtinId="5"/>
  </cellStyles>
  <dxfs count="0"/>
  <tableStyles count="0" defaultTableStyle="TableStyleMedium2" defaultPivotStyle="PivotStyleLight16"/>
  <colors>
    <mruColors>
      <color rgb="FF993300"/>
      <color rgb="FFFFCCFF"/>
      <color rgb="FFCCFFCC"/>
      <color rgb="FF0066FF"/>
      <color rgb="FFFF99FF"/>
      <color rgb="FFCC9900"/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9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ustomXml" Target="../customXml/item8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eetMetadata" Target="metadata.xml"/><Relationship Id="rId33" Type="http://schemas.openxmlformats.org/officeDocument/2006/relationships/customXml" Target="../customXml/item7.xml"/><Relationship Id="rId38" Type="http://schemas.openxmlformats.org/officeDocument/2006/relationships/customXml" Target="../customXml/item1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32" Type="http://schemas.openxmlformats.org/officeDocument/2006/relationships/customXml" Target="../customXml/item6.xml"/><Relationship Id="rId37" Type="http://schemas.openxmlformats.org/officeDocument/2006/relationships/customXml" Target="../customXml/item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28" Type="http://schemas.openxmlformats.org/officeDocument/2006/relationships/customXml" Target="../customXml/item2.xml"/><Relationship Id="rId36" Type="http://schemas.openxmlformats.org/officeDocument/2006/relationships/customXml" Target="../customXml/item10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openxmlformats.org/officeDocument/2006/relationships/customXml" Target="../customXml/item1.xml"/><Relationship Id="rId30" Type="http://schemas.openxmlformats.org/officeDocument/2006/relationships/customXml" Target="../customXml/item4.xml"/><Relationship Id="rId35" Type="http://schemas.openxmlformats.org/officeDocument/2006/relationships/customXml" Target="../customXml/item9.xml"/></Relationships>
</file>

<file path=xl/ctrlProps/ctrlProp1.xml><?xml version="1.0" encoding="utf-8"?>
<formControlPr xmlns="http://schemas.microsoft.com/office/spreadsheetml/2009/9/main" objectType="Drop" dropLines="2" dropStyle="combo" dx="22" fmlaLink="$U$1" fmlaRange="'B 1'!$W$7:$W$8" noThreeD="1" sel="2" val="0"/>
</file>

<file path=xl/ctrlProps/ctrlProp2.xml><?xml version="1.0" encoding="utf-8"?>
<formControlPr xmlns="http://schemas.microsoft.com/office/spreadsheetml/2009/9/main" objectType="Drop" dropStyle="combo" dx="22" fmlaLink="$E$18" fmlaRange="$W$17:$W$18" noThreeD="1" sel="1" val="0"/>
</file>

<file path=xl/ctrlProps/ctrlProp3.xml><?xml version="1.0" encoding="utf-8"?>
<formControlPr xmlns="http://schemas.microsoft.com/office/spreadsheetml/2009/9/main" objectType="Drop" dropLines="2" dropStyle="combo" dx="22" fmlaLink="$W$21" fmlaRange="$W$19:$W$20" noThreeD="1" sel="1" val="0"/>
</file>

<file path=xl/ctrlProps/ctrlProp4.xml><?xml version="1.0" encoding="utf-8"?>
<formControlPr xmlns="http://schemas.microsoft.com/office/spreadsheetml/2009/9/main" objectType="Drop" dropStyle="combo" dx="22" fmlaLink="$W$25" fmlaRange="$W$22:$W$23" noThreeD="1" sel="2" val="0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3.png"/><Relationship Id="rId3" Type="http://schemas.openxmlformats.org/officeDocument/2006/relationships/image" Target="../media/image4.png"/><Relationship Id="rId7" Type="http://schemas.openxmlformats.org/officeDocument/2006/relationships/image" Target="../media/image8.jfif"/><Relationship Id="rId12" Type="http://schemas.microsoft.com/office/2011/relationships/webextension" Target="../webextensions/webextension1.xml"/><Relationship Id="rId2" Type="http://schemas.openxmlformats.org/officeDocument/2006/relationships/image" Target="../media/image3.png"/><Relationship Id="rId1" Type="http://schemas.openxmlformats.org/officeDocument/2006/relationships/image" Target="../media/image2.jpg"/><Relationship Id="rId6" Type="http://schemas.openxmlformats.org/officeDocument/2006/relationships/image" Target="../media/image7.jpeg"/><Relationship Id="rId11" Type="http://schemas.openxmlformats.org/officeDocument/2006/relationships/image" Target="../media/image12.jpg"/><Relationship Id="rId5" Type="http://schemas.openxmlformats.org/officeDocument/2006/relationships/image" Target="../media/image6.jpg"/><Relationship Id="rId10" Type="http://schemas.openxmlformats.org/officeDocument/2006/relationships/image" Target="../media/image11.jpg"/><Relationship Id="rId4" Type="http://schemas.openxmlformats.org/officeDocument/2006/relationships/image" Target="../media/image5.jpg"/><Relationship Id="rId9" Type="http://schemas.openxmlformats.org/officeDocument/2006/relationships/image" Target="../media/image10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6.png"/><Relationship Id="rId2" Type="http://schemas.microsoft.com/office/2011/relationships/webextension" Target="../webextensions/webextension2.xml"/><Relationship Id="rId1" Type="http://schemas.openxmlformats.org/officeDocument/2006/relationships/image" Target="../media/image15.jpeg"/><Relationship Id="rId4" Type="http://schemas.openxmlformats.org/officeDocument/2006/relationships/image" Target="../media/image17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8.png"/><Relationship Id="rId2" Type="http://schemas.microsoft.com/office/2011/relationships/webextension" Target="../webextensions/webextension3.xml"/><Relationship Id="rId1" Type="http://schemas.openxmlformats.org/officeDocument/2006/relationships/image" Target="../media/image15.jpeg"/><Relationship Id="rId6" Type="http://schemas.openxmlformats.org/officeDocument/2006/relationships/image" Target="../media/image20.png"/><Relationship Id="rId5" Type="http://schemas.openxmlformats.org/officeDocument/2006/relationships/image" Target="../media/image19.jpeg"/><Relationship Id="rId4" Type="http://schemas.openxmlformats.org/officeDocument/2006/relationships/hyperlink" Target="https://megaroofing.ca/" TargetMode="Externa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6.png"/><Relationship Id="rId2" Type="http://schemas.microsoft.com/office/2011/relationships/webextension" Target="../webextensions/webextension4.xml"/><Relationship Id="rId1" Type="http://schemas.openxmlformats.org/officeDocument/2006/relationships/image" Target="../media/image15.jpe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png"/><Relationship Id="rId2" Type="http://schemas.microsoft.com/office/2011/relationships/webextension" Target="../webextensions/webextension5.xml"/><Relationship Id="rId1" Type="http://schemas.openxmlformats.org/officeDocument/2006/relationships/image" Target="../media/image15.jpe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2.png"/><Relationship Id="rId2" Type="http://schemas.microsoft.com/office/2011/relationships/webextension" Target="../webextensions/webextension6.xml"/><Relationship Id="rId1" Type="http://schemas.openxmlformats.org/officeDocument/2006/relationships/image" Target="../media/image15.jpe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png"/><Relationship Id="rId2" Type="http://schemas.microsoft.com/office/2011/relationships/webextension" Target="../webextensions/webextension7.xml"/><Relationship Id="rId1" Type="http://schemas.openxmlformats.org/officeDocument/2006/relationships/image" Target="../media/image15.jpe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2.png"/><Relationship Id="rId2" Type="http://schemas.microsoft.com/office/2011/relationships/webextension" Target="../webextensions/webextension8.xml"/><Relationship Id="rId1" Type="http://schemas.openxmlformats.org/officeDocument/2006/relationships/image" Target="../media/image15.jpe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png"/><Relationship Id="rId2" Type="http://schemas.microsoft.com/office/2011/relationships/webextension" Target="../webextensions/webextension9.xml"/><Relationship Id="rId1" Type="http://schemas.openxmlformats.org/officeDocument/2006/relationships/image" Target="../media/image15.jpe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22.png"/><Relationship Id="rId2" Type="http://schemas.microsoft.com/office/2011/relationships/webextension" Target="../webextensions/webextension10.xml"/><Relationship Id="rId1" Type="http://schemas.openxmlformats.org/officeDocument/2006/relationships/image" Target="../media/image15.jpe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2.png"/><Relationship Id="rId2" Type="http://schemas.microsoft.com/office/2011/relationships/webextension" Target="../webextensions/webextension11.xml"/><Relationship Id="rId1" Type="http://schemas.openxmlformats.org/officeDocument/2006/relationships/image" Target="../media/image15.jpeg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6.png"/><Relationship Id="rId2" Type="http://schemas.microsoft.com/office/2011/relationships/webextension" Target="../webextensions/webextension12.xml"/><Relationship Id="rId1" Type="http://schemas.openxmlformats.org/officeDocument/2006/relationships/image" Target="../media/image15.jpe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4.png"/><Relationship Id="rId2" Type="http://schemas.microsoft.com/office/2011/relationships/webextension" Target="../webextensions/webextension13.xml"/><Relationship Id="rId1" Type="http://schemas.openxmlformats.org/officeDocument/2006/relationships/image" Target="../media/image15.jpeg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png"/><Relationship Id="rId2" Type="http://schemas.microsoft.com/office/2011/relationships/webextension" Target="../webextensions/webextension14.xml"/><Relationship Id="rId1" Type="http://schemas.openxmlformats.org/officeDocument/2006/relationships/image" Target="../media/image15.jpeg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5.png"/><Relationship Id="rId1" Type="http://schemas.microsoft.com/office/2011/relationships/webextension" Target="../webextensions/webextension1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9525</xdr:colOff>
      <xdr:row>108</xdr:row>
      <xdr:rowOff>38100</xdr:rowOff>
    </xdr:from>
    <xdr:to>
      <xdr:col>21</xdr:col>
      <xdr:colOff>638174</xdr:colOff>
      <xdr:row>118</xdr:row>
      <xdr:rowOff>187920</xdr:rowOff>
    </xdr:to>
    <xdr:pic>
      <xdr:nvPicPr>
        <xdr:cNvPr id="46" name="Picture 45"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 amt="20000"/>
          <a:extLst>
            <a:ext uri="{28A0092B-C50C-407E-A947-70E740481C1C}">
              <a14:useLocalDpi xmlns:a14="http://schemas.microsoft.com/office/drawing/2010/main" val="0"/>
            </a:ext>
          </a:extLst>
        </a:blip>
        <a:srcRect l="-8953" t="11127" r="1" b="6809"/>
        <a:stretch/>
      </xdr:blipFill>
      <xdr:spPr>
        <a:xfrm>
          <a:off x="6886575" y="17764125"/>
          <a:ext cx="4286249" cy="2054820"/>
        </a:xfrm>
        <a:prstGeom prst="rect">
          <a:avLst/>
        </a:prstGeom>
      </xdr:spPr>
    </xdr:pic>
    <xdr:clientData/>
  </xdr:twoCellAnchor>
  <xdr:twoCellAnchor>
    <xdr:from>
      <xdr:col>5</xdr:col>
      <xdr:colOff>295275</xdr:colOff>
      <xdr:row>120</xdr:row>
      <xdr:rowOff>9525</xdr:rowOff>
    </xdr:from>
    <xdr:to>
      <xdr:col>22</xdr:col>
      <xdr:colOff>0</xdr:colOff>
      <xdr:row>149</xdr:row>
      <xdr:rowOff>9525</xdr:rowOff>
    </xdr:to>
    <xdr:grpSp>
      <xdr:nvGrpSpPr>
        <xdr:cNvPr id="42" name="Group 41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GrpSpPr/>
      </xdr:nvGrpSpPr>
      <xdr:grpSpPr>
        <a:xfrm>
          <a:off x="3933825" y="19869150"/>
          <a:ext cx="7248525" cy="5581650"/>
          <a:chOff x="3952875" y="19459575"/>
          <a:chExt cx="7391400" cy="5553075"/>
        </a:xfrm>
      </xdr:grpSpPr>
      <xdr:pic>
        <xdr:nvPicPr>
          <xdr:cNvPr id="36" name="Picture 35">
            <a:extLst>
              <a:ext uri="{FF2B5EF4-FFF2-40B4-BE49-F238E27FC236}">
                <a16:creationId xmlns:a16="http://schemas.microsoft.com/office/drawing/2014/main" id="{00000000-0008-0000-0200-000024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2">
            <a:alphaModFix amt="20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89572"/>
          <a:stretch/>
        </xdr:blipFill>
        <xdr:spPr>
          <a:xfrm>
            <a:off x="3952875" y="19459575"/>
            <a:ext cx="7391400" cy="581025"/>
          </a:xfrm>
          <a:prstGeom prst="rect">
            <a:avLst/>
          </a:prstGeom>
        </xdr:spPr>
      </xdr:pic>
      <xdr:pic>
        <xdr:nvPicPr>
          <xdr:cNvPr id="39" name="Picture 38">
            <a:extLst>
              <a:ext uri="{FF2B5EF4-FFF2-40B4-BE49-F238E27FC236}">
                <a16:creationId xmlns:a16="http://schemas.microsoft.com/office/drawing/2014/main" id="{00000000-0008-0000-0200-000027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2">
            <a:alphaModFix amt="20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13141" t="10599" r="64257" b="168"/>
          <a:stretch/>
        </xdr:blipFill>
        <xdr:spPr>
          <a:xfrm>
            <a:off x="4924150" y="20040600"/>
            <a:ext cx="1670591" cy="4972050"/>
          </a:xfrm>
          <a:prstGeom prst="rect">
            <a:avLst/>
          </a:prstGeom>
        </xdr:spPr>
      </xdr:pic>
      <xdr:pic>
        <xdr:nvPicPr>
          <xdr:cNvPr id="40" name="Picture 39">
            <a:extLst>
              <a:ext uri="{FF2B5EF4-FFF2-40B4-BE49-F238E27FC236}">
                <a16:creationId xmlns:a16="http://schemas.microsoft.com/office/drawing/2014/main" id="{00000000-0008-0000-0200-000028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2">
            <a:alphaModFix amt="20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40736" t="10599" b="3929"/>
          <a:stretch/>
        </xdr:blipFill>
        <xdr:spPr>
          <a:xfrm>
            <a:off x="6963826" y="20050125"/>
            <a:ext cx="4380449" cy="4762500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38100</xdr:colOff>
      <xdr:row>235</xdr:row>
      <xdr:rowOff>0</xdr:rowOff>
    </xdr:from>
    <xdr:to>
      <xdr:col>12</xdr:col>
      <xdr:colOff>533400</xdr:colOff>
      <xdr:row>268</xdr:row>
      <xdr:rowOff>171450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GrpSpPr/>
      </xdr:nvGrpSpPr>
      <xdr:grpSpPr>
        <a:xfrm>
          <a:off x="5667375" y="42062400"/>
          <a:ext cx="828675" cy="6457950"/>
          <a:chOff x="5667375" y="39052500"/>
          <a:chExt cx="828675" cy="5886450"/>
        </a:xfrm>
      </xdr:grpSpPr>
      <xdr:sp macro="" textlink="">
        <xdr:nvSpPr>
          <xdr:cNvPr id="25" name="TextBox 24">
            <a:extLst>
              <a:ext uri="{FF2B5EF4-FFF2-40B4-BE49-F238E27FC236}">
                <a16:creationId xmlns:a16="http://schemas.microsoft.com/office/drawing/2014/main" id="{00000000-0008-0000-0200-000019000000}"/>
              </a:ext>
            </a:extLst>
          </xdr:cNvPr>
          <xdr:cNvSpPr txBox="1"/>
        </xdr:nvSpPr>
        <xdr:spPr>
          <a:xfrm>
            <a:off x="5667375" y="41538525"/>
            <a:ext cx="828675" cy="1295399"/>
          </a:xfrm>
          <a:prstGeom prst="rect">
            <a:avLst/>
          </a:prstGeom>
          <a:gradFill flip="none" rotWithShape="1">
            <a:gsLst>
              <a:gs pos="0">
                <a:schemeClr val="accent6">
                  <a:lumMod val="5000"/>
                  <a:lumOff val="95000"/>
                </a:schemeClr>
              </a:gs>
              <a:gs pos="74000">
                <a:schemeClr val="accent6">
                  <a:lumMod val="45000"/>
                  <a:lumOff val="55000"/>
                </a:schemeClr>
              </a:gs>
              <a:gs pos="83000">
                <a:schemeClr val="accent6">
                  <a:lumMod val="45000"/>
                  <a:lumOff val="55000"/>
                </a:schemeClr>
              </a:gs>
              <a:gs pos="100000">
                <a:schemeClr val="accent6">
                  <a:lumMod val="30000"/>
                  <a:lumOff val="70000"/>
                </a:schemeClr>
              </a:gs>
            </a:gsLst>
            <a:lin ang="13500000" scaled="1"/>
            <a:tileRect/>
          </a:gradFill>
          <a:ln>
            <a:solidFill>
              <a:srgbClr val="FF0000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en-CA" sz="1100" b="1">
                <a:solidFill>
                  <a:srgbClr val="FF0000"/>
                </a:solidFill>
              </a:rPr>
              <a:t>Flashings</a:t>
            </a:r>
          </a:p>
        </xdr:txBody>
      </xdr:sp>
      <xdr:sp macro="" textlink="">
        <xdr:nvSpPr>
          <xdr:cNvPr id="26" name="TextBox 25">
            <a:extLst>
              <a:ext uri="{FF2B5EF4-FFF2-40B4-BE49-F238E27FC236}">
                <a16:creationId xmlns:a16="http://schemas.microsoft.com/office/drawing/2014/main" id="{00000000-0008-0000-0200-00001A000000}"/>
              </a:ext>
            </a:extLst>
          </xdr:cNvPr>
          <xdr:cNvSpPr txBox="1"/>
        </xdr:nvSpPr>
        <xdr:spPr>
          <a:xfrm>
            <a:off x="5667375" y="39052500"/>
            <a:ext cx="828675" cy="733425"/>
          </a:xfrm>
          <a:prstGeom prst="rect">
            <a:avLst/>
          </a:prstGeom>
          <a:gradFill flip="none" rotWithShape="1">
            <a:gsLst>
              <a:gs pos="0">
                <a:schemeClr val="accent6">
                  <a:lumMod val="5000"/>
                  <a:lumOff val="95000"/>
                </a:schemeClr>
              </a:gs>
              <a:gs pos="74000">
                <a:schemeClr val="accent6">
                  <a:lumMod val="45000"/>
                  <a:lumOff val="55000"/>
                </a:schemeClr>
              </a:gs>
              <a:gs pos="83000">
                <a:schemeClr val="accent6">
                  <a:lumMod val="45000"/>
                  <a:lumOff val="55000"/>
                </a:schemeClr>
              </a:gs>
              <a:gs pos="100000">
                <a:schemeClr val="accent6">
                  <a:lumMod val="30000"/>
                  <a:lumOff val="70000"/>
                </a:schemeClr>
              </a:gs>
            </a:gsLst>
            <a:lin ang="18900000" scaled="1"/>
            <a:tileRect/>
          </a:gradFill>
          <a:ln>
            <a:solidFill>
              <a:srgbClr val="FF0000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en-CA" sz="1100" b="1">
                <a:solidFill>
                  <a:srgbClr val="FF0000"/>
                </a:solidFill>
              </a:rPr>
              <a:t>Cladding</a:t>
            </a:r>
          </a:p>
        </xdr:txBody>
      </xdr:sp>
      <xdr:sp macro="" textlink="">
        <xdr:nvSpPr>
          <xdr:cNvPr id="27" name="TextBox 26">
            <a:extLst>
              <a:ext uri="{FF2B5EF4-FFF2-40B4-BE49-F238E27FC236}">
                <a16:creationId xmlns:a16="http://schemas.microsoft.com/office/drawing/2014/main" id="{00000000-0008-0000-0200-00001B000000}"/>
              </a:ext>
            </a:extLst>
          </xdr:cNvPr>
          <xdr:cNvSpPr txBox="1"/>
        </xdr:nvSpPr>
        <xdr:spPr>
          <a:xfrm>
            <a:off x="5667375" y="39824025"/>
            <a:ext cx="828675" cy="1666875"/>
          </a:xfrm>
          <a:prstGeom prst="rect">
            <a:avLst/>
          </a:prstGeom>
          <a:gradFill flip="none" rotWithShape="1">
            <a:gsLst>
              <a:gs pos="0">
                <a:schemeClr val="accent6">
                  <a:lumMod val="5000"/>
                  <a:lumOff val="95000"/>
                </a:schemeClr>
              </a:gs>
              <a:gs pos="74000">
                <a:schemeClr val="accent6">
                  <a:lumMod val="45000"/>
                  <a:lumOff val="55000"/>
                </a:schemeClr>
              </a:gs>
              <a:gs pos="83000">
                <a:schemeClr val="accent6">
                  <a:lumMod val="45000"/>
                  <a:lumOff val="55000"/>
                </a:schemeClr>
              </a:gs>
              <a:gs pos="100000">
                <a:schemeClr val="accent6">
                  <a:lumMod val="30000"/>
                  <a:lumOff val="70000"/>
                </a:schemeClr>
              </a:gs>
            </a:gsLst>
            <a:lin ang="2700000" scaled="1"/>
            <a:tileRect/>
          </a:gradFill>
          <a:ln>
            <a:solidFill>
              <a:srgbClr val="FF0000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en-CA" sz="1100" b="1">
                <a:solidFill>
                  <a:srgbClr val="FF0000"/>
                </a:solidFill>
              </a:rPr>
              <a:t>Boards</a:t>
            </a:r>
          </a:p>
          <a:p>
            <a:pPr algn="ctr"/>
            <a:r>
              <a:rPr lang="en-CA" sz="1100" b="1">
                <a:solidFill>
                  <a:srgbClr val="FF0000"/>
                </a:solidFill>
              </a:rPr>
              <a:t>Battons</a:t>
            </a:r>
          </a:p>
          <a:p>
            <a:pPr algn="ctr"/>
            <a:r>
              <a:rPr lang="en-CA" sz="1100" b="1">
                <a:solidFill>
                  <a:srgbClr val="FF0000"/>
                </a:solidFill>
              </a:rPr>
              <a:t>Belly Bands &amp;</a:t>
            </a:r>
          </a:p>
          <a:p>
            <a:pPr algn="ctr"/>
            <a:r>
              <a:rPr lang="en-CA" sz="1100" b="1">
                <a:solidFill>
                  <a:srgbClr val="FF0000"/>
                </a:solidFill>
              </a:rPr>
              <a:t>Corners in</a:t>
            </a:r>
          </a:p>
          <a:p>
            <a:pPr algn="ctr"/>
            <a:r>
              <a:rPr lang="en-CA" sz="1400" b="1">
                <a:solidFill>
                  <a:srgbClr val="FF0000"/>
                </a:solidFill>
              </a:rPr>
              <a:t>Artic White</a:t>
            </a:r>
          </a:p>
          <a:p>
            <a:pPr algn="ctr"/>
            <a:r>
              <a:rPr lang="en-CA" sz="800" b="0">
                <a:solidFill>
                  <a:srgbClr val="FF0000"/>
                </a:solidFill>
              </a:rPr>
              <a:t>Check Input sheet for the</a:t>
            </a:r>
            <a:r>
              <a:rPr lang="en-CA" sz="800" b="0" baseline="0">
                <a:solidFill>
                  <a:srgbClr val="FF0000"/>
                </a:solidFill>
              </a:rPr>
              <a:t> p</a:t>
            </a:r>
            <a:r>
              <a:rPr lang="en-CA" sz="800" b="0">
                <a:solidFill>
                  <a:srgbClr val="FF0000"/>
                </a:solidFill>
              </a:rPr>
              <a:t>rice of primed</a:t>
            </a:r>
          </a:p>
        </xdr:txBody>
      </xdr:sp>
      <xdr:sp macro="" textlink="">
        <xdr:nvSpPr>
          <xdr:cNvPr id="28" name="TextBox 27">
            <a:extLst>
              <a:ext uri="{FF2B5EF4-FFF2-40B4-BE49-F238E27FC236}">
                <a16:creationId xmlns:a16="http://schemas.microsoft.com/office/drawing/2014/main" id="{00000000-0008-0000-0200-00001C000000}"/>
              </a:ext>
            </a:extLst>
          </xdr:cNvPr>
          <xdr:cNvSpPr txBox="1"/>
        </xdr:nvSpPr>
        <xdr:spPr>
          <a:xfrm>
            <a:off x="5667375" y="42881550"/>
            <a:ext cx="828675" cy="318313"/>
          </a:xfrm>
          <a:prstGeom prst="rect">
            <a:avLst/>
          </a:prstGeom>
          <a:gradFill flip="none" rotWithShape="1">
            <a:gsLst>
              <a:gs pos="0">
                <a:schemeClr val="accent6">
                  <a:lumMod val="5000"/>
                  <a:lumOff val="95000"/>
                </a:schemeClr>
              </a:gs>
              <a:gs pos="74000">
                <a:schemeClr val="accent6">
                  <a:lumMod val="45000"/>
                  <a:lumOff val="55000"/>
                </a:schemeClr>
              </a:gs>
              <a:gs pos="83000">
                <a:schemeClr val="accent6">
                  <a:lumMod val="45000"/>
                  <a:lumOff val="55000"/>
                </a:schemeClr>
              </a:gs>
              <a:gs pos="100000">
                <a:schemeClr val="accent6">
                  <a:lumMod val="30000"/>
                  <a:lumOff val="70000"/>
                </a:schemeClr>
              </a:gs>
            </a:gsLst>
            <a:lin ang="8100000" scaled="1"/>
            <a:tileRect/>
          </a:gradFill>
          <a:ln>
            <a:solidFill>
              <a:srgbClr val="FF0000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en-CA" sz="1100" b="1">
                <a:solidFill>
                  <a:srgbClr val="FF0000"/>
                </a:solidFill>
              </a:rPr>
              <a:t>Envelope</a:t>
            </a:r>
          </a:p>
        </xdr:txBody>
      </xdr:sp>
      <xdr:sp macro="" textlink="">
        <xdr:nvSpPr>
          <xdr:cNvPr id="29" name="TextBox 28">
            <a:extLst>
              <a:ext uri="{FF2B5EF4-FFF2-40B4-BE49-F238E27FC236}">
                <a16:creationId xmlns:a16="http://schemas.microsoft.com/office/drawing/2014/main" id="{00000000-0008-0000-0200-00001D000000}"/>
              </a:ext>
            </a:extLst>
          </xdr:cNvPr>
          <xdr:cNvSpPr txBox="1"/>
        </xdr:nvSpPr>
        <xdr:spPr>
          <a:xfrm>
            <a:off x="5667375" y="43253025"/>
            <a:ext cx="828675" cy="914400"/>
          </a:xfrm>
          <a:prstGeom prst="rect">
            <a:avLst/>
          </a:prstGeom>
          <a:gradFill flip="none" rotWithShape="1">
            <a:gsLst>
              <a:gs pos="0">
                <a:schemeClr val="accent6">
                  <a:lumMod val="5000"/>
                  <a:lumOff val="95000"/>
                </a:schemeClr>
              </a:gs>
              <a:gs pos="74000">
                <a:schemeClr val="accent6">
                  <a:lumMod val="45000"/>
                  <a:lumOff val="55000"/>
                </a:schemeClr>
              </a:gs>
              <a:gs pos="83000">
                <a:schemeClr val="accent6">
                  <a:lumMod val="45000"/>
                  <a:lumOff val="55000"/>
                </a:schemeClr>
              </a:gs>
              <a:gs pos="100000">
                <a:schemeClr val="accent6">
                  <a:lumMod val="30000"/>
                  <a:lumOff val="70000"/>
                </a:schemeClr>
              </a:gs>
            </a:gsLst>
            <a:lin ang="18900000" scaled="1"/>
            <a:tileRect/>
          </a:gradFill>
          <a:ln>
            <a:solidFill>
              <a:srgbClr val="FF0000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en-CA" sz="1100" b="1">
                <a:solidFill>
                  <a:srgbClr val="FF0000"/>
                </a:solidFill>
                <a:latin typeface="+mn-lt"/>
                <a:ea typeface="+mn-ea"/>
                <a:cs typeface="+mn-cs"/>
              </a:rPr>
              <a:t>Accessory</a:t>
            </a:r>
            <a:r>
              <a:rPr lang="en-CA" sz="1100" b="1">
                <a:solidFill>
                  <a:srgbClr val="FF0000"/>
                </a:solidFill>
              </a:rPr>
              <a:t> Trims</a:t>
            </a:r>
          </a:p>
        </xdr:txBody>
      </xdr:sp>
      <xdr:sp macro="" textlink="">
        <xdr:nvSpPr>
          <xdr:cNvPr id="30" name="TextBox 29">
            <a:extLst>
              <a:ext uri="{FF2B5EF4-FFF2-40B4-BE49-F238E27FC236}">
                <a16:creationId xmlns:a16="http://schemas.microsoft.com/office/drawing/2014/main" id="{00000000-0008-0000-0200-00001E000000}"/>
              </a:ext>
            </a:extLst>
          </xdr:cNvPr>
          <xdr:cNvSpPr txBox="1"/>
        </xdr:nvSpPr>
        <xdr:spPr>
          <a:xfrm>
            <a:off x="5667375" y="44215050"/>
            <a:ext cx="828675" cy="333376"/>
          </a:xfrm>
          <a:prstGeom prst="rect">
            <a:avLst/>
          </a:prstGeom>
          <a:gradFill flip="none" rotWithShape="1">
            <a:gsLst>
              <a:gs pos="0">
                <a:schemeClr val="accent6">
                  <a:lumMod val="5000"/>
                  <a:lumOff val="95000"/>
                </a:schemeClr>
              </a:gs>
              <a:gs pos="74000">
                <a:schemeClr val="accent6">
                  <a:lumMod val="45000"/>
                  <a:lumOff val="55000"/>
                </a:schemeClr>
              </a:gs>
              <a:gs pos="83000">
                <a:schemeClr val="accent6">
                  <a:lumMod val="45000"/>
                  <a:lumOff val="55000"/>
                </a:schemeClr>
              </a:gs>
              <a:gs pos="100000">
                <a:schemeClr val="accent6">
                  <a:lumMod val="30000"/>
                  <a:lumOff val="70000"/>
                </a:schemeClr>
              </a:gs>
            </a:gsLst>
            <a:lin ang="2700000" scaled="1"/>
            <a:tileRect/>
          </a:gradFill>
          <a:ln>
            <a:solidFill>
              <a:srgbClr val="FF0000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en-CA" sz="1100" b="1">
                <a:solidFill>
                  <a:srgbClr val="FF0000"/>
                </a:solidFill>
              </a:rPr>
              <a:t>Touch-Up</a:t>
            </a:r>
          </a:p>
        </xdr:txBody>
      </xdr:sp>
      <xdr:sp macro="" textlink="">
        <xdr:nvSpPr>
          <xdr:cNvPr id="31" name="TextBox 30">
            <a:extLst>
              <a:ext uri="{FF2B5EF4-FFF2-40B4-BE49-F238E27FC236}">
                <a16:creationId xmlns:a16="http://schemas.microsoft.com/office/drawing/2014/main" id="{00000000-0008-0000-0200-00001F000000}"/>
              </a:ext>
            </a:extLst>
          </xdr:cNvPr>
          <xdr:cNvSpPr txBox="1"/>
        </xdr:nvSpPr>
        <xdr:spPr>
          <a:xfrm>
            <a:off x="5667375" y="44586525"/>
            <a:ext cx="828675" cy="352425"/>
          </a:xfrm>
          <a:prstGeom prst="rect">
            <a:avLst/>
          </a:prstGeom>
          <a:gradFill flip="none" rotWithShape="1">
            <a:gsLst>
              <a:gs pos="0">
                <a:schemeClr val="accent6">
                  <a:lumMod val="5000"/>
                  <a:lumOff val="95000"/>
                </a:schemeClr>
              </a:gs>
              <a:gs pos="74000">
                <a:schemeClr val="accent6">
                  <a:lumMod val="45000"/>
                  <a:lumOff val="55000"/>
                </a:schemeClr>
              </a:gs>
              <a:gs pos="83000">
                <a:schemeClr val="accent6">
                  <a:lumMod val="45000"/>
                  <a:lumOff val="55000"/>
                </a:schemeClr>
              </a:gs>
              <a:gs pos="100000">
                <a:schemeClr val="accent6">
                  <a:lumMod val="30000"/>
                  <a:lumOff val="70000"/>
                </a:schemeClr>
              </a:gs>
            </a:gsLst>
            <a:lin ang="13500000" scaled="1"/>
            <a:tileRect/>
          </a:gradFill>
          <a:ln>
            <a:solidFill>
              <a:srgbClr val="FF0000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en-CA" sz="1100" b="1">
                <a:solidFill>
                  <a:srgbClr val="FF0000"/>
                </a:solidFill>
              </a:rPr>
              <a:t>Fasteners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152400</xdr:rowOff>
        </xdr:from>
        <xdr:to>
          <xdr:col>15</xdr:col>
          <xdr:colOff>295275</xdr:colOff>
          <xdr:row>2</xdr:row>
          <xdr:rowOff>142875</xdr:rowOff>
        </xdr:to>
        <xdr:sp macro="" textlink="">
          <xdr:nvSpPr>
            <xdr:cNvPr id="2089" name="Drop Down 41" hidden="1">
              <a:extLst>
                <a:ext uri="{63B3BB69-23CF-44E3-9099-C40C66FF867C}">
                  <a14:compatExt spid="_x0000_s2089"/>
                </a:ext>
                <a:ext uri="{FF2B5EF4-FFF2-40B4-BE49-F238E27FC236}">
                  <a16:creationId xmlns:a16="http://schemas.microsoft.com/office/drawing/2014/main" id="{00000000-0008-0000-0200-00002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295275</xdr:colOff>
          <xdr:row>17</xdr:row>
          <xdr:rowOff>28575</xdr:rowOff>
        </xdr:from>
        <xdr:to>
          <xdr:col>5</xdr:col>
          <xdr:colOff>57150</xdr:colOff>
          <xdr:row>18</xdr:row>
          <xdr:rowOff>28575</xdr:rowOff>
        </xdr:to>
        <xdr:sp macro="" textlink="">
          <xdr:nvSpPr>
            <xdr:cNvPr id="2090" name="Drop Down 42" hidden="1">
              <a:extLst>
                <a:ext uri="{63B3BB69-23CF-44E3-9099-C40C66FF867C}">
                  <a14:compatExt spid="_x0000_s2090"/>
                </a:ext>
                <a:ext uri="{FF2B5EF4-FFF2-40B4-BE49-F238E27FC236}">
                  <a16:creationId xmlns:a16="http://schemas.microsoft.com/office/drawing/2014/main" id="{00000000-0008-0000-0200-00002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9525</xdr:colOff>
      <xdr:row>0</xdr:row>
      <xdr:rowOff>0</xdr:rowOff>
    </xdr:from>
    <xdr:to>
      <xdr:col>2</xdr:col>
      <xdr:colOff>1057276</xdr:colOff>
      <xdr:row>4</xdr:row>
      <xdr:rowOff>149305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9125" y="0"/>
          <a:ext cx="1476376" cy="86368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66675</xdr:colOff>
          <xdr:row>17</xdr:row>
          <xdr:rowOff>28575</xdr:rowOff>
        </xdr:from>
        <xdr:to>
          <xdr:col>7</xdr:col>
          <xdr:colOff>85725</xdr:colOff>
          <xdr:row>18</xdr:row>
          <xdr:rowOff>28575</xdr:rowOff>
        </xdr:to>
        <xdr:sp macro="" textlink="">
          <xdr:nvSpPr>
            <xdr:cNvPr id="2141" name="Drop Down 93" hidden="1">
              <a:extLst>
                <a:ext uri="{63B3BB69-23CF-44E3-9099-C40C66FF867C}">
                  <a14:compatExt spid="_x0000_s2141"/>
                </a:ext>
                <a:ext uri="{FF2B5EF4-FFF2-40B4-BE49-F238E27FC236}">
                  <a16:creationId xmlns:a16="http://schemas.microsoft.com/office/drawing/2014/main" id="{00000000-0008-0000-0200-00005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295275</xdr:colOff>
          <xdr:row>18</xdr:row>
          <xdr:rowOff>19050</xdr:rowOff>
        </xdr:from>
        <xdr:to>
          <xdr:col>7</xdr:col>
          <xdr:colOff>0</xdr:colOff>
          <xdr:row>19</xdr:row>
          <xdr:rowOff>19050</xdr:rowOff>
        </xdr:to>
        <xdr:sp macro="" textlink="">
          <xdr:nvSpPr>
            <xdr:cNvPr id="2143" name="Drop Down 95" hidden="1">
              <a:extLst>
                <a:ext uri="{63B3BB69-23CF-44E3-9099-C40C66FF867C}">
                  <a14:compatExt spid="_x0000_s2143"/>
                </a:ext>
                <a:ext uri="{FF2B5EF4-FFF2-40B4-BE49-F238E27FC236}">
                  <a16:creationId xmlns:a16="http://schemas.microsoft.com/office/drawing/2014/main" id="{00000000-0008-0000-0200-00005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15</xdr:col>
      <xdr:colOff>104775</xdr:colOff>
      <xdr:row>122</xdr:row>
      <xdr:rowOff>180975</xdr:rowOff>
    </xdr:from>
    <xdr:to>
      <xdr:col>18</xdr:col>
      <xdr:colOff>342900</xdr:colOff>
      <xdr:row>140</xdr:row>
      <xdr:rowOff>76201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7562850" y="20640675"/>
          <a:ext cx="1514475" cy="3324226"/>
        </a:xfrm>
        <a:prstGeom prst="rect">
          <a:avLst/>
        </a:prstGeom>
        <a:solidFill>
          <a:schemeClr val="lt1">
            <a:alpha val="20000"/>
          </a:schemeClr>
        </a:solidFill>
        <a:ln w="9525" cap="rnd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NOTES:</a:t>
          </a:r>
        </a:p>
        <a:p>
          <a:pPr algn="ctr"/>
          <a:endParaRPr lang="en-CA" sz="1100">
            <a:solidFill>
              <a:srgbClr val="FF0000"/>
            </a:solidFill>
          </a:endParaRPr>
        </a:p>
      </xdr:txBody>
    </xdr:sp>
    <xdr:clientData/>
  </xdr:twoCellAnchor>
  <xdr:twoCellAnchor>
    <xdr:from>
      <xdr:col>39</xdr:col>
      <xdr:colOff>361950</xdr:colOff>
      <xdr:row>205</xdr:row>
      <xdr:rowOff>95250</xdr:rowOff>
    </xdr:from>
    <xdr:to>
      <xdr:col>40</xdr:col>
      <xdr:colOff>76200</xdr:colOff>
      <xdr:row>222</xdr:row>
      <xdr:rowOff>9525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>
          <a:alphaModFix amt="10000"/>
          <a:extLst>
            <a:ext uri="{28A0092B-C50C-407E-A947-70E740481C1C}">
              <a14:useLocalDpi xmlns:a14="http://schemas.microsoft.com/office/drawing/2010/main" val="0"/>
            </a:ext>
          </a:extLst>
        </a:blip>
        <a:srcRect l="27000" r="13000"/>
        <a:stretch/>
      </xdr:blipFill>
      <xdr:spPr>
        <a:xfrm>
          <a:off x="21488400" y="34509075"/>
          <a:ext cx="1438275" cy="2857500"/>
        </a:xfrm>
        <a:prstGeom prst="rect">
          <a:avLst/>
        </a:prstGeom>
      </xdr:spPr>
    </xdr:pic>
    <xdr:clientData/>
  </xdr:twoCellAnchor>
  <xdr:twoCellAnchor>
    <xdr:from>
      <xdr:col>44</xdr:col>
      <xdr:colOff>590549</xdr:colOff>
      <xdr:row>172</xdr:row>
      <xdr:rowOff>19049</xdr:rowOff>
    </xdr:from>
    <xdr:to>
      <xdr:col>47</xdr:col>
      <xdr:colOff>533399</xdr:colOff>
      <xdr:row>196</xdr:row>
      <xdr:rowOff>9524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>
          <a:alphaModFix amt="10000"/>
          <a:extLst>
            <a:ext uri="{28A0092B-C50C-407E-A947-70E740481C1C}">
              <a14:useLocalDpi xmlns:a14="http://schemas.microsoft.com/office/drawing/2010/main" val="0"/>
            </a:ext>
          </a:extLst>
        </a:blip>
        <a:srcRect l="27000" r="13000"/>
        <a:stretch/>
      </xdr:blipFill>
      <xdr:spPr>
        <a:xfrm>
          <a:off x="25060274" y="28336874"/>
          <a:ext cx="1438275" cy="4562475"/>
        </a:xfrm>
        <a:prstGeom prst="rect">
          <a:avLst/>
        </a:prstGeom>
      </xdr:spPr>
    </xdr:pic>
    <xdr:clientData/>
  </xdr:twoCellAnchor>
  <xdr:twoCellAnchor>
    <xdr:from>
      <xdr:col>5</xdr:col>
      <xdr:colOff>294215</xdr:colOff>
      <xdr:row>232</xdr:row>
      <xdr:rowOff>9535</xdr:rowOff>
    </xdr:from>
    <xdr:to>
      <xdr:col>21</xdr:col>
      <xdr:colOff>631993</xdr:colOff>
      <xdr:row>270</xdr:row>
      <xdr:rowOff>38109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pSpPr/>
      </xdr:nvGrpSpPr>
      <xdr:grpSpPr>
        <a:xfrm>
          <a:off x="3932765" y="41500435"/>
          <a:ext cx="7233878" cy="7267574"/>
          <a:chOff x="7765786" y="38416778"/>
          <a:chExt cx="7436377" cy="6481258"/>
        </a:xfrm>
      </xdr:grpSpPr>
      <xdr:pic>
        <xdr:nvPicPr>
          <xdr:cNvPr id="16" name="Picture 15">
            <a:extLst>
              <a:ext uri="{FF2B5EF4-FFF2-40B4-BE49-F238E27FC236}">
                <a16:creationId xmlns:a16="http://schemas.microsoft.com/office/drawing/2014/main" id="{00000000-0008-0000-0200-000010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5">
            <a:alphaModFix amt="20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91771"/>
          <a:stretch/>
        </xdr:blipFill>
        <xdr:spPr>
          <a:xfrm flipH="1">
            <a:off x="7765786" y="38416778"/>
            <a:ext cx="7423149" cy="532128"/>
          </a:xfrm>
          <a:prstGeom prst="rect">
            <a:avLst/>
          </a:prstGeom>
        </xdr:spPr>
      </xdr:pic>
      <xdr:pic>
        <xdr:nvPicPr>
          <xdr:cNvPr id="15" name="Picture 14">
            <a:extLst>
              <a:ext uri="{FF2B5EF4-FFF2-40B4-BE49-F238E27FC236}">
                <a16:creationId xmlns:a16="http://schemas.microsoft.com/office/drawing/2014/main" id="{00000000-0008-0000-0200-00000F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5">
            <a:alphaModFix amt="20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64984" t="7997" r="12062"/>
          <a:stretch/>
        </xdr:blipFill>
        <xdr:spPr>
          <a:xfrm flipH="1">
            <a:off x="8656901" y="38948675"/>
            <a:ext cx="1703918" cy="5949361"/>
          </a:xfrm>
          <a:prstGeom prst="rect">
            <a:avLst/>
          </a:prstGeom>
        </xdr:spPr>
      </xdr:pic>
      <xdr:pic>
        <xdr:nvPicPr>
          <xdr:cNvPr id="17" name="Picture 16">
            <a:extLst>
              <a:ext uri="{FF2B5EF4-FFF2-40B4-BE49-F238E27FC236}">
                <a16:creationId xmlns:a16="http://schemas.microsoft.com/office/drawing/2014/main" id="{00000000-0008-0000-0200-000011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5">
            <a:alphaModFix amt="20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t="8327" r="40541"/>
          <a:stretch/>
        </xdr:blipFill>
        <xdr:spPr>
          <a:xfrm flipH="1">
            <a:off x="10792490" y="38940412"/>
            <a:ext cx="4409673" cy="5927939"/>
          </a:xfrm>
          <a:prstGeom prst="rect">
            <a:avLst/>
          </a:prstGeom>
        </xdr:spPr>
      </xdr:pic>
    </xdr:grpSp>
    <xdr:clientData/>
  </xdr:twoCellAnchor>
  <xdr:twoCellAnchor>
    <xdr:from>
      <xdr:col>15</xdr:col>
      <xdr:colOff>104775</xdr:colOff>
      <xdr:row>11</xdr:row>
      <xdr:rowOff>89807</xdr:rowOff>
    </xdr:from>
    <xdr:to>
      <xdr:col>18</xdr:col>
      <xdr:colOff>323851</xdr:colOff>
      <xdr:row>38</xdr:row>
      <xdr:rowOff>57150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7562850" y="1737632"/>
          <a:ext cx="1495426" cy="4596493"/>
        </a:xfrm>
        <a:prstGeom prst="rect">
          <a:avLst/>
        </a:prstGeom>
        <a:blipFill dpi="0" rotWithShape="1">
          <a:blip xmlns:r="http://schemas.openxmlformats.org/officeDocument/2006/relationships" r:embed="rId6">
            <a:alphaModFix amt="20000"/>
          </a:blip>
          <a:srcRect/>
          <a:tile tx="0" ty="0" sx="100000" sy="100000" flip="none" algn="tl"/>
        </a:blipFill>
        <a:ln w="9525" cmpd="sng">
          <a:gradFill flip="none" rotWithShape="1">
            <a:gsLst>
              <a:gs pos="0">
                <a:schemeClr val="accent3">
                  <a:lumMod val="40000"/>
                  <a:lumOff val="60000"/>
                </a:schemeClr>
              </a:gs>
              <a:gs pos="46000">
                <a:schemeClr val="accent3">
                  <a:lumMod val="95000"/>
                  <a:lumOff val="5000"/>
                </a:schemeClr>
              </a:gs>
              <a:gs pos="100000">
                <a:schemeClr val="accent3">
                  <a:lumMod val="60000"/>
                </a:schemeClr>
              </a:gs>
            </a:gsLst>
            <a:path path="circle">
              <a:fillToRect l="50000" t="130000" r="50000" b="-30000"/>
            </a:path>
            <a:tileRect/>
          </a:gra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CA" sz="1200" cap="all" baseline="0">
              <a:solidFill>
                <a:srgbClr val="FF0000"/>
              </a:solidFill>
            </a:rPr>
            <a:t>Product supplier notes:</a:t>
          </a:r>
        </a:p>
        <a:p>
          <a:pPr algn="ctr"/>
          <a:endParaRPr lang="en-CA" sz="1200" cap="all" baseline="0">
            <a:solidFill>
              <a:srgbClr val="FF0000"/>
            </a:solidFill>
          </a:endParaRPr>
        </a:p>
        <a:p>
          <a:pPr algn="ctr"/>
          <a:r>
            <a:rPr lang="en-CA" sz="1200" b="1">
              <a:solidFill>
                <a:srgbClr val="FF0000"/>
              </a:solidFill>
            </a:rPr>
            <a:t>Convoy</a:t>
          </a:r>
        </a:p>
        <a:p>
          <a:pPr algn="ctr"/>
          <a:r>
            <a:rPr lang="en-CA" sz="1200" b="1">
              <a:solidFill>
                <a:srgbClr val="FF0000"/>
              </a:solidFill>
            </a:rPr>
            <a:t>R Data pricing as of: January 22, 2026</a:t>
          </a:r>
        </a:p>
        <a:p>
          <a:pPr algn="ctr"/>
          <a:endParaRPr lang="en-CA" sz="1200">
            <a:solidFill>
              <a:srgbClr val="FF0000"/>
            </a:solidFill>
          </a:endParaRPr>
        </a:p>
        <a:p>
          <a:pPr algn="ctr"/>
          <a:r>
            <a:rPr lang="en-CA" sz="1200" b="1">
              <a:solidFill>
                <a:srgbClr val="FF0000"/>
              </a:solidFill>
            </a:rPr>
            <a:t>ABC</a:t>
          </a:r>
        </a:p>
        <a:p>
          <a:pPr algn="ctr"/>
          <a:r>
            <a:rPr lang="en-CA" sz="1200" b="1">
              <a:solidFill>
                <a:schemeClr val="accent6">
                  <a:lumMod val="75000"/>
                </a:schemeClr>
              </a:solidFill>
            </a:rPr>
            <a:t>EUROSHIELD 2025</a:t>
          </a:r>
        </a:p>
      </xdr:txBody>
    </xdr:sp>
    <xdr:clientData fPrintsWithSheet="0"/>
  </xdr:twoCellAnchor>
  <xdr:twoCellAnchor>
    <xdr:from>
      <xdr:col>19</xdr:col>
      <xdr:colOff>552450</xdr:colOff>
      <xdr:row>11</xdr:row>
      <xdr:rowOff>0</xdr:rowOff>
    </xdr:from>
    <xdr:to>
      <xdr:col>22</xdr:col>
      <xdr:colOff>0</xdr:colOff>
      <xdr:row>39</xdr:row>
      <xdr:rowOff>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>
          <a:alphaModFix amt="20000"/>
          <a:extLst>
            <a:ext uri="{28A0092B-C50C-407E-A947-70E740481C1C}">
              <a14:useLocalDpi xmlns:a14="http://schemas.microsoft.com/office/drawing/2010/main" val="0"/>
            </a:ext>
          </a:extLst>
        </a:blip>
        <a:srcRect r="79931"/>
        <a:stretch/>
      </xdr:blipFill>
      <xdr:spPr>
        <a:xfrm>
          <a:off x="9725025" y="1647825"/>
          <a:ext cx="1457325" cy="4800600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0</xdr:colOff>
      <xdr:row>11</xdr:row>
      <xdr:rowOff>0</xdr:rowOff>
    </xdr:from>
    <xdr:to>
      <xdr:col>12</xdr:col>
      <xdr:colOff>567413</xdr:colOff>
      <xdr:row>39</xdr:row>
      <xdr:rowOff>0</xdr:rowOff>
    </xdr:to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/>
      </xdr:nvSpPr>
      <xdr:spPr>
        <a:xfrm>
          <a:off x="5629275" y="1647825"/>
          <a:ext cx="900788" cy="4800600"/>
        </a:xfrm>
        <a:prstGeom prst="rect">
          <a:avLst/>
        </a:prstGeom>
        <a:blipFill>
          <a:blip xmlns:r="http://schemas.openxmlformats.org/officeDocument/2006/relationships" r:embed="rId6">
            <a:alphaModFix amt="20000"/>
          </a:blip>
          <a:tile tx="0" ty="0" sx="100000" sy="100000" flip="none" algn="tl"/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 fPrintsWithSheet="0"/>
  </xdr:twoCellAnchor>
  <xdr:twoCellAnchor>
    <xdr:from>
      <xdr:col>20</xdr:col>
      <xdr:colOff>8705</xdr:colOff>
      <xdr:row>40</xdr:row>
      <xdr:rowOff>8170</xdr:rowOff>
    </xdr:from>
    <xdr:to>
      <xdr:col>21</xdr:col>
      <xdr:colOff>638171</xdr:colOff>
      <xdr:row>69</xdr:row>
      <xdr:rowOff>19051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>
          <a:alphaModFix amt="20000"/>
          <a:extLst>
            <a:ext uri="{28A0092B-C50C-407E-A947-70E740481C1C}">
              <a14:useLocalDpi xmlns:a14="http://schemas.microsoft.com/office/drawing/2010/main" val="0"/>
            </a:ext>
          </a:extLst>
        </a:blip>
        <a:srcRect r="79931"/>
        <a:stretch/>
      </xdr:blipFill>
      <xdr:spPr>
        <a:xfrm>
          <a:off x="9743255" y="6628045"/>
          <a:ext cx="1429566" cy="4982931"/>
        </a:xfrm>
        <a:prstGeom prst="rect">
          <a:avLst/>
        </a:prstGeom>
      </xdr:spPr>
    </xdr:pic>
    <xdr:clientData fPrintsWithSheet="0"/>
  </xdr:twoCellAnchor>
  <xdr:twoCellAnchor>
    <xdr:from>
      <xdr:col>13</xdr:col>
      <xdr:colOff>9523</xdr:colOff>
      <xdr:row>40</xdr:row>
      <xdr:rowOff>0</xdr:rowOff>
    </xdr:from>
    <xdr:to>
      <xdr:col>19</xdr:col>
      <xdr:colOff>6620</xdr:colOff>
      <xdr:row>69</xdr:row>
      <xdr:rowOff>10881</xdr:rowOff>
    </xdr:to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/>
      </xdr:nvSpPr>
      <xdr:spPr>
        <a:xfrm>
          <a:off x="6553198" y="6619875"/>
          <a:ext cx="2625997" cy="4982931"/>
        </a:xfrm>
        <a:prstGeom prst="rect">
          <a:avLst/>
        </a:prstGeom>
        <a:blipFill>
          <a:blip xmlns:r="http://schemas.openxmlformats.org/officeDocument/2006/relationships" r:embed="rId6">
            <a:alphaModFix amt="20000"/>
          </a:blip>
          <a:tile tx="0" ty="0" sx="100000" sy="100000" flip="none" algn="tl"/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 fPrintsWithSheet="0"/>
  </xdr:twoCellAnchor>
  <xdr:twoCellAnchor>
    <xdr:from>
      <xdr:col>19</xdr:col>
      <xdr:colOff>16027</xdr:colOff>
      <xdr:row>40</xdr:row>
      <xdr:rowOff>0</xdr:rowOff>
    </xdr:from>
    <xdr:to>
      <xdr:col>20</xdr:col>
      <xdr:colOff>0</xdr:colOff>
      <xdr:row>42</xdr:row>
      <xdr:rowOff>3959</xdr:rowOff>
    </xdr:to>
    <xdr:sp macro="" textlink="">
      <xdr:nvSpPr>
        <xdr:cNvPr id="19" name="Rectangle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SpPr/>
      </xdr:nvSpPr>
      <xdr:spPr>
        <a:xfrm>
          <a:off x="9188602" y="6619875"/>
          <a:ext cx="545948" cy="346859"/>
        </a:xfrm>
        <a:prstGeom prst="rect">
          <a:avLst/>
        </a:prstGeom>
        <a:blipFill>
          <a:blip xmlns:r="http://schemas.openxmlformats.org/officeDocument/2006/relationships" r:embed="rId6">
            <a:alphaModFix amt="20000"/>
          </a:blip>
          <a:tile tx="0" ty="0" sx="100000" sy="100000" flip="none" algn="tl"/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 fPrintsWithSheet="0"/>
  </xdr:twoCellAnchor>
  <xdr:twoCellAnchor>
    <xdr:from>
      <xdr:col>0</xdr:col>
      <xdr:colOff>0</xdr:colOff>
      <xdr:row>40</xdr:row>
      <xdr:rowOff>0</xdr:rowOff>
    </xdr:from>
    <xdr:to>
      <xdr:col>3</xdr:col>
      <xdr:colOff>9524</xdr:colOff>
      <xdr:row>42</xdr:row>
      <xdr:rowOff>8357</xdr:rowOff>
    </xdr:to>
    <xdr:sp macro="" textlink="">
      <xdr:nvSpPr>
        <xdr:cNvPr id="20" name="Rectangle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SpPr/>
      </xdr:nvSpPr>
      <xdr:spPr>
        <a:xfrm>
          <a:off x="0" y="6619875"/>
          <a:ext cx="3038474" cy="351257"/>
        </a:xfrm>
        <a:prstGeom prst="rect">
          <a:avLst/>
        </a:prstGeom>
        <a:blipFill>
          <a:blip xmlns:r="http://schemas.openxmlformats.org/officeDocument/2006/relationships" r:embed="rId6">
            <a:alphaModFix amt="20000"/>
          </a:blip>
          <a:tile tx="0" ty="0" sx="100000" sy="100000" flip="none" algn="tl"/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 fPrintsWithSheet="0"/>
  </xdr:twoCellAnchor>
  <xdr:twoCellAnchor>
    <xdr:from>
      <xdr:col>20</xdr:col>
      <xdr:colOff>15437</xdr:colOff>
      <xdr:row>71</xdr:row>
      <xdr:rowOff>19793</xdr:rowOff>
    </xdr:from>
    <xdr:to>
      <xdr:col>21</xdr:col>
      <xdr:colOff>638175</xdr:colOff>
      <xdr:row>96</xdr:row>
      <xdr:rowOff>9530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>
          <a:alphaModFix amt="20000"/>
          <a:extLst>
            <a:ext uri="{28A0092B-C50C-407E-A947-70E740481C1C}">
              <a14:useLocalDpi xmlns:a14="http://schemas.microsoft.com/office/drawing/2010/main" val="0"/>
            </a:ext>
          </a:extLst>
        </a:blip>
        <a:srcRect r="79931"/>
        <a:stretch/>
      </xdr:blipFill>
      <xdr:spPr>
        <a:xfrm>
          <a:off x="9749987" y="11830793"/>
          <a:ext cx="1422838" cy="3923562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9689</xdr:colOff>
      <xdr:row>71</xdr:row>
      <xdr:rowOff>19054</xdr:rowOff>
    </xdr:from>
    <xdr:to>
      <xdr:col>15</xdr:col>
      <xdr:colOff>327955</xdr:colOff>
      <xdr:row>87</xdr:row>
      <xdr:rowOff>161925</xdr:rowOff>
    </xdr:to>
    <xdr:sp macro="" textlink="">
      <xdr:nvSpPr>
        <xdr:cNvPr id="21" name="Rectangle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SpPr/>
      </xdr:nvSpPr>
      <xdr:spPr>
        <a:xfrm>
          <a:off x="7467764" y="11830054"/>
          <a:ext cx="318266" cy="2886071"/>
        </a:xfrm>
        <a:prstGeom prst="rect">
          <a:avLst/>
        </a:prstGeom>
        <a:blipFill>
          <a:blip xmlns:r="http://schemas.openxmlformats.org/officeDocument/2006/relationships" r:embed="rId6">
            <a:alphaModFix amt="20000"/>
          </a:blip>
          <a:tile tx="0" ty="0" sx="100000" sy="100000" flip="none" algn="tl"/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 fPrintsWithSheet="0"/>
  </xdr:twoCellAnchor>
  <xdr:twoCellAnchor>
    <xdr:from>
      <xdr:col>13</xdr:col>
      <xdr:colOff>15601</xdr:colOff>
      <xdr:row>71</xdr:row>
      <xdr:rowOff>19792</xdr:rowOff>
    </xdr:from>
    <xdr:to>
      <xdr:col>14</xdr:col>
      <xdr:colOff>492</xdr:colOff>
      <xdr:row>87</xdr:row>
      <xdr:rowOff>161925</xdr:rowOff>
    </xdr:to>
    <xdr:sp macro="" textlink="">
      <xdr:nvSpPr>
        <xdr:cNvPr id="22" name="Rectangle 21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SpPr/>
      </xdr:nvSpPr>
      <xdr:spPr>
        <a:xfrm>
          <a:off x="6559276" y="11830792"/>
          <a:ext cx="318266" cy="2885333"/>
        </a:xfrm>
        <a:prstGeom prst="rect">
          <a:avLst/>
        </a:prstGeom>
        <a:blipFill>
          <a:blip xmlns:r="http://schemas.openxmlformats.org/officeDocument/2006/relationships" r:embed="rId6">
            <a:alphaModFix amt="20000"/>
          </a:blip>
          <a:tile tx="0" ty="0" sx="100000" sy="100000" flip="none" algn="tl"/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 fPrintsWithSheet="0"/>
  </xdr:twoCellAnchor>
  <xdr:twoCellAnchor>
    <xdr:from>
      <xdr:col>3</xdr:col>
      <xdr:colOff>19050</xdr:colOff>
      <xdr:row>91</xdr:row>
      <xdr:rowOff>10042</xdr:rowOff>
    </xdr:from>
    <xdr:to>
      <xdr:col>18</xdr:col>
      <xdr:colOff>428625</xdr:colOff>
      <xdr:row>92</xdr:row>
      <xdr:rowOff>1426</xdr:rowOff>
    </xdr:to>
    <xdr:sp macro="" textlink="">
      <xdr:nvSpPr>
        <xdr:cNvPr id="23" name="Rectangle 22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SpPr/>
      </xdr:nvSpPr>
      <xdr:spPr>
        <a:xfrm>
          <a:off x="3048000" y="15040492"/>
          <a:ext cx="6115050" cy="162834"/>
        </a:xfrm>
        <a:prstGeom prst="rect">
          <a:avLst/>
        </a:prstGeom>
        <a:blipFill>
          <a:blip xmlns:r="http://schemas.openxmlformats.org/officeDocument/2006/relationships" r:embed="rId6">
            <a:alphaModFix amt="20000"/>
          </a:blip>
          <a:tile tx="0" ty="0" sx="100000" sy="100000" flip="none" algn="tl"/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 fPrintsWithSheet="0"/>
  </xdr:twoCellAnchor>
  <xdr:twoCellAnchor>
    <xdr:from>
      <xdr:col>2</xdr:col>
      <xdr:colOff>9524</xdr:colOff>
      <xdr:row>32</xdr:row>
      <xdr:rowOff>9525</xdr:rowOff>
    </xdr:from>
    <xdr:to>
      <xdr:col>2</xdr:col>
      <xdr:colOff>1981199</xdr:colOff>
      <xdr:row>35</xdr:row>
      <xdr:rowOff>19050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/>
      </xdr:nvSpPr>
      <xdr:spPr>
        <a:xfrm>
          <a:off x="1047749" y="5657850"/>
          <a:ext cx="1971675" cy="609600"/>
        </a:xfrm>
        <a:prstGeom prst="rect">
          <a:avLst/>
        </a:prstGeom>
        <a:solidFill>
          <a:schemeClr val="accent6">
            <a:lumMod val="75000"/>
            <a:alpha val="2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CA" sz="2800" b="1">
              <a:solidFill>
                <a:srgbClr val="FF0000">
                  <a:alpha val="20000"/>
                </a:srgbClr>
              </a:solidFill>
            </a:rPr>
            <a:t>FLAT</a:t>
          </a:r>
          <a:r>
            <a:rPr lang="en-CA" sz="2800" b="1" baseline="0">
              <a:solidFill>
                <a:srgbClr val="FF0000">
                  <a:alpha val="20000"/>
                </a:srgbClr>
              </a:solidFill>
            </a:rPr>
            <a:t> ROOF</a:t>
          </a:r>
          <a:endParaRPr lang="en-CA" sz="2800" b="1">
            <a:solidFill>
              <a:srgbClr val="FF0000">
                <a:alpha val="20000"/>
              </a:srgbClr>
            </a:solidFill>
          </a:endParaRPr>
        </a:p>
      </xdr:txBody>
    </xdr:sp>
    <xdr:clientData/>
  </xdr:twoCellAnchor>
  <xdr:twoCellAnchor editAs="oneCell">
    <xdr:from>
      <xdr:col>23</xdr:col>
      <xdr:colOff>9525</xdr:colOff>
      <xdr:row>32</xdr:row>
      <xdr:rowOff>1</xdr:rowOff>
    </xdr:from>
    <xdr:to>
      <xdr:col>24</xdr:col>
      <xdr:colOff>9525</xdr:colOff>
      <xdr:row>34</xdr:row>
      <xdr:rowOff>142875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1315700" y="5248276"/>
          <a:ext cx="1724025" cy="485774"/>
        </a:xfrm>
        <a:prstGeom prst="rect">
          <a:avLst/>
        </a:prstGeom>
      </xdr:spPr>
    </xdr:pic>
    <xdr:clientData/>
  </xdr:twoCellAnchor>
  <xdr:twoCellAnchor editAs="oneCell">
    <xdr:from>
      <xdr:col>31</xdr:col>
      <xdr:colOff>0</xdr:colOff>
      <xdr:row>32</xdr:row>
      <xdr:rowOff>1</xdr:rowOff>
    </xdr:from>
    <xdr:to>
      <xdr:col>32</xdr:col>
      <xdr:colOff>1293</xdr:colOff>
      <xdr:row>35</xdr:row>
      <xdr:rowOff>1</xdr:rowOff>
    </xdr:to>
    <xdr:pic>
      <xdr:nvPicPr>
        <xdr:cNvPr id="33" name="Picture 32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6144875" y="5248276"/>
          <a:ext cx="1725318" cy="514350"/>
        </a:xfrm>
        <a:prstGeom prst="rect">
          <a:avLst/>
        </a:prstGeom>
      </xdr:spPr>
    </xdr:pic>
    <xdr:clientData/>
  </xdr:twoCellAnchor>
  <xdr:twoCellAnchor editAs="oneCell">
    <xdr:from>
      <xdr:col>39</xdr:col>
      <xdr:colOff>0</xdr:colOff>
      <xdr:row>32</xdr:row>
      <xdr:rowOff>0</xdr:rowOff>
    </xdr:from>
    <xdr:to>
      <xdr:col>40</xdr:col>
      <xdr:colOff>1293</xdr:colOff>
      <xdr:row>35</xdr:row>
      <xdr:rowOff>9525</xdr:rowOff>
    </xdr:to>
    <xdr:pic>
      <xdr:nvPicPr>
        <xdr:cNvPr id="34" name="Picture 33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0983575" y="5248275"/>
          <a:ext cx="1725318" cy="523875"/>
        </a:xfrm>
        <a:prstGeom prst="rect">
          <a:avLst/>
        </a:prstGeom>
      </xdr:spPr>
    </xdr:pic>
    <xdr:clientData/>
  </xdr:twoCellAnchor>
  <xdr:twoCellAnchor>
    <xdr:from>
      <xdr:col>15</xdr:col>
      <xdr:colOff>104775</xdr:colOff>
      <xdr:row>307</xdr:row>
      <xdr:rowOff>180974</xdr:rowOff>
    </xdr:from>
    <xdr:to>
      <xdr:col>18</xdr:col>
      <xdr:colOff>323850</xdr:colOff>
      <xdr:row>330</xdr:row>
      <xdr:rowOff>57150</xdr:rowOff>
    </xdr:to>
    <xdr:sp macro="" textlink="">
      <xdr:nvSpPr>
        <xdr:cNvPr id="47" name="TextBox 46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SpPr txBox="1"/>
      </xdr:nvSpPr>
      <xdr:spPr>
        <a:xfrm>
          <a:off x="7562850" y="55330724"/>
          <a:ext cx="1495425" cy="4257676"/>
        </a:xfrm>
        <a:prstGeom prst="rect">
          <a:avLst/>
        </a:prstGeom>
        <a:solidFill>
          <a:schemeClr val="lt1">
            <a:alpha val="20000"/>
          </a:schemeClr>
        </a:solidFill>
        <a:ln w="9525" cap="rnd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 b="1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NOTES:</a:t>
          </a:r>
        </a:p>
        <a:p>
          <a:pPr algn="ctr"/>
          <a:endParaRPr lang="en-CA" sz="1100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51</xdr:col>
      <xdr:colOff>504825</xdr:colOff>
      <xdr:row>305</xdr:row>
      <xdr:rowOff>123825</xdr:rowOff>
    </xdr:from>
    <xdr:to>
      <xdr:col>63</xdr:col>
      <xdr:colOff>219075</xdr:colOff>
      <xdr:row>331</xdr:row>
      <xdr:rowOff>123825</xdr:rowOff>
    </xdr:to>
    <xdr:pic>
      <xdr:nvPicPr>
        <xdr:cNvPr id="49" name="Picture 48">
          <a:extLst>
            <a:ext uri="{FF2B5EF4-FFF2-40B4-BE49-F238E27FC236}">
              <a16:creationId xmlns:a16="http://schemas.microsoft.com/office/drawing/2014/main" id="{00000000-0008-0000-02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alphaModFix amt="40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flipH="1">
          <a:off x="29165550" y="54864000"/>
          <a:ext cx="7429500" cy="4953000"/>
        </a:xfrm>
        <a:prstGeom prst="rect">
          <a:avLst/>
        </a:prstGeom>
      </xdr:spPr>
    </xdr:pic>
    <xdr:clientData/>
  </xdr:twoCellAnchor>
  <xdr:twoCellAnchor editAs="oneCell">
    <xdr:from>
      <xdr:col>49</xdr:col>
      <xdr:colOff>257175</xdr:colOff>
      <xdr:row>298</xdr:row>
      <xdr:rowOff>114300</xdr:rowOff>
    </xdr:from>
    <xdr:to>
      <xdr:col>62</xdr:col>
      <xdr:colOff>228600</xdr:colOff>
      <xdr:row>334</xdr:row>
      <xdr:rowOff>131072</xdr:rowOff>
    </xdr:to>
    <xdr:pic>
      <xdr:nvPicPr>
        <xdr:cNvPr id="53" name="Picture 52">
          <a:extLst>
            <a:ext uri="{FF2B5EF4-FFF2-40B4-BE49-F238E27FC236}">
              <a16:creationId xmlns:a16="http://schemas.microsoft.com/office/drawing/2014/main" id="{00000000-0008-0000-02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alphaModFix amt="30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flipH="1">
          <a:off x="27546300" y="53778150"/>
          <a:ext cx="7772400" cy="6874772"/>
        </a:xfrm>
        <a:prstGeom prst="rect">
          <a:avLst/>
        </a:prstGeom>
      </xdr:spPr>
    </xdr:pic>
    <xdr:clientData/>
  </xdr:twoCellAnchor>
  <xdr:twoCellAnchor>
    <xdr:from>
      <xdr:col>47</xdr:col>
      <xdr:colOff>361950</xdr:colOff>
      <xdr:row>205</xdr:row>
      <xdr:rowOff>95250</xdr:rowOff>
    </xdr:from>
    <xdr:to>
      <xdr:col>48</xdr:col>
      <xdr:colOff>76200</xdr:colOff>
      <xdr:row>222</xdr:row>
      <xdr:rowOff>9525</xdr:rowOff>
    </xdr:to>
    <xdr:pic>
      <xdr:nvPicPr>
        <xdr:cNvPr id="43" name="Picture 42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>
          <a:alphaModFix amt="10000"/>
          <a:extLst>
            <a:ext uri="{28A0092B-C50C-407E-A947-70E740481C1C}">
              <a14:useLocalDpi xmlns:a14="http://schemas.microsoft.com/office/drawing/2010/main" val="0"/>
            </a:ext>
          </a:extLst>
        </a:blip>
        <a:srcRect l="27000" r="13000"/>
        <a:stretch/>
      </xdr:blipFill>
      <xdr:spPr>
        <a:xfrm>
          <a:off x="21345525" y="38585775"/>
          <a:ext cx="1438275" cy="3362325"/>
        </a:xfrm>
        <a:prstGeom prst="rect">
          <a:avLst/>
        </a:prstGeom>
      </xdr:spPr>
    </xdr:pic>
    <xdr:clientData/>
  </xdr:twoCellAnchor>
  <xdr:twoCellAnchor>
    <xdr:from>
      <xdr:col>52</xdr:col>
      <xdr:colOff>590549</xdr:colOff>
      <xdr:row>172</xdr:row>
      <xdr:rowOff>19049</xdr:rowOff>
    </xdr:from>
    <xdr:to>
      <xdr:col>55</xdr:col>
      <xdr:colOff>533399</xdr:colOff>
      <xdr:row>196</xdr:row>
      <xdr:rowOff>9524</xdr:rowOff>
    </xdr:to>
    <xdr:pic>
      <xdr:nvPicPr>
        <xdr:cNvPr id="44" name="Picture 43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>
          <a:alphaModFix amt="10000"/>
          <a:extLst>
            <a:ext uri="{28A0092B-C50C-407E-A947-70E740481C1C}">
              <a14:useLocalDpi xmlns:a14="http://schemas.microsoft.com/office/drawing/2010/main" val="0"/>
            </a:ext>
          </a:extLst>
        </a:blip>
        <a:srcRect l="27000" r="13000"/>
        <a:stretch/>
      </xdr:blipFill>
      <xdr:spPr>
        <a:xfrm>
          <a:off x="24917399" y="32356424"/>
          <a:ext cx="1438275" cy="4429125"/>
        </a:xfrm>
        <a:prstGeom prst="rect">
          <a:avLst/>
        </a:prstGeom>
      </xdr:spPr>
    </xdr:pic>
    <xdr:clientData/>
  </xdr:twoCellAnchor>
  <xdr:oneCellAnchor>
    <xdr:from>
      <xdr:col>47</xdr:col>
      <xdr:colOff>19050</xdr:colOff>
      <xdr:row>32</xdr:row>
      <xdr:rowOff>0</xdr:rowOff>
    </xdr:from>
    <xdr:ext cx="1725318" cy="523875"/>
    <xdr:pic>
      <xdr:nvPicPr>
        <xdr:cNvPr id="45" name="Picture 44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5841325" y="5248275"/>
          <a:ext cx="1725318" cy="523875"/>
        </a:xfrm>
        <a:prstGeom prst="rect">
          <a:avLst/>
        </a:prstGeom>
      </xdr:spPr>
    </xdr:pic>
    <xdr:clientData/>
  </xdr:oneCellAnchor>
  <xdr:twoCellAnchor>
    <xdr:from>
      <xdr:col>20</xdr:col>
      <xdr:colOff>9526</xdr:colOff>
      <xdr:row>0</xdr:row>
      <xdr:rowOff>19050</xdr:rowOff>
    </xdr:from>
    <xdr:to>
      <xdr:col>21</xdr:col>
      <xdr:colOff>190500</xdr:colOff>
      <xdr:row>7</xdr:row>
      <xdr:rowOff>10885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48" name="Add-in 47">
              <a:extLst>
                <a:ext uri="{FF2B5EF4-FFF2-40B4-BE49-F238E27FC236}">
                  <a16:creationId xmlns:a16="http://schemas.microsoft.com/office/drawing/2014/main" id="{00000000-0008-0000-0200-000030000000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12"/>
            </a:graphicData>
          </a:graphic>
        </xdr:graphicFrame>
      </mc:Choice>
      <mc:Fallback>
        <xdr:pic>
          <xdr:nvPicPr>
            <xdr:cNvPr id="48" name="Add-in 47">
              <a:extLst>
                <a:ext uri="{FF2B5EF4-FFF2-40B4-BE49-F238E27FC236}">
                  <a16:creationId xmlns:a16="http://schemas.microsoft.com/office/drawing/2014/main" id="{00000000-0008-0000-0200-000030000000}"/>
                </a:ext>
              </a:extLst>
            </xdr:cNvPr>
            <xdr:cNvPicPr/>
          </xdr:nvPicPr>
          <xdr:blipFill>
            <a:blip xmlns:r="http://schemas.openxmlformats.org/officeDocument/2006/relationships" r:embed="rId13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  <xdr:oneCellAnchor>
    <xdr:from>
      <xdr:col>4</xdr:col>
      <xdr:colOff>0</xdr:colOff>
      <xdr:row>41</xdr:row>
      <xdr:rowOff>150342</xdr:rowOff>
    </xdr:from>
    <xdr:ext cx="1514475" cy="3848746"/>
    <xdr:sp macro="" textlink="">
      <xdr:nvSpPr>
        <xdr:cNvPr id="50" name="TextBox 49">
          <a:extLst>
            <a:ext uri="{FF2B5EF4-FFF2-40B4-BE49-F238E27FC236}">
              <a16:creationId xmlns:a16="http://schemas.microsoft.com/office/drawing/2014/main" id="{00000000-0008-0000-0200-000032000000}"/>
            </a:ext>
          </a:extLst>
        </xdr:cNvPr>
        <xdr:cNvSpPr txBox="1"/>
      </xdr:nvSpPr>
      <xdr:spPr>
        <a:xfrm>
          <a:off x="3333750" y="6941667"/>
          <a:ext cx="1514475" cy="38487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CA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Febuary 2025</a:t>
          </a:r>
          <a:endParaRPr lang="en-CA" sz="1000">
            <a:solidFill>
              <a:srgbClr val="FF0000"/>
            </a:solidFill>
            <a:effectLst/>
          </a:endParaRPr>
        </a:p>
        <a:p>
          <a:pPr algn="ctr"/>
          <a:endParaRPr lang="en-CA" sz="1000">
            <a:solidFill>
              <a:schemeClr val="bg2">
                <a:lumMod val="50000"/>
              </a:schemeClr>
            </a:solidFill>
          </a:endParaRPr>
        </a:p>
        <a:p>
          <a:pPr algn="ctr"/>
          <a:r>
            <a:rPr lang="en-CA" sz="1000">
              <a:solidFill>
                <a:schemeClr val="bg2">
                  <a:lumMod val="50000"/>
                </a:schemeClr>
              </a:solidFill>
            </a:rPr>
            <a:t>Use the above cells for the following variances:</a:t>
          </a:r>
        </a:p>
        <a:p>
          <a:pPr algn="ctr"/>
          <a:endParaRPr lang="en-CA" sz="1000">
            <a:solidFill>
              <a:schemeClr val="bg2">
                <a:lumMod val="50000"/>
              </a:schemeClr>
            </a:solidFill>
          </a:endParaRPr>
        </a:p>
        <a:p>
          <a:pPr algn="ctr"/>
          <a:r>
            <a:rPr lang="en-CA" sz="1000">
              <a:solidFill>
                <a:schemeClr val="bg2">
                  <a:lumMod val="50000"/>
                </a:schemeClr>
              </a:solidFill>
            </a:rPr>
            <a:t>(Use to apply a higher rate)</a:t>
          </a:r>
        </a:p>
        <a:p>
          <a:pPr algn="ctr"/>
          <a:endParaRPr lang="en-CA" sz="1000">
            <a:solidFill>
              <a:schemeClr val="bg2">
                <a:lumMod val="50000"/>
              </a:schemeClr>
            </a:solidFill>
          </a:endParaRPr>
        </a:p>
        <a:p>
          <a:pPr algn="ctr"/>
          <a:r>
            <a:rPr lang="en-CA" sz="1000">
              <a:solidFill>
                <a:schemeClr val="bg2">
                  <a:lumMod val="50000"/>
                </a:schemeClr>
              </a:solidFill>
            </a:rPr>
            <a:t>Spec Roof - Consultant/ spec- + $10-$30 project depending</a:t>
          </a:r>
        </a:p>
        <a:p>
          <a:pPr algn="ctr"/>
          <a:r>
            <a:rPr lang="en-CA" sz="1000">
              <a:solidFill>
                <a:schemeClr val="bg2">
                  <a:lumMod val="50000"/>
                </a:schemeClr>
              </a:solidFill>
            </a:rPr>
            <a:t>(Discuss prior to starting)</a:t>
          </a:r>
        </a:p>
        <a:p>
          <a:pPr algn="ctr"/>
          <a:endParaRPr lang="en-CA" sz="1000">
            <a:solidFill>
              <a:schemeClr val="bg2">
                <a:lumMod val="50000"/>
              </a:schemeClr>
            </a:solidFill>
          </a:endParaRPr>
        </a:p>
        <a:p>
          <a:pPr algn="ctr"/>
          <a:r>
            <a:rPr lang="en-CA" sz="1000">
              <a:solidFill>
                <a:schemeClr val="bg2">
                  <a:lumMod val="50000"/>
                </a:schemeClr>
              </a:solidFill>
            </a:rPr>
            <a:t>Shake Rip + $30</a:t>
          </a:r>
        </a:p>
        <a:p>
          <a:pPr algn="ctr"/>
          <a:endParaRPr lang="en-CA" sz="1000">
            <a:solidFill>
              <a:schemeClr val="bg2">
                <a:lumMod val="50000"/>
              </a:schemeClr>
            </a:solidFill>
          </a:endParaRPr>
        </a:p>
        <a:p>
          <a:pPr algn="ctr"/>
          <a:r>
            <a:rPr lang="en-CA" sz="1000">
              <a:solidFill>
                <a:schemeClr val="bg2">
                  <a:lumMod val="50000"/>
                </a:schemeClr>
              </a:solidFill>
            </a:rPr>
            <a:t>Two Layer Rip + $ 15 ea.</a:t>
          </a:r>
        </a:p>
        <a:p>
          <a:pPr algn="ctr"/>
          <a:endParaRPr lang="en-CA" sz="1000">
            <a:solidFill>
              <a:schemeClr val="bg2">
                <a:lumMod val="50000"/>
              </a:schemeClr>
            </a:solidFill>
          </a:endParaRPr>
        </a:p>
        <a:p>
          <a:pPr algn="ctr"/>
          <a:r>
            <a:rPr lang="en-CA" sz="1000">
              <a:solidFill>
                <a:schemeClr val="bg2">
                  <a:lumMod val="50000"/>
                </a:schemeClr>
              </a:solidFill>
            </a:rPr>
            <a:t>Complicated Roof +/- $15 </a:t>
          </a:r>
        </a:p>
        <a:p>
          <a:pPr algn="ctr"/>
          <a:endParaRPr lang="en-CA" sz="1000">
            <a:solidFill>
              <a:schemeClr val="bg2">
                <a:lumMod val="50000"/>
              </a:schemeClr>
            </a:solidFill>
          </a:endParaRPr>
        </a:p>
        <a:p>
          <a:pPr algn="ctr"/>
          <a:r>
            <a:rPr lang="en-CA" sz="1000">
              <a:solidFill>
                <a:schemeClr val="bg2">
                  <a:lumMod val="50000"/>
                </a:schemeClr>
              </a:solidFill>
            </a:rPr>
            <a:t>Rubber Install + $150</a:t>
          </a:r>
        </a:p>
        <a:p>
          <a:pPr algn="ctr"/>
          <a:endParaRPr lang="en-CA" sz="1000">
            <a:solidFill>
              <a:schemeClr val="bg2">
                <a:lumMod val="50000"/>
              </a:schemeClr>
            </a:solidFill>
          </a:endParaRPr>
        </a:p>
        <a:p>
          <a:pPr algn="ctr"/>
          <a:r>
            <a:rPr lang="en-CA" sz="1000">
              <a:solidFill>
                <a:schemeClr val="bg2">
                  <a:lumMod val="50000"/>
                </a:schemeClr>
              </a:solidFill>
            </a:rPr>
            <a:t>High Roof &gt; Three Stories</a:t>
          </a:r>
        </a:p>
        <a:p>
          <a:pPr algn="ctr"/>
          <a:r>
            <a:rPr lang="en-CA" sz="1000">
              <a:solidFill>
                <a:schemeClr val="bg2">
                  <a:lumMod val="50000"/>
                </a:schemeClr>
              </a:solidFill>
            </a:rPr>
            <a:t>+ $ 15 /Story</a:t>
          </a:r>
        </a:p>
        <a:p>
          <a:pPr algn="ctr"/>
          <a:endParaRPr lang="en-CA" sz="1000">
            <a:solidFill>
              <a:schemeClr val="bg2">
                <a:lumMod val="50000"/>
              </a:schemeClr>
            </a:solidFill>
          </a:endParaRPr>
        </a:p>
      </xdr:txBody>
    </xdr:sp>
    <xdr:clientData/>
  </xdr:oneCellAnchor>
  <xdr:twoCellAnchor>
    <xdr:from>
      <xdr:col>15</xdr:col>
      <xdr:colOff>133350</xdr:colOff>
      <xdr:row>236</xdr:row>
      <xdr:rowOff>133350</xdr:rowOff>
    </xdr:from>
    <xdr:to>
      <xdr:col>18</xdr:col>
      <xdr:colOff>295275</xdr:colOff>
      <xdr:row>264</xdr:row>
      <xdr:rowOff>76200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 txBox="1"/>
      </xdr:nvSpPr>
      <xdr:spPr>
        <a:xfrm>
          <a:off x="7591425" y="42386250"/>
          <a:ext cx="1438275" cy="52768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CA" sz="2000" b="1">
              <a:solidFill>
                <a:srgbClr val="FF0000"/>
              </a:solidFill>
            </a:rPr>
            <a:t>ABC Pricing 2026 01 07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41565</xdr:colOff>
      <xdr:row>0</xdr:row>
      <xdr:rowOff>123826</xdr:rowOff>
    </xdr:from>
    <xdr:to>
      <xdr:col>3</xdr:col>
      <xdr:colOff>371476</xdr:colOff>
      <xdr:row>6</xdr:row>
      <xdr:rowOff>152400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697"/>
        <a:stretch/>
      </xdr:blipFill>
      <xdr:spPr>
        <a:xfrm>
          <a:off x="41565" y="123826"/>
          <a:ext cx="2206336" cy="1200149"/>
        </a:xfrm>
        <a:prstGeom prst="rect">
          <a:avLst/>
        </a:prstGeom>
      </xdr:spPr>
    </xdr:pic>
    <xdr:clientData/>
  </xdr:twoCellAnchor>
  <xdr:twoCellAnchor>
    <xdr:from>
      <xdr:col>5</xdr:col>
      <xdr:colOff>19050</xdr:colOff>
      <xdr:row>4</xdr:row>
      <xdr:rowOff>28575</xdr:rowOff>
    </xdr:from>
    <xdr:to>
      <xdr:col>8</xdr:col>
      <xdr:colOff>933450</xdr:colOff>
      <xdr:row>6</xdr:row>
      <xdr:rowOff>161925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3524250" y="819150"/>
          <a:ext cx="2847975" cy="514350"/>
        </a:xfrm>
        <a:prstGeom prst="roundRect">
          <a:avLst/>
        </a:prstGeom>
        <a:noFill/>
        <a:ln>
          <a:solidFill>
            <a:srgbClr val="C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0</xdr:col>
      <xdr:colOff>0</xdr:colOff>
      <xdr:row>48</xdr:row>
      <xdr:rowOff>95250</xdr:rowOff>
    </xdr:from>
    <xdr:to>
      <xdr:col>0</xdr:col>
      <xdr:colOff>372346</xdr:colOff>
      <xdr:row>50</xdr:row>
      <xdr:rowOff>88391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0" y="9039225"/>
          <a:ext cx="372346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CA" sz="1800">
              <a:solidFill>
                <a:schemeClr val="accent2">
                  <a:lumMod val="60000"/>
                  <a:lumOff val="40000"/>
                </a:schemeClr>
              </a:solidFill>
            </a:rPr>
            <a:t>-6</a:t>
          </a:r>
        </a:p>
      </xdr:txBody>
    </xdr:sp>
    <xdr:clientData/>
  </xdr:twoCellAnchor>
  <xdr:twoCellAnchor>
    <xdr:from>
      <xdr:col>1</xdr:col>
      <xdr:colOff>238125</xdr:colOff>
      <xdr:row>48</xdr:row>
      <xdr:rowOff>95250</xdr:rowOff>
    </xdr:from>
    <xdr:to>
      <xdr:col>1</xdr:col>
      <xdr:colOff>610471</xdr:colOff>
      <xdr:row>50</xdr:row>
      <xdr:rowOff>88391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742950" y="9039225"/>
          <a:ext cx="372346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CA" sz="1800">
              <a:solidFill>
                <a:schemeClr val="accent2">
                  <a:lumMod val="60000"/>
                  <a:lumOff val="40000"/>
                </a:schemeClr>
              </a:solidFill>
            </a:rPr>
            <a:t>7</a:t>
          </a:r>
        </a:p>
      </xdr:txBody>
    </xdr:sp>
    <xdr:clientData/>
  </xdr:twoCellAnchor>
  <xdr:twoCellAnchor>
    <xdr:from>
      <xdr:col>2</xdr:col>
      <xdr:colOff>161925</xdr:colOff>
      <xdr:row>48</xdr:row>
      <xdr:rowOff>95250</xdr:rowOff>
    </xdr:from>
    <xdr:to>
      <xdr:col>2</xdr:col>
      <xdr:colOff>534271</xdr:colOff>
      <xdr:row>50</xdr:row>
      <xdr:rowOff>88391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 txBox="1"/>
      </xdr:nvSpPr>
      <xdr:spPr>
        <a:xfrm>
          <a:off x="1428750" y="9039225"/>
          <a:ext cx="372346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CA" sz="1800">
              <a:solidFill>
                <a:schemeClr val="accent2">
                  <a:lumMod val="60000"/>
                  <a:lumOff val="40000"/>
                </a:schemeClr>
              </a:solidFill>
            </a:rPr>
            <a:t>8</a:t>
          </a:r>
        </a:p>
      </xdr:txBody>
    </xdr:sp>
    <xdr:clientData/>
  </xdr:twoCellAnchor>
  <xdr:twoCellAnchor>
    <xdr:from>
      <xdr:col>3</xdr:col>
      <xdr:colOff>171450</xdr:colOff>
      <xdr:row>48</xdr:row>
      <xdr:rowOff>95250</xdr:rowOff>
    </xdr:from>
    <xdr:to>
      <xdr:col>3</xdr:col>
      <xdr:colOff>543796</xdr:colOff>
      <xdr:row>50</xdr:row>
      <xdr:rowOff>88391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 txBox="1"/>
      </xdr:nvSpPr>
      <xdr:spPr>
        <a:xfrm>
          <a:off x="2047875" y="9039225"/>
          <a:ext cx="372346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CA" sz="1800">
              <a:solidFill>
                <a:schemeClr val="accent2">
                  <a:lumMod val="60000"/>
                  <a:lumOff val="40000"/>
                </a:schemeClr>
              </a:solidFill>
            </a:rPr>
            <a:t>9</a:t>
          </a:r>
        </a:p>
      </xdr:txBody>
    </xdr:sp>
    <xdr:clientData/>
  </xdr:twoCellAnchor>
  <xdr:twoCellAnchor>
    <xdr:from>
      <xdr:col>4</xdr:col>
      <xdr:colOff>285750</xdr:colOff>
      <xdr:row>48</xdr:row>
      <xdr:rowOff>104775</xdr:rowOff>
    </xdr:from>
    <xdr:to>
      <xdr:col>4</xdr:col>
      <xdr:colOff>658096</xdr:colOff>
      <xdr:row>50</xdr:row>
      <xdr:rowOff>97916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 txBox="1"/>
      </xdr:nvSpPr>
      <xdr:spPr>
        <a:xfrm>
          <a:off x="2771775" y="9048750"/>
          <a:ext cx="372346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CA" sz="1800">
              <a:solidFill>
                <a:schemeClr val="accent2">
                  <a:lumMod val="60000"/>
                  <a:lumOff val="40000"/>
                </a:schemeClr>
              </a:solidFill>
            </a:rPr>
            <a:t>10</a:t>
          </a:r>
        </a:p>
      </xdr:txBody>
    </xdr:sp>
    <xdr:clientData/>
  </xdr:twoCellAnchor>
  <xdr:twoCellAnchor>
    <xdr:from>
      <xdr:col>0</xdr:col>
      <xdr:colOff>0</xdr:colOff>
      <xdr:row>49</xdr:row>
      <xdr:rowOff>95250</xdr:rowOff>
    </xdr:from>
    <xdr:to>
      <xdr:col>0</xdr:col>
      <xdr:colOff>372346</xdr:colOff>
      <xdr:row>52</xdr:row>
      <xdr:rowOff>50291</xdr:rowOff>
    </xdr:to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 txBox="1"/>
      </xdr:nvSpPr>
      <xdr:spPr>
        <a:xfrm>
          <a:off x="0" y="9229725"/>
          <a:ext cx="372346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CA" sz="1800">
              <a:solidFill>
                <a:schemeClr val="accent2">
                  <a:lumMod val="60000"/>
                  <a:lumOff val="40000"/>
                </a:schemeClr>
              </a:solidFill>
            </a:rPr>
            <a:t>11</a:t>
          </a:r>
        </a:p>
      </xdr:txBody>
    </xdr:sp>
    <xdr:clientData/>
  </xdr:twoCellAnchor>
  <xdr:twoCellAnchor>
    <xdr:from>
      <xdr:col>1</xdr:col>
      <xdr:colOff>152400</xdr:colOff>
      <xdr:row>49</xdr:row>
      <xdr:rowOff>95250</xdr:rowOff>
    </xdr:from>
    <xdr:to>
      <xdr:col>1</xdr:col>
      <xdr:colOff>524746</xdr:colOff>
      <xdr:row>52</xdr:row>
      <xdr:rowOff>50291</xdr:rowOff>
    </xdr:to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SpPr txBox="1"/>
      </xdr:nvSpPr>
      <xdr:spPr>
        <a:xfrm>
          <a:off x="657225" y="9229725"/>
          <a:ext cx="372346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CA" sz="1800">
              <a:solidFill>
                <a:schemeClr val="accent2">
                  <a:lumMod val="60000"/>
                  <a:lumOff val="40000"/>
                </a:schemeClr>
              </a:solidFill>
            </a:rPr>
            <a:t>12</a:t>
          </a:r>
        </a:p>
      </xdr:txBody>
    </xdr:sp>
    <xdr:clientData/>
  </xdr:twoCellAnchor>
  <xdr:twoCellAnchor>
    <xdr:from>
      <xdr:col>2</xdr:col>
      <xdr:colOff>85725</xdr:colOff>
      <xdr:row>49</xdr:row>
      <xdr:rowOff>95250</xdr:rowOff>
    </xdr:from>
    <xdr:to>
      <xdr:col>2</xdr:col>
      <xdr:colOff>458071</xdr:colOff>
      <xdr:row>52</xdr:row>
      <xdr:rowOff>50291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SpPr txBox="1"/>
      </xdr:nvSpPr>
      <xdr:spPr>
        <a:xfrm>
          <a:off x="1352550" y="9229725"/>
          <a:ext cx="372346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CA" sz="1800">
              <a:solidFill>
                <a:schemeClr val="accent2">
                  <a:lumMod val="60000"/>
                  <a:lumOff val="40000"/>
                </a:schemeClr>
              </a:solidFill>
            </a:rPr>
            <a:t>13</a:t>
          </a:r>
        </a:p>
      </xdr:txBody>
    </xdr:sp>
    <xdr:clientData/>
  </xdr:twoCellAnchor>
  <xdr:twoCellAnchor>
    <xdr:from>
      <xdr:col>3</xdr:col>
      <xdr:colOff>95250</xdr:colOff>
      <xdr:row>49</xdr:row>
      <xdr:rowOff>95250</xdr:rowOff>
    </xdr:from>
    <xdr:to>
      <xdr:col>3</xdr:col>
      <xdr:colOff>467596</xdr:colOff>
      <xdr:row>52</xdr:row>
      <xdr:rowOff>50291</xdr:rowOff>
    </xdr:to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 txBox="1"/>
      </xdr:nvSpPr>
      <xdr:spPr>
        <a:xfrm>
          <a:off x="1971675" y="9229725"/>
          <a:ext cx="372346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CA" sz="1800">
              <a:solidFill>
                <a:schemeClr val="accent2">
                  <a:lumMod val="60000"/>
                  <a:lumOff val="40000"/>
                </a:schemeClr>
              </a:solidFill>
            </a:rPr>
            <a:t>14</a:t>
          </a:r>
        </a:p>
      </xdr:txBody>
    </xdr:sp>
    <xdr:clientData/>
  </xdr:twoCellAnchor>
  <xdr:twoCellAnchor>
    <xdr:from>
      <xdr:col>4</xdr:col>
      <xdr:colOff>276224</xdr:colOff>
      <xdr:row>49</xdr:row>
      <xdr:rowOff>95250</xdr:rowOff>
    </xdr:from>
    <xdr:to>
      <xdr:col>4</xdr:col>
      <xdr:colOff>819149</xdr:colOff>
      <xdr:row>52</xdr:row>
      <xdr:rowOff>50291</xdr:rowOff>
    </xdr:to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SpPr txBox="1"/>
      </xdr:nvSpPr>
      <xdr:spPr>
        <a:xfrm>
          <a:off x="2762249" y="9229725"/>
          <a:ext cx="542925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CA" sz="1800">
              <a:solidFill>
                <a:schemeClr val="accent2">
                  <a:lumMod val="60000"/>
                  <a:lumOff val="40000"/>
                </a:schemeClr>
              </a:solidFill>
            </a:rPr>
            <a:t>15</a:t>
          </a:r>
          <a:r>
            <a:rPr lang="en-CA" sz="1800" baseline="0">
              <a:solidFill>
                <a:schemeClr val="accent2">
                  <a:lumMod val="60000"/>
                  <a:lumOff val="40000"/>
                </a:schemeClr>
              </a:solidFill>
            </a:rPr>
            <a:t> +</a:t>
          </a:r>
          <a:endParaRPr lang="en-CA" sz="1800">
            <a:solidFill>
              <a:schemeClr val="accent2">
                <a:lumMod val="60000"/>
                <a:lumOff val="40000"/>
              </a:schemeClr>
            </a:solidFill>
          </a:endParaRPr>
        </a:p>
      </xdr:txBody>
    </xdr:sp>
    <xdr:clientData/>
  </xdr:twoCellAnchor>
  <xdr:twoCellAnchor>
    <xdr:from>
      <xdr:col>10</xdr:col>
      <xdr:colOff>19050</xdr:colOff>
      <xdr:row>1</xdr:row>
      <xdr:rowOff>19050</xdr:rowOff>
    </xdr:from>
    <xdr:to>
      <xdr:col>13</xdr:col>
      <xdr:colOff>0</xdr:colOff>
      <xdr:row>12</xdr:row>
      <xdr:rowOff>9525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4" name="Add-in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2"/>
            </a:graphicData>
          </a:graphic>
        </xdr:graphicFrame>
      </mc:Choice>
      <mc:Fallback>
        <xdr:pic>
          <xdr:nvPicPr>
            <xdr:cNvPr id="4" name="Add-in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 fPrintsWithSheet="0"/>
  </xdr:twoCellAnchor>
  <xdr:twoCellAnchor editAs="oneCell">
    <xdr:from>
      <xdr:col>0</xdr:col>
      <xdr:colOff>371475</xdr:colOff>
      <xdr:row>30</xdr:row>
      <xdr:rowOff>57150</xdr:rowOff>
    </xdr:from>
    <xdr:to>
      <xdr:col>4</xdr:col>
      <xdr:colOff>447675</xdr:colOff>
      <xdr:row>47</xdr:row>
      <xdr:rowOff>0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r="37002" b="632"/>
        <a:stretch/>
      </xdr:blipFill>
      <xdr:spPr>
        <a:xfrm>
          <a:off x="371475" y="5581650"/>
          <a:ext cx="2562225" cy="3181350"/>
        </a:xfrm>
        <a:prstGeom prst="rect">
          <a:avLst/>
        </a:prstGeom>
      </xdr:spPr>
    </xdr:pic>
    <xdr:clientData/>
  </xdr:twoCellAnchor>
  <xdr:twoCellAnchor editAs="oneCell">
    <xdr:from>
      <xdr:col>6</xdr:col>
      <xdr:colOff>200025</xdr:colOff>
      <xdr:row>40</xdr:row>
      <xdr:rowOff>85725</xdr:rowOff>
    </xdr:from>
    <xdr:to>
      <xdr:col>8</xdr:col>
      <xdr:colOff>352425</xdr:colOff>
      <xdr:row>49</xdr:row>
      <xdr:rowOff>76200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62529" b="46745"/>
        <a:stretch/>
      </xdr:blipFill>
      <xdr:spPr>
        <a:xfrm>
          <a:off x="4267200" y="7515225"/>
          <a:ext cx="1524000" cy="1704975"/>
        </a:xfrm>
        <a:prstGeom prst="rect">
          <a:avLst/>
        </a:prstGeom>
      </xdr:spPr>
    </xdr:pic>
    <xdr:clientData/>
  </xdr:twoCellAnchor>
  <xdr:twoCellAnchor editAs="oneCell">
    <xdr:from>
      <xdr:col>6</xdr:col>
      <xdr:colOff>200025</xdr:colOff>
      <xdr:row>34</xdr:row>
      <xdr:rowOff>57150</xdr:rowOff>
    </xdr:from>
    <xdr:to>
      <xdr:col>8</xdr:col>
      <xdr:colOff>352425</xdr:colOff>
      <xdr:row>42</xdr:row>
      <xdr:rowOff>38100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62529" t="52660" b="333"/>
        <a:stretch/>
      </xdr:blipFill>
      <xdr:spPr>
        <a:xfrm>
          <a:off x="4267200" y="6343650"/>
          <a:ext cx="1524000" cy="150495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85725</xdr:colOff>
      <xdr:row>0</xdr:row>
      <xdr:rowOff>123825</xdr:rowOff>
    </xdr:from>
    <xdr:to>
      <xdr:col>4</xdr:col>
      <xdr:colOff>177511</xdr:colOff>
      <xdr:row>6</xdr:row>
      <xdr:rowOff>180974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697"/>
        <a:stretch/>
      </xdr:blipFill>
      <xdr:spPr>
        <a:xfrm>
          <a:off x="85725" y="123825"/>
          <a:ext cx="2206336" cy="1200149"/>
        </a:xfrm>
        <a:prstGeom prst="rect">
          <a:avLst/>
        </a:prstGeom>
      </xdr:spPr>
    </xdr:pic>
    <xdr:clientData/>
  </xdr:twoCellAnchor>
  <xdr:twoCellAnchor>
    <xdr:from>
      <xdr:col>6</xdr:col>
      <xdr:colOff>38100</xdr:colOff>
      <xdr:row>4</xdr:row>
      <xdr:rowOff>28575</xdr:rowOff>
    </xdr:from>
    <xdr:to>
      <xdr:col>9</xdr:col>
      <xdr:colOff>1000125</xdr:colOff>
      <xdr:row>6</xdr:row>
      <xdr:rowOff>161925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3533775" y="790575"/>
          <a:ext cx="2895600" cy="514350"/>
        </a:xfrm>
        <a:prstGeom prst="roundRect">
          <a:avLst/>
        </a:prstGeom>
        <a:noFill/>
        <a:ln>
          <a:solidFill>
            <a:srgbClr val="C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0</xdr:col>
      <xdr:colOff>76200</xdr:colOff>
      <xdr:row>48</xdr:row>
      <xdr:rowOff>95250</xdr:rowOff>
    </xdr:from>
    <xdr:to>
      <xdr:col>0</xdr:col>
      <xdr:colOff>448546</xdr:colOff>
      <xdr:row>50</xdr:row>
      <xdr:rowOff>88391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 txBox="1"/>
      </xdr:nvSpPr>
      <xdr:spPr>
        <a:xfrm>
          <a:off x="76200" y="9010650"/>
          <a:ext cx="372346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CA" sz="1800">
              <a:solidFill>
                <a:schemeClr val="accent2">
                  <a:lumMod val="60000"/>
                  <a:lumOff val="40000"/>
                </a:schemeClr>
              </a:solidFill>
            </a:rPr>
            <a:t>-6</a:t>
          </a:r>
        </a:p>
      </xdr:txBody>
    </xdr:sp>
    <xdr:clientData/>
  </xdr:twoCellAnchor>
  <xdr:twoCellAnchor>
    <xdr:from>
      <xdr:col>2</xdr:col>
      <xdr:colOff>161925</xdr:colOff>
      <xdr:row>48</xdr:row>
      <xdr:rowOff>95250</xdr:rowOff>
    </xdr:from>
    <xdr:to>
      <xdr:col>2</xdr:col>
      <xdr:colOff>534271</xdr:colOff>
      <xdr:row>50</xdr:row>
      <xdr:rowOff>88391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SpPr txBox="1"/>
      </xdr:nvSpPr>
      <xdr:spPr>
        <a:xfrm>
          <a:off x="819150" y="9010650"/>
          <a:ext cx="372346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CA" sz="1800">
              <a:solidFill>
                <a:schemeClr val="accent2">
                  <a:lumMod val="60000"/>
                  <a:lumOff val="40000"/>
                </a:schemeClr>
              </a:solidFill>
            </a:rPr>
            <a:t>7</a:t>
          </a:r>
        </a:p>
      </xdr:txBody>
    </xdr:sp>
    <xdr:clientData/>
  </xdr:twoCellAnchor>
  <xdr:twoCellAnchor>
    <xdr:from>
      <xdr:col>3</xdr:col>
      <xdr:colOff>85725</xdr:colOff>
      <xdr:row>48</xdr:row>
      <xdr:rowOff>95250</xdr:rowOff>
    </xdr:from>
    <xdr:to>
      <xdr:col>3</xdr:col>
      <xdr:colOff>458071</xdr:colOff>
      <xdr:row>50</xdr:row>
      <xdr:rowOff>88391</xdr:rowOff>
    </xdr:to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SpPr txBox="1"/>
      </xdr:nvSpPr>
      <xdr:spPr>
        <a:xfrm>
          <a:off x="1504950" y="9010650"/>
          <a:ext cx="372346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CA" sz="1800">
              <a:solidFill>
                <a:schemeClr val="accent2">
                  <a:lumMod val="60000"/>
                  <a:lumOff val="40000"/>
                </a:schemeClr>
              </a:solidFill>
            </a:rPr>
            <a:t>8</a:t>
          </a:r>
        </a:p>
      </xdr:txBody>
    </xdr:sp>
    <xdr:clientData/>
  </xdr:twoCellAnchor>
  <xdr:twoCellAnchor>
    <xdr:from>
      <xdr:col>4</xdr:col>
      <xdr:colOff>95250</xdr:colOff>
      <xdr:row>48</xdr:row>
      <xdr:rowOff>95250</xdr:rowOff>
    </xdr:from>
    <xdr:to>
      <xdr:col>4</xdr:col>
      <xdr:colOff>467596</xdr:colOff>
      <xdr:row>50</xdr:row>
      <xdr:rowOff>88391</xdr:rowOff>
    </xdr:to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SpPr txBox="1"/>
      </xdr:nvSpPr>
      <xdr:spPr>
        <a:xfrm>
          <a:off x="2124075" y="9010650"/>
          <a:ext cx="372346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CA" sz="1800">
              <a:solidFill>
                <a:schemeClr val="accent2">
                  <a:lumMod val="60000"/>
                  <a:lumOff val="40000"/>
                </a:schemeClr>
              </a:solidFill>
            </a:rPr>
            <a:t>9</a:t>
          </a:r>
        </a:p>
      </xdr:txBody>
    </xdr:sp>
    <xdr:clientData/>
  </xdr:twoCellAnchor>
  <xdr:twoCellAnchor>
    <xdr:from>
      <xdr:col>5</xdr:col>
      <xdr:colOff>209550</xdr:colOff>
      <xdr:row>48</xdr:row>
      <xdr:rowOff>104775</xdr:rowOff>
    </xdr:from>
    <xdr:to>
      <xdr:col>5</xdr:col>
      <xdr:colOff>581896</xdr:colOff>
      <xdr:row>50</xdr:row>
      <xdr:rowOff>97916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SpPr txBox="1"/>
      </xdr:nvSpPr>
      <xdr:spPr>
        <a:xfrm>
          <a:off x="2847975" y="9020175"/>
          <a:ext cx="372346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CA" sz="1800">
              <a:solidFill>
                <a:schemeClr val="accent2">
                  <a:lumMod val="60000"/>
                  <a:lumOff val="40000"/>
                </a:schemeClr>
              </a:solidFill>
            </a:rPr>
            <a:t>10</a:t>
          </a:r>
        </a:p>
      </xdr:txBody>
    </xdr:sp>
    <xdr:clientData/>
  </xdr:twoCellAnchor>
  <xdr:twoCellAnchor>
    <xdr:from>
      <xdr:col>0</xdr:col>
      <xdr:colOff>76200</xdr:colOff>
      <xdr:row>49</xdr:row>
      <xdr:rowOff>95250</xdr:rowOff>
    </xdr:from>
    <xdr:to>
      <xdr:col>0</xdr:col>
      <xdr:colOff>448546</xdr:colOff>
      <xdr:row>52</xdr:row>
      <xdr:rowOff>50291</xdr:rowOff>
    </xdr:to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SpPr txBox="1"/>
      </xdr:nvSpPr>
      <xdr:spPr>
        <a:xfrm>
          <a:off x="76200" y="9201150"/>
          <a:ext cx="372346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CA" sz="1800">
              <a:solidFill>
                <a:schemeClr val="accent2">
                  <a:lumMod val="60000"/>
                  <a:lumOff val="40000"/>
                </a:schemeClr>
              </a:solidFill>
            </a:rPr>
            <a:t>11</a:t>
          </a:r>
        </a:p>
      </xdr:txBody>
    </xdr:sp>
    <xdr:clientData/>
  </xdr:twoCellAnchor>
  <xdr:twoCellAnchor>
    <xdr:from>
      <xdr:col>2</xdr:col>
      <xdr:colOff>76200</xdr:colOff>
      <xdr:row>49</xdr:row>
      <xdr:rowOff>95250</xdr:rowOff>
    </xdr:from>
    <xdr:to>
      <xdr:col>2</xdr:col>
      <xdr:colOff>448546</xdr:colOff>
      <xdr:row>52</xdr:row>
      <xdr:rowOff>50291</xdr:rowOff>
    </xdr:to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SpPr txBox="1"/>
      </xdr:nvSpPr>
      <xdr:spPr>
        <a:xfrm>
          <a:off x="733425" y="9201150"/>
          <a:ext cx="372346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CA" sz="1800">
              <a:solidFill>
                <a:schemeClr val="accent2">
                  <a:lumMod val="60000"/>
                  <a:lumOff val="40000"/>
                </a:schemeClr>
              </a:solidFill>
            </a:rPr>
            <a:t>12</a:t>
          </a:r>
        </a:p>
      </xdr:txBody>
    </xdr:sp>
    <xdr:clientData/>
  </xdr:twoCellAnchor>
  <xdr:twoCellAnchor>
    <xdr:from>
      <xdr:col>3</xdr:col>
      <xdr:colOff>9525</xdr:colOff>
      <xdr:row>49</xdr:row>
      <xdr:rowOff>95250</xdr:rowOff>
    </xdr:from>
    <xdr:to>
      <xdr:col>3</xdr:col>
      <xdr:colOff>381871</xdr:colOff>
      <xdr:row>52</xdr:row>
      <xdr:rowOff>50291</xdr:rowOff>
    </xdr:to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SpPr txBox="1"/>
      </xdr:nvSpPr>
      <xdr:spPr>
        <a:xfrm>
          <a:off x="1428750" y="9201150"/>
          <a:ext cx="372346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CA" sz="1800">
              <a:solidFill>
                <a:schemeClr val="accent2">
                  <a:lumMod val="60000"/>
                  <a:lumOff val="40000"/>
                </a:schemeClr>
              </a:solidFill>
            </a:rPr>
            <a:t>13</a:t>
          </a:r>
        </a:p>
      </xdr:txBody>
    </xdr:sp>
    <xdr:clientData/>
  </xdr:twoCellAnchor>
  <xdr:twoCellAnchor>
    <xdr:from>
      <xdr:col>4</xdr:col>
      <xdr:colOff>19050</xdr:colOff>
      <xdr:row>49</xdr:row>
      <xdr:rowOff>95250</xdr:rowOff>
    </xdr:from>
    <xdr:to>
      <xdr:col>4</xdr:col>
      <xdr:colOff>391396</xdr:colOff>
      <xdr:row>52</xdr:row>
      <xdr:rowOff>50291</xdr:rowOff>
    </xdr:to>
    <xdr:sp macro="" textlink="">
      <xdr:nvSpPr>
        <xdr:cNvPr id="20" name="TextBox 19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SpPr txBox="1"/>
      </xdr:nvSpPr>
      <xdr:spPr>
        <a:xfrm>
          <a:off x="2047875" y="9201150"/>
          <a:ext cx="372346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CA" sz="1800">
              <a:solidFill>
                <a:schemeClr val="accent2">
                  <a:lumMod val="60000"/>
                  <a:lumOff val="40000"/>
                </a:schemeClr>
              </a:solidFill>
            </a:rPr>
            <a:t>14</a:t>
          </a:r>
        </a:p>
      </xdr:txBody>
    </xdr:sp>
    <xdr:clientData/>
  </xdr:twoCellAnchor>
  <xdr:twoCellAnchor>
    <xdr:from>
      <xdr:col>5</xdr:col>
      <xdr:colOff>200024</xdr:colOff>
      <xdr:row>49</xdr:row>
      <xdr:rowOff>95250</xdr:rowOff>
    </xdr:from>
    <xdr:to>
      <xdr:col>5</xdr:col>
      <xdr:colOff>742949</xdr:colOff>
      <xdr:row>52</xdr:row>
      <xdr:rowOff>50291</xdr:rowOff>
    </xdr:to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SpPr txBox="1"/>
      </xdr:nvSpPr>
      <xdr:spPr>
        <a:xfrm>
          <a:off x="2838449" y="9201150"/>
          <a:ext cx="542925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CA" sz="1800">
              <a:solidFill>
                <a:schemeClr val="accent2">
                  <a:lumMod val="60000"/>
                  <a:lumOff val="40000"/>
                </a:schemeClr>
              </a:solidFill>
            </a:rPr>
            <a:t>15</a:t>
          </a:r>
          <a:r>
            <a:rPr lang="en-CA" sz="1800" baseline="0">
              <a:solidFill>
                <a:schemeClr val="accent2">
                  <a:lumMod val="60000"/>
                  <a:lumOff val="40000"/>
                </a:schemeClr>
              </a:solidFill>
            </a:rPr>
            <a:t> +</a:t>
          </a:r>
          <a:endParaRPr lang="en-CA" sz="1800">
            <a:solidFill>
              <a:schemeClr val="accent2">
                <a:lumMod val="60000"/>
                <a:lumOff val="40000"/>
              </a:schemeClr>
            </a:solidFill>
          </a:endParaRPr>
        </a:p>
      </xdr:txBody>
    </xdr:sp>
    <xdr:clientData/>
  </xdr:twoCellAnchor>
  <xdr:twoCellAnchor>
    <xdr:from>
      <xdr:col>11</xdr:col>
      <xdr:colOff>19050</xdr:colOff>
      <xdr:row>1</xdr:row>
      <xdr:rowOff>0</xdr:rowOff>
    </xdr:from>
    <xdr:to>
      <xdr:col>14</xdr:col>
      <xdr:colOff>0</xdr:colOff>
      <xdr:row>10</xdr:row>
      <xdr:rowOff>104774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3" name="Add-in 2">
              <a:extLst>
                <a:ext uri="{FF2B5EF4-FFF2-40B4-BE49-F238E27FC236}">
                  <a16:creationId xmlns:a16="http://schemas.microsoft.com/office/drawing/2014/main" id="{00000000-0008-0000-0400-000003000000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2"/>
            </a:graphicData>
          </a:graphic>
        </xdr:graphicFrame>
      </mc:Choice>
      <mc:Fallback>
        <xdr:pic>
          <xdr:nvPicPr>
            <xdr:cNvPr id="3" name="Add-in 2">
              <a:extLst>
                <a:ext uri="{FF2B5EF4-FFF2-40B4-BE49-F238E27FC236}">
                  <a16:creationId xmlns:a16="http://schemas.microsoft.com/office/drawing/2014/main" id="{00000000-0008-0000-0400-000003000000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 fPrintsWithSheet="0"/>
  </xdr:twoCellAnchor>
  <xdr:twoCellAnchor>
    <xdr:from>
      <xdr:col>0</xdr:col>
      <xdr:colOff>66675</xdr:colOff>
      <xdr:row>54</xdr:row>
      <xdr:rowOff>85725</xdr:rowOff>
    </xdr:from>
    <xdr:to>
      <xdr:col>3</xdr:col>
      <xdr:colOff>57150</xdr:colOff>
      <xdr:row>58</xdr:row>
      <xdr:rowOff>114300</xdr:rowOff>
    </xdr:to>
    <xdr:pic>
      <xdr:nvPicPr>
        <xdr:cNvPr id="7" name="Picture 1870076250" descr="A red and white logo&#10;&#10;Description automatically generated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61" t="23364" r="6442" b="24577"/>
        <a:stretch>
          <a:fillRect/>
        </a:stretch>
      </xdr:blipFill>
      <xdr:spPr bwMode="auto">
        <a:xfrm>
          <a:off x="66675" y="10944225"/>
          <a:ext cx="1409700" cy="838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0</xdr:colOff>
      <xdr:row>78</xdr:row>
      <xdr:rowOff>142875</xdr:rowOff>
    </xdr:from>
    <xdr:to>
      <xdr:col>10</xdr:col>
      <xdr:colOff>19050</xdr:colOff>
      <xdr:row>79</xdr:row>
      <xdr:rowOff>188288</xdr:rowOff>
    </xdr:to>
    <xdr:sp macro="" textlink="">
      <xdr:nvSpPr>
        <xdr:cNvPr id="23" name="Rectangle 120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SpPr/>
      </xdr:nvSpPr>
      <xdr:spPr>
        <a:xfrm>
          <a:off x="0" y="20802600"/>
          <a:ext cx="6743700" cy="235913"/>
        </a:xfrm>
        <a:custGeom>
          <a:avLst/>
          <a:gdLst>
            <a:gd name="connsiteX0" fmla="*/ 0 w 6858000"/>
            <a:gd name="connsiteY0" fmla="*/ 0 h 143182"/>
            <a:gd name="connsiteX1" fmla="*/ 6858000 w 6858000"/>
            <a:gd name="connsiteY1" fmla="*/ 0 h 143182"/>
            <a:gd name="connsiteX2" fmla="*/ 6858000 w 6858000"/>
            <a:gd name="connsiteY2" fmla="*/ 143182 h 143182"/>
            <a:gd name="connsiteX3" fmla="*/ 0 w 6858000"/>
            <a:gd name="connsiteY3" fmla="*/ 143182 h 143182"/>
            <a:gd name="connsiteX4" fmla="*/ 0 w 6858000"/>
            <a:gd name="connsiteY4" fmla="*/ 0 h 143182"/>
            <a:gd name="connsiteX0" fmla="*/ 0 w 6858000"/>
            <a:gd name="connsiteY0" fmla="*/ 881 h 144063"/>
            <a:gd name="connsiteX1" fmla="*/ 3388659 w 6858000"/>
            <a:gd name="connsiteY1" fmla="*/ 0 h 144063"/>
            <a:gd name="connsiteX2" fmla="*/ 6858000 w 6858000"/>
            <a:gd name="connsiteY2" fmla="*/ 881 h 144063"/>
            <a:gd name="connsiteX3" fmla="*/ 6858000 w 6858000"/>
            <a:gd name="connsiteY3" fmla="*/ 144063 h 144063"/>
            <a:gd name="connsiteX4" fmla="*/ 0 w 6858000"/>
            <a:gd name="connsiteY4" fmla="*/ 144063 h 144063"/>
            <a:gd name="connsiteX5" fmla="*/ 0 w 6858000"/>
            <a:gd name="connsiteY5" fmla="*/ 881 h 144063"/>
            <a:gd name="connsiteX0" fmla="*/ 0 w 6858000"/>
            <a:gd name="connsiteY0" fmla="*/ 200669 h 343851"/>
            <a:gd name="connsiteX1" fmla="*/ 3396343 w 6858000"/>
            <a:gd name="connsiteY1" fmla="*/ 0 h 343851"/>
            <a:gd name="connsiteX2" fmla="*/ 6858000 w 6858000"/>
            <a:gd name="connsiteY2" fmla="*/ 200669 h 343851"/>
            <a:gd name="connsiteX3" fmla="*/ 6858000 w 6858000"/>
            <a:gd name="connsiteY3" fmla="*/ 343851 h 343851"/>
            <a:gd name="connsiteX4" fmla="*/ 0 w 6858000"/>
            <a:gd name="connsiteY4" fmla="*/ 343851 h 343851"/>
            <a:gd name="connsiteX5" fmla="*/ 0 w 6858000"/>
            <a:gd name="connsiteY5" fmla="*/ 200669 h 343851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</a:cxnLst>
          <a:rect l="l" t="t" r="r" b="b"/>
          <a:pathLst>
            <a:path w="6858000" h="343851">
              <a:moveTo>
                <a:pt x="0" y="200669"/>
              </a:moveTo>
              <a:lnTo>
                <a:pt x="3396343" y="0"/>
              </a:lnTo>
              <a:lnTo>
                <a:pt x="6858000" y="200669"/>
              </a:lnTo>
              <a:lnTo>
                <a:pt x="6858000" y="343851"/>
              </a:lnTo>
              <a:lnTo>
                <a:pt x="0" y="343851"/>
              </a:lnTo>
              <a:lnTo>
                <a:pt x="0" y="200669"/>
              </a:lnTo>
              <a:close/>
            </a:path>
          </a:pathLst>
        </a:custGeom>
        <a:solidFill>
          <a:srgbClr val="C0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n-CA"/>
        </a:p>
      </xdr:txBody>
    </xdr:sp>
    <xdr:clientData/>
  </xdr:twoCellAnchor>
  <xdr:twoCellAnchor>
    <xdr:from>
      <xdr:col>0</xdr:col>
      <xdr:colOff>66675</xdr:colOff>
      <xdr:row>83</xdr:row>
      <xdr:rowOff>85725</xdr:rowOff>
    </xdr:from>
    <xdr:to>
      <xdr:col>3</xdr:col>
      <xdr:colOff>57150</xdr:colOff>
      <xdr:row>87</xdr:row>
      <xdr:rowOff>114300</xdr:rowOff>
    </xdr:to>
    <xdr:pic>
      <xdr:nvPicPr>
        <xdr:cNvPr id="26" name="Picture 1870076250" descr="A red and white logo&#10;&#10;Description automatically generated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400-00001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61" t="23364" r="6442" b="24577"/>
        <a:stretch>
          <a:fillRect/>
        </a:stretch>
      </xdr:blipFill>
      <xdr:spPr bwMode="auto">
        <a:xfrm>
          <a:off x="66675" y="10934700"/>
          <a:ext cx="1409700" cy="838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0</xdr:colOff>
      <xdr:row>107</xdr:row>
      <xdr:rowOff>142875</xdr:rowOff>
    </xdr:from>
    <xdr:to>
      <xdr:col>10</xdr:col>
      <xdr:colOff>19050</xdr:colOff>
      <xdr:row>108</xdr:row>
      <xdr:rowOff>188288</xdr:rowOff>
    </xdr:to>
    <xdr:sp macro="" textlink="">
      <xdr:nvSpPr>
        <xdr:cNvPr id="33" name="Rectangle 120">
          <a:extLst>
            <a:ext uri="{FF2B5EF4-FFF2-40B4-BE49-F238E27FC236}">
              <a16:creationId xmlns:a16="http://schemas.microsoft.com/office/drawing/2014/main" id="{00000000-0008-0000-0400-000021000000}"/>
            </a:ext>
          </a:extLst>
        </xdr:cNvPr>
        <xdr:cNvSpPr/>
      </xdr:nvSpPr>
      <xdr:spPr>
        <a:xfrm>
          <a:off x="0" y="20888325"/>
          <a:ext cx="6743700" cy="235913"/>
        </a:xfrm>
        <a:custGeom>
          <a:avLst/>
          <a:gdLst>
            <a:gd name="connsiteX0" fmla="*/ 0 w 6858000"/>
            <a:gd name="connsiteY0" fmla="*/ 0 h 143182"/>
            <a:gd name="connsiteX1" fmla="*/ 6858000 w 6858000"/>
            <a:gd name="connsiteY1" fmla="*/ 0 h 143182"/>
            <a:gd name="connsiteX2" fmla="*/ 6858000 w 6858000"/>
            <a:gd name="connsiteY2" fmla="*/ 143182 h 143182"/>
            <a:gd name="connsiteX3" fmla="*/ 0 w 6858000"/>
            <a:gd name="connsiteY3" fmla="*/ 143182 h 143182"/>
            <a:gd name="connsiteX4" fmla="*/ 0 w 6858000"/>
            <a:gd name="connsiteY4" fmla="*/ 0 h 143182"/>
            <a:gd name="connsiteX0" fmla="*/ 0 w 6858000"/>
            <a:gd name="connsiteY0" fmla="*/ 881 h 144063"/>
            <a:gd name="connsiteX1" fmla="*/ 3388659 w 6858000"/>
            <a:gd name="connsiteY1" fmla="*/ 0 h 144063"/>
            <a:gd name="connsiteX2" fmla="*/ 6858000 w 6858000"/>
            <a:gd name="connsiteY2" fmla="*/ 881 h 144063"/>
            <a:gd name="connsiteX3" fmla="*/ 6858000 w 6858000"/>
            <a:gd name="connsiteY3" fmla="*/ 144063 h 144063"/>
            <a:gd name="connsiteX4" fmla="*/ 0 w 6858000"/>
            <a:gd name="connsiteY4" fmla="*/ 144063 h 144063"/>
            <a:gd name="connsiteX5" fmla="*/ 0 w 6858000"/>
            <a:gd name="connsiteY5" fmla="*/ 881 h 144063"/>
            <a:gd name="connsiteX0" fmla="*/ 0 w 6858000"/>
            <a:gd name="connsiteY0" fmla="*/ 200669 h 343851"/>
            <a:gd name="connsiteX1" fmla="*/ 3396343 w 6858000"/>
            <a:gd name="connsiteY1" fmla="*/ 0 h 343851"/>
            <a:gd name="connsiteX2" fmla="*/ 6858000 w 6858000"/>
            <a:gd name="connsiteY2" fmla="*/ 200669 h 343851"/>
            <a:gd name="connsiteX3" fmla="*/ 6858000 w 6858000"/>
            <a:gd name="connsiteY3" fmla="*/ 343851 h 343851"/>
            <a:gd name="connsiteX4" fmla="*/ 0 w 6858000"/>
            <a:gd name="connsiteY4" fmla="*/ 343851 h 343851"/>
            <a:gd name="connsiteX5" fmla="*/ 0 w 6858000"/>
            <a:gd name="connsiteY5" fmla="*/ 200669 h 343851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</a:cxnLst>
          <a:rect l="l" t="t" r="r" b="b"/>
          <a:pathLst>
            <a:path w="6858000" h="343851">
              <a:moveTo>
                <a:pt x="0" y="200669"/>
              </a:moveTo>
              <a:lnTo>
                <a:pt x="3396343" y="0"/>
              </a:lnTo>
              <a:lnTo>
                <a:pt x="6858000" y="200669"/>
              </a:lnTo>
              <a:lnTo>
                <a:pt x="6858000" y="343851"/>
              </a:lnTo>
              <a:lnTo>
                <a:pt x="0" y="343851"/>
              </a:lnTo>
              <a:lnTo>
                <a:pt x="0" y="200669"/>
              </a:lnTo>
              <a:close/>
            </a:path>
          </a:pathLst>
        </a:custGeom>
        <a:solidFill>
          <a:srgbClr val="C0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n-CA"/>
        </a:p>
      </xdr:txBody>
    </xdr:sp>
    <xdr:clientData/>
  </xdr:twoCellAnchor>
  <xdr:twoCellAnchor>
    <xdr:from>
      <xdr:col>0</xdr:col>
      <xdr:colOff>66675</xdr:colOff>
      <xdr:row>111</xdr:row>
      <xdr:rowOff>85725</xdr:rowOff>
    </xdr:from>
    <xdr:to>
      <xdr:col>3</xdr:col>
      <xdr:colOff>57150</xdr:colOff>
      <xdr:row>115</xdr:row>
      <xdr:rowOff>114300</xdr:rowOff>
    </xdr:to>
    <xdr:pic>
      <xdr:nvPicPr>
        <xdr:cNvPr id="34" name="Picture 1870076250" descr="A red and white logo&#10;&#10;Description automatically generated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400-00002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61" t="23364" r="6442" b="24577"/>
        <a:stretch>
          <a:fillRect/>
        </a:stretch>
      </xdr:blipFill>
      <xdr:spPr bwMode="auto">
        <a:xfrm>
          <a:off x="66675" y="21783675"/>
          <a:ext cx="1409700" cy="838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47626</xdr:colOff>
      <xdr:row>118</xdr:row>
      <xdr:rowOff>47625</xdr:rowOff>
    </xdr:from>
    <xdr:to>
      <xdr:col>9</xdr:col>
      <xdr:colOff>981076</xdr:colOff>
      <xdr:row>163</xdr:row>
      <xdr:rowOff>125308</xdr:rowOff>
    </xdr:to>
    <xdr:pic>
      <xdr:nvPicPr>
        <xdr:cNvPr id="35" name="Picture 34">
          <a:extLst>
            <a:ext uri="{FF2B5EF4-FFF2-40B4-BE49-F238E27FC236}">
              <a16:creationId xmlns:a16="http://schemas.microsoft.com/office/drawing/2014/main" id="{00000000-0008-0000-0400-00002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/>
        <a:srcRect t="1914" r="3425"/>
        <a:stretch/>
      </xdr:blipFill>
      <xdr:spPr>
        <a:xfrm>
          <a:off x="47626" y="34042350"/>
          <a:ext cx="6610350" cy="8650183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163</xdr:row>
      <xdr:rowOff>142875</xdr:rowOff>
    </xdr:from>
    <xdr:to>
      <xdr:col>10</xdr:col>
      <xdr:colOff>19050</xdr:colOff>
      <xdr:row>164</xdr:row>
      <xdr:rowOff>188288</xdr:rowOff>
    </xdr:to>
    <xdr:sp macro="" textlink="">
      <xdr:nvSpPr>
        <xdr:cNvPr id="37" name="Rectangle 120">
          <a:extLst>
            <a:ext uri="{FF2B5EF4-FFF2-40B4-BE49-F238E27FC236}">
              <a16:creationId xmlns:a16="http://schemas.microsoft.com/office/drawing/2014/main" id="{00000000-0008-0000-0400-000025000000}"/>
            </a:ext>
          </a:extLst>
        </xdr:cNvPr>
        <xdr:cNvSpPr/>
      </xdr:nvSpPr>
      <xdr:spPr>
        <a:xfrm>
          <a:off x="0" y="31889700"/>
          <a:ext cx="6743700" cy="245438"/>
        </a:xfrm>
        <a:custGeom>
          <a:avLst/>
          <a:gdLst>
            <a:gd name="connsiteX0" fmla="*/ 0 w 6858000"/>
            <a:gd name="connsiteY0" fmla="*/ 0 h 143182"/>
            <a:gd name="connsiteX1" fmla="*/ 6858000 w 6858000"/>
            <a:gd name="connsiteY1" fmla="*/ 0 h 143182"/>
            <a:gd name="connsiteX2" fmla="*/ 6858000 w 6858000"/>
            <a:gd name="connsiteY2" fmla="*/ 143182 h 143182"/>
            <a:gd name="connsiteX3" fmla="*/ 0 w 6858000"/>
            <a:gd name="connsiteY3" fmla="*/ 143182 h 143182"/>
            <a:gd name="connsiteX4" fmla="*/ 0 w 6858000"/>
            <a:gd name="connsiteY4" fmla="*/ 0 h 143182"/>
            <a:gd name="connsiteX0" fmla="*/ 0 w 6858000"/>
            <a:gd name="connsiteY0" fmla="*/ 881 h 144063"/>
            <a:gd name="connsiteX1" fmla="*/ 3388659 w 6858000"/>
            <a:gd name="connsiteY1" fmla="*/ 0 h 144063"/>
            <a:gd name="connsiteX2" fmla="*/ 6858000 w 6858000"/>
            <a:gd name="connsiteY2" fmla="*/ 881 h 144063"/>
            <a:gd name="connsiteX3" fmla="*/ 6858000 w 6858000"/>
            <a:gd name="connsiteY3" fmla="*/ 144063 h 144063"/>
            <a:gd name="connsiteX4" fmla="*/ 0 w 6858000"/>
            <a:gd name="connsiteY4" fmla="*/ 144063 h 144063"/>
            <a:gd name="connsiteX5" fmla="*/ 0 w 6858000"/>
            <a:gd name="connsiteY5" fmla="*/ 881 h 144063"/>
            <a:gd name="connsiteX0" fmla="*/ 0 w 6858000"/>
            <a:gd name="connsiteY0" fmla="*/ 200669 h 343851"/>
            <a:gd name="connsiteX1" fmla="*/ 3396343 w 6858000"/>
            <a:gd name="connsiteY1" fmla="*/ 0 h 343851"/>
            <a:gd name="connsiteX2" fmla="*/ 6858000 w 6858000"/>
            <a:gd name="connsiteY2" fmla="*/ 200669 h 343851"/>
            <a:gd name="connsiteX3" fmla="*/ 6858000 w 6858000"/>
            <a:gd name="connsiteY3" fmla="*/ 343851 h 343851"/>
            <a:gd name="connsiteX4" fmla="*/ 0 w 6858000"/>
            <a:gd name="connsiteY4" fmla="*/ 343851 h 343851"/>
            <a:gd name="connsiteX5" fmla="*/ 0 w 6858000"/>
            <a:gd name="connsiteY5" fmla="*/ 200669 h 343851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</a:cxnLst>
          <a:rect l="l" t="t" r="r" b="b"/>
          <a:pathLst>
            <a:path w="6858000" h="343851">
              <a:moveTo>
                <a:pt x="0" y="200669"/>
              </a:moveTo>
              <a:lnTo>
                <a:pt x="3396343" y="0"/>
              </a:lnTo>
              <a:lnTo>
                <a:pt x="6858000" y="200669"/>
              </a:lnTo>
              <a:lnTo>
                <a:pt x="6858000" y="343851"/>
              </a:lnTo>
              <a:lnTo>
                <a:pt x="0" y="343851"/>
              </a:lnTo>
              <a:lnTo>
                <a:pt x="0" y="200669"/>
              </a:lnTo>
              <a:close/>
            </a:path>
          </a:pathLst>
        </a:custGeom>
        <a:solidFill>
          <a:srgbClr val="C0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en-CA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41565</xdr:colOff>
      <xdr:row>0</xdr:row>
      <xdr:rowOff>123826</xdr:rowOff>
    </xdr:from>
    <xdr:to>
      <xdr:col>3</xdr:col>
      <xdr:colOff>381001</xdr:colOff>
      <xdr:row>6</xdr:row>
      <xdr:rowOff>180975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697"/>
        <a:stretch/>
      </xdr:blipFill>
      <xdr:spPr>
        <a:xfrm>
          <a:off x="41565" y="123826"/>
          <a:ext cx="2206336" cy="1200149"/>
        </a:xfrm>
        <a:prstGeom prst="rect">
          <a:avLst/>
        </a:prstGeom>
      </xdr:spPr>
    </xdr:pic>
    <xdr:clientData/>
  </xdr:twoCellAnchor>
  <xdr:twoCellAnchor>
    <xdr:from>
      <xdr:col>5</xdr:col>
      <xdr:colOff>38100</xdr:colOff>
      <xdr:row>4</xdr:row>
      <xdr:rowOff>28575</xdr:rowOff>
    </xdr:from>
    <xdr:to>
      <xdr:col>8</xdr:col>
      <xdr:colOff>1000125</xdr:colOff>
      <xdr:row>6</xdr:row>
      <xdr:rowOff>161925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3533775" y="790575"/>
          <a:ext cx="2895600" cy="514350"/>
        </a:xfrm>
        <a:prstGeom prst="roundRect">
          <a:avLst/>
        </a:prstGeom>
        <a:noFill/>
        <a:ln>
          <a:solidFill>
            <a:srgbClr val="C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10</xdr:col>
      <xdr:colOff>0</xdr:colOff>
      <xdr:row>1</xdr:row>
      <xdr:rowOff>0</xdr:rowOff>
    </xdr:from>
    <xdr:to>
      <xdr:col>12</xdr:col>
      <xdr:colOff>590550</xdr:colOff>
      <xdr:row>11</xdr:row>
      <xdr:rowOff>180975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4" name="Add-in 3">
              <a:extLst>
                <a:ext uri="{FF2B5EF4-FFF2-40B4-BE49-F238E27FC236}">
                  <a16:creationId xmlns:a16="http://schemas.microsoft.com/office/drawing/2014/main" id="{00000000-0008-0000-0500-000004000000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2"/>
            </a:graphicData>
          </a:graphic>
        </xdr:graphicFrame>
      </mc:Choice>
      <mc:Fallback>
        <xdr:pic>
          <xdr:nvPicPr>
            <xdr:cNvPr id="4" name="Add-in 3">
              <a:extLst>
                <a:ext uri="{FF2B5EF4-FFF2-40B4-BE49-F238E27FC236}">
                  <a16:creationId xmlns:a16="http://schemas.microsoft.com/office/drawing/2014/main" id="{00000000-0008-0000-0500-000004000000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41565</xdr:colOff>
      <xdr:row>0</xdr:row>
      <xdr:rowOff>123826</xdr:rowOff>
    </xdr:from>
    <xdr:to>
      <xdr:col>3</xdr:col>
      <xdr:colOff>285751</xdr:colOff>
      <xdr:row>6</xdr:row>
      <xdr:rowOff>180975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697"/>
        <a:stretch/>
      </xdr:blipFill>
      <xdr:spPr>
        <a:xfrm>
          <a:off x="41565" y="123826"/>
          <a:ext cx="2206336" cy="1200149"/>
        </a:xfrm>
        <a:prstGeom prst="rect">
          <a:avLst/>
        </a:prstGeom>
      </xdr:spPr>
    </xdr:pic>
    <xdr:clientData/>
  </xdr:twoCellAnchor>
  <xdr:twoCellAnchor>
    <xdr:from>
      <xdr:col>5</xdr:col>
      <xdr:colOff>38100</xdr:colOff>
      <xdr:row>4</xdr:row>
      <xdr:rowOff>28575</xdr:rowOff>
    </xdr:from>
    <xdr:to>
      <xdr:col>8</xdr:col>
      <xdr:colOff>1000125</xdr:colOff>
      <xdr:row>6</xdr:row>
      <xdr:rowOff>161925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3543300" y="790575"/>
          <a:ext cx="2895600" cy="514350"/>
        </a:xfrm>
        <a:prstGeom prst="roundRect">
          <a:avLst/>
        </a:prstGeom>
        <a:noFill/>
        <a:ln>
          <a:solidFill>
            <a:srgbClr val="C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10</xdr:col>
      <xdr:colOff>0</xdr:colOff>
      <xdr:row>1</xdr:row>
      <xdr:rowOff>9525</xdr:rowOff>
    </xdr:from>
    <xdr:to>
      <xdr:col>12</xdr:col>
      <xdr:colOff>590550</xdr:colOff>
      <xdr:row>12</xdr:row>
      <xdr:rowOff>0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4" name="Add-in 3">
              <a:extLst>
                <a:ext uri="{FF2B5EF4-FFF2-40B4-BE49-F238E27FC236}">
                  <a16:creationId xmlns:a16="http://schemas.microsoft.com/office/drawing/2014/main" id="{00000000-0008-0000-0600-000004000000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2"/>
            </a:graphicData>
          </a:graphic>
        </xdr:graphicFrame>
      </mc:Choice>
      <mc:Fallback>
        <xdr:pic>
          <xdr:nvPicPr>
            <xdr:cNvPr id="4" name="Add-in 3">
              <a:extLst>
                <a:ext uri="{FF2B5EF4-FFF2-40B4-BE49-F238E27FC236}">
                  <a16:creationId xmlns:a16="http://schemas.microsoft.com/office/drawing/2014/main" id="{00000000-0008-0000-0600-000004000000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 fPrintsWithSheet="0"/>
  </xdr:twoCellAnchor>
  <xdr:twoCellAnchor>
    <xdr:from>
      <xdr:col>5</xdr:col>
      <xdr:colOff>38100</xdr:colOff>
      <xdr:row>4</xdr:row>
      <xdr:rowOff>28575</xdr:rowOff>
    </xdr:from>
    <xdr:to>
      <xdr:col>8</xdr:col>
      <xdr:colOff>1000125</xdr:colOff>
      <xdr:row>6</xdr:row>
      <xdr:rowOff>161925</xdr:rowOff>
    </xdr:to>
    <xdr:sp macro="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/>
      </xdr:nvSpPr>
      <xdr:spPr>
        <a:xfrm>
          <a:off x="3781425" y="790575"/>
          <a:ext cx="2895600" cy="514350"/>
        </a:xfrm>
        <a:prstGeom prst="roundRect">
          <a:avLst/>
        </a:prstGeom>
        <a:noFill/>
        <a:ln>
          <a:solidFill>
            <a:srgbClr val="C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41565</xdr:colOff>
      <xdr:row>0</xdr:row>
      <xdr:rowOff>123826</xdr:rowOff>
    </xdr:from>
    <xdr:to>
      <xdr:col>3</xdr:col>
      <xdr:colOff>381001</xdr:colOff>
      <xdr:row>6</xdr:row>
      <xdr:rowOff>180975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697"/>
        <a:stretch/>
      </xdr:blipFill>
      <xdr:spPr>
        <a:xfrm>
          <a:off x="41565" y="123826"/>
          <a:ext cx="2206336" cy="1200149"/>
        </a:xfrm>
        <a:prstGeom prst="rect">
          <a:avLst/>
        </a:prstGeom>
      </xdr:spPr>
    </xdr:pic>
    <xdr:clientData/>
  </xdr:twoCellAnchor>
  <xdr:twoCellAnchor>
    <xdr:from>
      <xdr:col>5</xdr:col>
      <xdr:colOff>38100</xdr:colOff>
      <xdr:row>4</xdr:row>
      <xdr:rowOff>28575</xdr:rowOff>
    </xdr:from>
    <xdr:to>
      <xdr:col>8</xdr:col>
      <xdr:colOff>1000125</xdr:colOff>
      <xdr:row>6</xdr:row>
      <xdr:rowOff>161925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3533775" y="790575"/>
          <a:ext cx="2895600" cy="514350"/>
        </a:xfrm>
        <a:prstGeom prst="roundRect">
          <a:avLst/>
        </a:prstGeom>
        <a:noFill/>
        <a:ln>
          <a:solidFill>
            <a:srgbClr val="C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10</xdr:col>
      <xdr:colOff>0</xdr:colOff>
      <xdr:row>1</xdr:row>
      <xdr:rowOff>0</xdr:rowOff>
    </xdr:from>
    <xdr:to>
      <xdr:col>12</xdr:col>
      <xdr:colOff>590550</xdr:colOff>
      <xdr:row>11</xdr:row>
      <xdr:rowOff>180975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4" name="Add-in 3">
              <a:extLst>
                <a:ext uri="{FF2B5EF4-FFF2-40B4-BE49-F238E27FC236}">
                  <a16:creationId xmlns:a16="http://schemas.microsoft.com/office/drawing/2014/main" id="{00000000-0008-0000-0700-000004000000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2"/>
            </a:graphicData>
          </a:graphic>
        </xdr:graphicFrame>
      </mc:Choice>
      <mc:Fallback>
        <xdr:pic>
          <xdr:nvPicPr>
            <xdr:cNvPr id="4" name="Add-in 3">
              <a:extLst>
                <a:ext uri="{FF2B5EF4-FFF2-40B4-BE49-F238E27FC236}">
                  <a16:creationId xmlns:a16="http://schemas.microsoft.com/office/drawing/2014/main" id="{00000000-0008-0000-0700-000004000000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 fPrintsWithSheet="0"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41565</xdr:colOff>
      <xdr:row>0</xdr:row>
      <xdr:rowOff>123826</xdr:rowOff>
    </xdr:from>
    <xdr:to>
      <xdr:col>3</xdr:col>
      <xdr:colOff>295276</xdr:colOff>
      <xdr:row>6</xdr:row>
      <xdr:rowOff>180975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697"/>
        <a:stretch/>
      </xdr:blipFill>
      <xdr:spPr>
        <a:xfrm>
          <a:off x="41565" y="123826"/>
          <a:ext cx="2206336" cy="1200149"/>
        </a:xfrm>
        <a:prstGeom prst="rect">
          <a:avLst/>
        </a:prstGeom>
      </xdr:spPr>
    </xdr:pic>
    <xdr:clientData/>
  </xdr:twoCellAnchor>
  <xdr:twoCellAnchor>
    <xdr:from>
      <xdr:col>5</xdr:col>
      <xdr:colOff>38100</xdr:colOff>
      <xdr:row>4</xdr:row>
      <xdr:rowOff>28575</xdr:rowOff>
    </xdr:from>
    <xdr:to>
      <xdr:col>8</xdr:col>
      <xdr:colOff>1000125</xdr:colOff>
      <xdr:row>6</xdr:row>
      <xdr:rowOff>161925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3533775" y="790575"/>
          <a:ext cx="2895600" cy="514350"/>
        </a:xfrm>
        <a:prstGeom prst="roundRect">
          <a:avLst/>
        </a:prstGeom>
        <a:noFill/>
        <a:ln>
          <a:solidFill>
            <a:srgbClr val="C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10</xdr:col>
      <xdr:colOff>0</xdr:colOff>
      <xdr:row>1</xdr:row>
      <xdr:rowOff>0</xdr:rowOff>
    </xdr:from>
    <xdr:to>
      <xdr:col>12</xdr:col>
      <xdr:colOff>590550</xdr:colOff>
      <xdr:row>11</xdr:row>
      <xdr:rowOff>180975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4" name="Add-in 3">
              <a:extLst>
                <a:ext uri="{FF2B5EF4-FFF2-40B4-BE49-F238E27FC236}">
                  <a16:creationId xmlns:a16="http://schemas.microsoft.com/office/drawing/2014/main" id="{00000000-0008-0000-0800-000004000000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2"/>
            </a:graphicData>
          </a:graphic>
        </xdr:graphicFrame>
      </mc:Choice>
      <mc:Fallback>
        <xdr:pic>
          <xdr:nvPicPr>
            <xdr:cNvPr id="4" name="Add-in 3">
              <a:extLst>
                <a:ext uri="{FF2B5EF4-FFF2-40B4-BE49-F238E27FC236}">
                  <a16:creationId xmlns:a16="http://schemas.microsoft.com/office/drawing/2014/main" id="{00000000-0008-0000-0800-000004000000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 fPrintsWithSheet="0"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85725</xdr:colOff>
      <xdr:row>0</xdr:row>
      <xdr:rowOff>123825</xdr:rowOff>
    </xdr:from>
    <xdr:to>
      <xdr:col>3</xdr:col>
      <xdr:colOff>425161</xdr:colOff>
      <xdr:row>6</xdr:row>
      <xdr:rowOff>180974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697"/>
        <a:stretch/>
      </xdr:blipFill>
      <xdr:spPr>
        <a:xfrm>
          <a:off x="85725" y="123825"/>
          <a:ext cx="2206336" cy="1200149"/>
        </a:xfrm>
        <a:prstGeom prst="rect">
          <a:avLst/>
        </a:prstGeom>
      </xdr:spPr>
    </xdr:pic>
    <xdr:clientData/>
  </xdr:twoCellAnchor>
  <xdr:twoCellAnchor>
    <xdr:from>
      <xdr:col>5</xdr:col>
      <xdr:colOff>38100</xdr:colOff>
      <xdr:row>4</xdr:row>
      <xdr:rowOff>28575</xdr:rowOff>
    </xdr:from>
    <xdr:to>
      <xdr:col>8</xdr:col>
      <xdr:colOff>1000125</xdr:colOff>
      <xdr:row>6</xdr:row>
      <xdr:rowOff>161925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3533775" y="790575"/>
          <a:ext cx="2895600" cy="514350"/>
        </a:xfrm>
        <a:prstGeom prst="roundRect">
          <a:avLst/>
        </a:prstGeom>
        <a:noFill/>
        <a:ln>
          <a:solidFill>
            <a:srgbClr val="C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10</xdr:col>
      <xdr:colOff>0</xdr:colOff>
      <xdr:row>1</xdr:row>
      <xdr:rowOff>0</xdr:rowOff>
    </xdr:from>
    <xdr:to>
      <xdr:col>12</xdr:col>
      <xdr:colOff>590550</xdr:colOff>
      <xdr:row>11</xdr:row>
      <xdr:rowOff>180975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4" name="Add-in 3">
              <a:extLst>
                <a:ext uri="{FF2B5EF4-FFF2-40B4-BE49-F238E27FC236}">
                  <a16:creationId xmlns:a16="http://schemas.microsoft.com/office/drawing/2014/main" id="{00000000-0008-0000-0900-000004000000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2"/>
            </a:graphicData>
          </a:graphic>
        </xdr:graphicFrame>
      </mc:Choice>
      <mc:Fallback>
        <xdr:pic>
          <xdr:nvPicPr>
            <xdr:cNvPr id="4" name="Add-in 3">
              <a:extLst>
                <a:ext uri="{FF2B5EF4-FFF2-40B4-BE49-F238E27FC236}">
                  <a16:creationId xmlns:a16="http://schemas.microsoft.com/office/drawing/2014/main" id="{00000000-0008-0000-0900-000004000000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 fPrintsWithSheet="0"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85725</xdr:colOff>
      <xdr:row>0</xdr:row>
      <xdr:rowOff>123825</xdr:rowOff>
    </xdr:from>
    <xdr:to>
      <xdr:col>3</xdr:col>
      <xdr:colOff>329911</xdr:colOff>
      <xdr:row>6</xdr:row>
      <xdr:rowOff>180974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697"/>
        <a:stretch/>
      </xdr:blipFill>
      <xdr:spPr>
        <a:xfrm>
          <a:off x="85725" y="123825"/>
          <a:ext cx="2206336" cy="1200149"/>
        </a:xfrm>
        <a:prstGeom prst="rect">
          <a:avLst/>
        </a:prstGeom>
      </xdr:spPr>
    </xdr:pic>
    <xdr:clientData/>
  </xdr:twoCellAnchor>
  <xdr:twoCellAnchor>
    <xdr:from>
      <xdr:col>5</xdr:col>
      <xdr:colOff>38100</xdr:colOff>
      <xdr:row>4</xdr:row>
      <xdr:rowOff>28575</xdr:rowOff>
    </xdr:from>
    <xdr:to>
      <xdr:col>8</xdr:col>
      <xdr:colOff>1000125</xdr:colOff>
      <xdr:row>6</xdr:row>
      <xdr:rowOff>161925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3533775" y="790575"/>
          <a:ext cx="2895600" cy="514350"/>
        </a:xfrm>
        <a:prstGeom prst="roundRect">
          <a:avLst/>
        </a:prstGeom>
        <a:noFill/>
        <a:ln>
          <a:solidFill>
            <a:srgbClr val="C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10</xdr:col>
      <xdr:colOff>0</xdr:colOff>
      <xdr:row>1</xdr:row>
      <xdr:rowOff>0</xdr:rowOff>
    </xdr:from>
    <xdr:to>
      <xdr:col>12</xdr:col>
      <xdr:colOff>590550</xdr:colOff>
      <xdr:row>11</xdr:row>
      <xdr:rowOff>180975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4" name="Add-in 3">
              <a:extLst>
                <a:ext uri="{FF2B5EF4-FFF2-40B4-BE49-F238E27FC236}">
                  <a16:creationId xmlns:a16="http://schemas.microsoft.com/office/drawing/2014/main" id="{00000000-0008-0000-0A00-000004000000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2"/>
            </a:graphicData>
          </a:graphic>
        </xdr:graphicFrame>
      </mc:Choice>
      <mc:Fallback>
        <xdr:pic>
          <xdr:nvPicPr>
            <xdr:cNvPr id="4" name="Add-in 3">
              <a:extLst>
                <a:ext uri="{FF2B5EF4-FFF2-40B4-BE49-F238E27FC236}">
                  <a16:creationId xmlns:a16="http://schemas.microsoft.com/office/drawing/2014/main" id="{00000000-0008-0000-0A00-000004000000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 fPrintsWithSheet="0"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41565</xdr:colOff>
      <xdr:row>0</xdr:row>
      <xdr:rowOff>123826</xdr:rowOff>
    </xdr:from>
    <xdr:to>
      <xdr:col>3</xdr:col>
      <xdr:colOff>381001</xdr:colOff>
      <xdr:row>6</xdr:row>
      <xdr:rowOff>180975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697"/>
        <a:stretch/>
      </xdr:blipFill>
      <xdr:spPr>
        <a:xfrm>
          <a:off x="41565" y="123826"/>
          <a:ext cx="2206336" cy="1200149"/>
        </a:xfrm>
        <a:prstGeom prst="rect">
          <a:avLst/>
        </a:prstGeom>
      </xdr:spPr>
    </xdr:pic>
    <xdr:clientData/>
  </xdr:twoCellAnchor>
  <xdr:twoCellAnchor>
    <xdr:from>
      <xdr:col>5</xdr:col>
      <xdr:colOff>38100</xdr:colOff>
      <xdr:row>4</xdr:row>
      <xdr:rowOff>28575</xdr:rowOff>
    </xdr:from>
    <xdr:to>
      <xdr:col>8</xdr:col>
      <xdr:colOff>1000125</xdr:colOff>
      <xdr:row>6</xdr:row>
      <xdr:rowOff>161925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/>
      </xdr:nvSpPr>
      <xdr:spPr>
        <a:xfrm>
          <a:off x="3533775" y="790575"/>
          <a:ext cx="2895600" cy="514350"/>
        </a:xfrm>
        <a:prstGeom prst="roundRect">
          <a:avLst/>
        </a:prstGeom>
        <a:noFill/>
        <a:ln>
          <a:solidFill>
            <a:srgbClr val="C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10</xdr:col>
      <xdr:colOff>0</xdr:colOff>
      <xdr:row>1</xdr:row>
      <xdr:rowOff>0</xdr:rowOff>
    </xdr:from>
    <xdr:to>
      <xdr:col>12</xdr:col>
      <xdr:colOff>590550</xdr:colOff>
      <xdr:row>11</xdr:row>
      <xdr:rowOff>180975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4" name="Add-in 3">
              <a:extLst>
                <a:ext uri="{FF2B5EF4-FFF2-40B4-BE49-F238E27FC236}">
                  <a16:creationId xmlns:a16="http://schemas.microsoft.com/office/drawing/2014/main" id="{00000000-0008-0000-0B00-000004000000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2"/>
            </a:graphicData>
          </a:graphic>
        </xdr:graphicFrame>
      </mc:Choice>
      <mc:Fallback>
        <xdr:pic>
          <xdr:nvPicPr>
            <xdr:cNvPr id="4" name="Add-in 3">
              <a:extLst>
                <a:ext uri="{FF2B5EF4-FFF2-40B4-BE49-F238E27FC236}">
                  <a16:creationId xmlns:a16="http://schemas.microsoft.com/office/drawing/2014/main" id="{00000000-0008-0000-0B00-000004000000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 fPrintsWithSheet="0"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41565</xdr:colOff>
      <xdr:row>0</xdr:row>
      <xdr:rowOff>123826</xdr:rowOff>
    </xdr:from>
    <xdr:to>
      <xdr:col>3</xdr:col>
      <xdr:colOff>371476</xdr:colOff>
      <xdr:row>6</xdr:row>
      <xdr:rowOff>180975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697"/>
        <a:stretch/>
      </xdr:blipFill>
      <xdr:spPr>
        <a:xfrm>
          <a:off x="41565" y="123826"/>
          <a:ext cx="2206336" cy="1200149"/>
        </a:xfrm>
        <a:prstGeom prst="rect">
          <a:avLst/>
        </a:prstGeom>
      </xdr:spPr>
    </xdr:pic>
    <xdr:clientData/>
  </xdr:twoCellAnchor>
  <xdr:twoCellAnchor>
    <xdr:from>
      <xdr:col>5</xdr:col>
      <xdr:colOff>38100</xdr:colOff>
      <xdr:row>4</xdr:row>
      <xdr:rowOff>28575</xdr:rowOff>
    </xdr:from>
    <xdr:to>
      <xdr:col>8</xdr:col>
      <xdr:colOff>1000125</xdr:colOff>
      <xdr:row>6</xdr:row>
      <xdr:rowOff>161925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/>
      </xdr:nvSpPr>
      <xdr:spPr>
        <a:xfrm>
          <a:off x="3533775" y="790575"/>
          <a:ext cx="2895600" cy="514350"/>
        </a:xfrm>
        <a:prstGeom prst="roundRect">
          <a:avLst/>
        </a:prstGeom>
        <a:noFill/>
        <a:ln>
          <a:solidFill>
            <a:srgbClr val="C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10</xdr:col>
      <xdr:colOff>0</xdr:colOff>
      <xdr:row>1</xdr:row>
      <xdr:rowOff>0</xdr:rowOff>
    </xdr:from>
    <xdr:to>
      <xdr:col>12</xdr:col>
      <xdr:colOff>590550</xdr:colOff>
      <xdr:row>11</xdr:row>
      <xdr:rowOff>180975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4" name="Add-in 3">
              <a:extLst>
                <a:ext uri="{FF2B5EF4-FFF2-40B4-BE49-F238E27FC236}">
                  <a16:creationId xmlns:a16="http://schemas.microsoft.com/office/drawing/2014/main" id="{00000000-0008-0000-0C00-000004000000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2"/>
            </a:graphicData>
          </a:graphic>
        </xdr:graphicFrame>
      </mc:Choice>
      <mc:Fallback>
        <xdr:pic>
          <xdr:nvPicPr>
            <xdr:cNvPr id="4" name="Add-in 3">
              <a:extLst>
                <a:ext uri="{FF2B5EF4-FFF2-40B4-BE49-F238E27FC236}">
                  <a16:creationId xmlns:a16="http://schemas.microsoft.com/office/drawing/2014/main" id="{00000000-0008-0000-0C00-000004000000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 fPrintsWithSheet="0"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41565</xdr:colOff>
      <xdr:row>0</xdr:row>
      <xdr:rowOff>123826</xdr:rowOff>
    </xdr:from>
    <xdr:to>
      <xdr:col>3</xdr:col>
      <xdr:colOff>371476</xdr:colOff>
      <xdr:row>6</xdr:row>
      <xdr:rowOff>152400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697"/>
        <a:stretch/>
      </xdr:blipFill>
      <xdr:spPr>
        <a:xfrm>
          <a:off x="41565" y="123826"/>
          <a:ext cx="2206336" cy="1200149"/>
        </a:xfrm>
        <a:prstGeom prst="rect">
          <a:avLst/>
        </a:prstGeom>
      </xdr:spPr>
    </xdr:pic>
    <xdr:clientData/>
  </xdr:twoCellAnchor>
  <xdr:twoCellAnchor>
    <xdr:from>
      <xdr:col>5</xdr:col>
      <xdr:colOff>19050</xdr:colOff>
      <xdr:row>4</xdr:row>
      <xdr:rowOff>28575</xdr:rowOff>
    </xdr:from>
    <xdr:to>
      <xdr:col>8</xdr:col>
      <xdr:colOff>933450</xdr:colOff>
      <xdr:row>6</xdr:row>
      <xdr:rowOff>161925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>
          <a:off x="3524250" y="819150"/>
          <a:ext cx="2847975" cy="514350"/>
        </a:xfrm>
        <a:prstGeom prst="roundRect">
          <a:avLst/>
        </a:prstGeom>
        <a:noFill/>
        <a:ln>
          <a:solidFill>
            <a:srgbClr val="C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10</xdr:col>
      <xdr:colOff>19050</xdr:colOff>
      <xdr:row>1</xdr:row>
      <xdr:rowOff>19050</xdr:rowOff>
    </xdr:from>
    <xdr:to>
      <xdr:col>13</xdr:col>
      <xdr:colOff>0</xdr:colOff>
      <xdr:row>12</xdr:row>
      <xdr:rowOff>9525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14" name="Add-in 13">
              <a:extLst>
                <a:ext uri="{FF2B5EF4-FFF2-40B4-BE49-F238E27FC236}">
                  <a16:creationId xmlns:a16="http://schemas.microsoft.com/office/drawing/2014/main" id="{00000000-0008-0000-0D00-00000E000000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2"/>
            </a:graphicData>
          </a:graphic>
        </xdr:graphicFrame>
      </mc:Choice>
      <mc:Fallback>
        <xdr:pic>
          <xdr:nvPicPr>
            <xdr:cNvPr id="14" name="Add-in 13">
              <a:extLst>
                <a:ext uri="{FF2B5EF4-FFF2-40B4-BE49-F238E27FC236}">
                  <a16:creationId xmlns:a16="http://schemas.microsoft.com/office/drawing/2014/main" id="{00000000-0008-0000-0D00-00000E000000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 fPrintsWithSheet="0"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38100</xdr:colOff>
      <xdr:row>0</xdr:row>
      <xdr:rowOff>123825</xdr:rowOff>
    </xdr:from>
    <xdr:to>
      <xdr:col>3</xdr:col>
      <xdr:colOff>291811</xdr:colOff>
      <xdr:row>6</xdr:row>
      <xdr:rowOff>180974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697"/>
        <a:stretch/>
      </xdr:blipFill>
      <xdr:spPr>
        <a:xfrm>
          <a:off x="38100" y="123825"/>
          <a:ext cx="2206336" cy="1200149"/>
        </a:xfrm>
        <a:prstGeom prst="rect">
          <a:avLst/>
        </a:prstGeom>
      </xdr:spPr>
    </xdr:pic>
    <xdr:clientData/>
  </xdr:twoCellAnchor>
  <xdr:twoCellAnchor>
    <xdr:from>
      <xdr:col>5</xdr:col>
      <xdr:colOff>38100</xdr:colOff>
      <xdr:row>4</xdr:row>
      <xdr:rowOff>28575</xdr:rowOff>
    </xdr:from>
    <xdr:to>
      <xdr:col>8</xdr:col>
      <xdr:colOff>1000125</xdr:colOff>
      <xdr:row>6</xdr:row>
      <xdr:rowOff>161925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3533775" y="790575"/>
          <a:ext cx="2895600" cy="514350"/>
        </a:xfrm>
        <a:prstGeom prst="roundRect">
          <a:avLst/>
        </a:prstGeom>
        <a:noFill/>
        <a:ln>
          <a:solidFill>
            <a:srgbClr val="C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10</xdr:col>
      <xdr:colOff>19050</xdr:colOff>
      <xdr:row>1</xdr:row>
      <xdr:rowOff>19050</xdr:rowOff>
    </xdr:from>
    <xdr:to>
      <xdr:col>13</xdr:col>
      <xdr:colOff>9525</xdr:colOff>
      <xdr:row>11</xdr:row>
      <xdr:rowOff>180975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4" name="Add-in 3">
              <a:extLst>
                <a:ext uri="{FF2B5EF4-FFF2-40B4-BE49-F238E27FC236}">
                  <a16:creationId xmlns:a16="http://schemas.microsoft.com/office/drawing/2014/main" id="{00000000-0008-0000-0E00-000004000000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2"/>
            </a:graphicData>
          </a:graphic>
        </xdr:graphicFrame>
      </mc:Choice>
      <mc:Fallback>
        <xdr:pic>
          <xdr:nvPicPr>
            <xdr:cNvPr id="4" name="Add-in 3">
              <a:extLst>
                <a:ext uri="{FF2B5EF4-FFF2-40B4-BE49-F238E27FC236}">
                  <a16:creationId xmlns:a16="http://schemas.microsoft.com/office/drawing/2014/main" id="{00000000-0008-0000-0E00-000004000000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 fPrintsWithSheet="0"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38100</xdr:colOff>
      <xdr:row>0</xdr:row>
      <xdr:rowOff>123825</xdr:rowOff>
    </xdr:from>
    <xdr:to>
      <xdr:col>3</xdr:col>
      <xdr:colOff>291811</xdr:colOff>
      <xdr:row>6</xdr:row>
      <xdr:rowOff>180974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697"/>
        <a:stretch/>
      </xdr:blipFill>
      <xdr:spPr>
        <a:xfrm>
          <a:off x="38100" y="123825"/>
          <a:ext cx="2206336" cy="1200149"/>
        </a:xfrm>
        <a:prstGeom prst="rect">
          <a:avLst/>
        </a:prstGeom>
      </xdr:spPr>
    </xdr:pic>
    <xdr:clientData/>
  </xdr:twoCellAnchor>
  <xdr:twoCellAnchor>
    <xdr:from>
      <xdr:col>5</xdr:col>
      <xdr:colOff>38100</xdr:colOff>
      <xdr:row>4</xdr:row>
      <xdr:rowOff>28575</xdr:rowOff>
    </xdr:from>
    <xdr:to>
      <xdr:col>8</xdr:col>
      <xdr:colOff>1000125</xdr:colOff>
      <xdr:row>6</xdr:row>
      <xdr:rowOff>161925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SpPr/>
      </xdr:nvSpPr>
      <xdr:spPr>
        <a:xfrm>
          <a:off x="3533775" y="790575"/>
          <a:ext cx="2895600" cy="514350"/>
        </a:xfrm>
        <a:prstGeom prst="roundRect">
          <a:avLst/>
        </a:prstGeom>
        <a:noFill/>
        <a:ln>
          <a:solidFill>
            <a:srgbClr val="C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10</xdr:col>
      <xdr:colOff>0</xdr:colOff>
      <xdr:row>1</xdr:row>
      <xdr:rowOff>0</xdr:rowOff>
    </xdr:from>
    <xdr:to>
      <xdr:col>12</xdr:col>
      <xdr:colOff>590550</xdr:colOff>
      <xdr:row>11</xdr:row>
      <xdr:rowOff>180975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4" name="Add-in 3">
              <a:extLst>
                <a:ext uri="{FF2B5EF4-FFF2-40B4-BE49-F238E27FC236}">
                  <a16:creationId xmlns:a16="http://schemas.microsoft.com/office/drawing/2014/main" id="{00000000-0008-0000-0F00-000004000000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2"/>
            </a:graphicData>
          </a:graphic>
        </xdr:graphicFrame>
      </mc:Choice>
      <mc:Fallback>
        <xdr:pic>
          <xdr:nvPicPr>
            <xdr:cNvPr id="4" name="Add-in 3">
              <a:extLst>
                <a:ext uri="{FF2B5EF4-FFF2-40B4-BE49-F238E27FC236}">
                  <a16:creationId xmlns:a16="http://schemas.microsoft.com/office/drawing/2014/main" id="{00000000-0008-0000-0F00-000004000000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 fPrintsWithSheet="0"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0</xdr:colOff>
      <xdr:row>10</xdr:row>
      <xdr:rowOff>0</xdr:rowOff>
    </xdr:from>
    <xdr:to>
      <xdr:col>23</xdr:col>
      <xdr:colOff>0</xdr:colOff>
      <xdr:row>23</xdr:row>
      <xdr:rowOff>0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2" name="Add-in 1">
              <a:extLst>
                <a:ext uri="{FF2B5EF4-FFF2-40B4-BE49-F238E27FC236}">
                  <a16:creationId xmlns:a16="http://schemas.microsoft.com/office/drawing/2014/main" id="{00000000-0008-0000-1000-000002000000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1"/>
            </a:graphicData>
          </a:graphic>
        </xdr:graphicFrame>
      </mc:Choice>
      <mc:Fallback>
        <xdr:pic>
          <xdr:nvPicPr>
            <xdr:cNvPr id="2" name="Add-in 1">
              <a:extLst>
                <a:ext uri="{FF2B5EF4-FFF2-40B4-BE49-F238E27FC236}">
                  <a16:creationId xmlns:a16="http://schemas.microsoft.com/office/drawing/2014/main" id="{00000000-0008-0000-1000-000002000000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 fPrintsWithSheet="0"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18.xml"/><Relationship Id="rId2" Type="http://schemas.microsoft.com/office/2011/relationships/webextension" Target="webextension17.xml"/><Relationship Id="rId1" Type="http://schemas.microsoft.com/office/2011/relationships/webextension" Target="webextension16.xml"/><Relationship Id="rId4" Type="http://schemas.microsoft.com/office/2011/relationships/webextension" Target="webextension19.xml"/></Relationships>
</file>

<file path=xl/webextensions/_rels/webextension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webextensions/_rels/webextension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6.png"/></Relationships>
</file>

<file path=xl/webextensions/_rels/webextension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png"/></Relationships>
</file>

<file path=xl/webextensions/_rels/webextension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6.png"/></Relationships>
</file>

<file path=xl/webextensions/_rels/webextension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png"/></Relationships>
</file>

<file path=xl/webextensions/_rels/webextension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2.png"/></Relationships>
</file>

<file path=xl/webextensions/_rels/webextension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png"/></Relationships>
</file>

<file path=xl/webextensions/_rels/webextension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2.png"/></Relationships>
</file>

<file path=xl/webextensions/_rels/webextension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png"/></Relationships>
</file>

<file path=xl/webextensions/_rels/webextension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2.png"/></Relationships>
</file>

<file path=xl/webextensions/_rels/webextension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2.png"/></Relationships>
</file>

<file path=xl/webextensions/_rels/webextension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6.png"/></Relationships>
</file>

<file path=xl/webextensions/_rels/webextension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webextensions/_rels/webextension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png"/></Relationships>
</file>

<file path=xl/webextensions/_rels/webextension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webextensions/taskpanes.xml><?xml version="1.0" encoding="utf-8"?>
<wetp:taskpanes xmlns:wetp="http://schemas.microsoft.com/office/webextensions/taskpanes/2010/11">
  <wetp:taskpane dockstate="right" visibility="0" width="350" row="4">
    <wetp:webextensionref xmlns:r="http://schemas.openxmlformats.org/officeDocument/2006/relationships" r:id="rId1"/>
  </wetp:taskpane>
  <wetp:taskpane dockstate="right" visibility="0" width="350" row="5">
    <wetp:webextensionref xmlns:r="http://schemas.openxmlformats.org/officeDocument/2006/relationships" r:id="rId2"/>
  </wetp:taskpane>
  <wetp:taskpane dockstate="right" visibility="0" width="350" row="6">
    <wetp:webextensionref xmlns:r="http://schemas.openxmlformats.org/officeDocument/2006/relationships" r:id="rId3"/>
  </wetp:taskpane>
  <wetp:taskpane dockstate="right" visibility="0" width="350" row="7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00000000-0008-0000-0200-000030000000}">
  <we:reference id="wa102957665" version="1.3.0.0" store="en-US" storeType="OMEX"/>
  <we:alternateReferences>
    <we:reference id="WA102957665" version="1.3.0.0" store="WA102957665" storeType="OMEX"/>
  </we:alternateReferences>
  <we:properties>
    <we:property name="opt_cal_sys" value="1"/>
    <we:property name="opt_wn" value="false"/>
    <we:property name="opt_theme" value="3"/>
    <we:property name="opt_size" value="1"/>
    <we:property name="opt_confirm" value="true"/>
  </we:properties>
  <we:bindings/>
  <we:snapshot xmlns:r="http://schemas.openxmlformats.org/officeDocument/2006/relationships" r:embed="rId1"/>
</we:webextension>
</file>

<file path=xl/webextensions/webextension2.xml><?xml version="1.0" encoding="utf-8"?>
<we:webextension xmlns:we="http://schemas.microsoft.com/office/webextensions/webextension/2010/11" id="{00000000-0008-0000-0300-000004000000}">
  <we:reference id="wa102957665" version="1.3.0.0" store="en-US" storeType="OMEX"/>
  <we:alternateReferences>
    <we:reference id="WA102957665" version="1.3.0.0" store="" storeType="OMEX"/>
  </we:alternateReferences>
  <we:properties>
    <we:property name="opt_cal_sys" value="1"/>
    <we:property name="opt_wn" value="false"/>
    <we:property name="opt_theme" value="1"/>
    <we:property name="opt_size" value="0"/>
    <we:property name="opt_confirm" value="true"/>
  </we:properties>
  <we:bindings/>
  <we:snapshot xmlns:r="http://schemas.openxmlformats.org/officeDocument/2006/relationships" r:embed="rId1"/>
</we:webextension>
</file>

<file path=xl/webextensions/webextension3.xml><?xml version="1.0" encoding="utf-8"?>
<we:webextension xmlns:we="http://schemas.microsoft.com/office/webextensions/webextension/2010/11" id="{00000000-0008-0000-0400-000003000000}">
  <we:reference id="wa102957665" version="1.3.0.0" store="en-US" storeType="OMEX"/>
  <we:alternateReferences>
    <we:reference id="WA102957665" version="1.3.0.0" store="" storeType="OMEX"/>
  </we:alternateReferences>
  <we:properties>
    <we:property name="opt_cal_sys" value="1"/>
    <we:property name="opt_wn" value="false"/>
    <we:property name="opt_theme" value="1"/>
    <we:property name="opt_size" value="0"/>
    <we:property name="opt_confirm" value="true"/>
  </we:properties>
  <we:bindings/>
  <we:snapshot xmlns:r="http://schemas.openxmlformats.org/officeDocument/2006/relationships" r:embed="rId1"/>
</we:webextension>
</file>

<file path=xl/webextensions/webextension4.xml><?xml version="1.0" encoding="utf-8"?>
<we:webextension xmlns:we="http://schemas.microsoft.com/office/webextensions/webextension/2010/11" id="{00000000-0008-0000-0500-000004000000}">
  <we:reference id="wa102957665" version="1.3.0.0" store="en-US" storeType="OMEX"/>
  <we:alternateReferences>
    <we:reference id="WA102957665" version="1.3.0.0" store="" storeType="OMEX"/>
  </we:alternateReferences>
  <we:properties>
    <we:property name="opt_cal_sys" value="1"/>
    <we:property name="opt_wn" value="false"/>
    <we:property name="opt_theme" value="1"/>
    <we:property name="opt_size" value="0"/>
    <we:property name="opt_confirm" value="true"/>
  </we:properties>
  <we:bindings/>
  <we:snapshot xmlns:r="http://schemas.openxmlformats.org/officeDocument/2006/relationships" r:embed="rId1"/>
</we:webextension>
</file>

<file path=xl/webextensions/webextension5.xml><?xml version="1.0" encoding="utf-8"?>
<we:webextension xmlns:we="http://schemas.microsoft.com/office/webextensions/webextension/2010/11" id="{00000000-0008-0000-0600-000004000000}">
  <we:reference id="wa102957665" version="1.3.0.0" store="en-US" storeType="OMEX"/>
  <we:alternateReferences>
    <we:reference id="WA102957665" version="1.3.0.0" store="" storeType="OMEX"/>
  </we:alternateReferences>
  <we:properties>
    <we:property name="opt_cal_sys" value="1"/>
    <we:property name="opt_wn" value="false"/>
    <we:property name="opt_theme" value="1"/>
    <we:property name="opt_size" value="0"/>
    <we:property name="opt_confirm" value="true"/>
  </we:properties>
  <we:bindings/>
  <we:snapshot xmlns:r="http://schemas.openxmlformats.org/officeDocument/2006/relationships" r:embed="rId1"/>
</we:webextension>
</file>

<file path=xl/webextensions/webextension6.xml><?xml version="1.0" encoding="utf-8"?>
<we:webextension xmlns:we="http://schemas.microsoft.com/office/webextensions/webextension/2010/11" id="{00000000-0008-0000-0700-000004000000}">
  <we:reference id="wa102957665" version="1.3.0.0" store="en-US" storeType="OMEX"/>
  <we:alternateReferences>
    <we:reference id="WA102957665" version="1.3.0.0" store="" storeType="OMEX"/>
  </we:alternateReferences>
  <we:properties>
    <we:property name="opt_cal_sys" value="1"/>
    <we:property name="opt_wn" value="false"/>
    <we:property name="opt_theme" value="1"/>
    <we:property name="opt_size" value="0"/>
    <we:property name="opt_confirm" value="true"/>
  </we:properties>
  <we:bindings/>
  <we:snapshot xmlns:r="http://schemas.openxmlformats.org/officeDocument/2006/relationships" r:embed="rId1"/>
</we:webextension>
</file>

<file path=xl/webextensions/webextension7.xml><?xml version="1.0" encoding="utf-8"?>
<we:webextension xmlns:we="http://schemas.microsoft.com/office/webextensions/webextension/2010/11" id="{00000000-0008-0000-0800-000004000000}">
  <we:reference id="wa102957665" version="1.3.0.0" store="en-US" storeType="OMEX"/>
  <we:alternateReferences>
    <we:reference id="WA102957665" version="1.3.0.0" store="" storeType="OMEX"/>
  </we:alternateReferences>
  <we:properties>
    <we:property name="opt_cal_sys" value="1"/>
    <we:property name="opt_wn" value="false"/>
    <we:property name="opt_theme" value="1"/>
    <we:property name="opt_size" value="0"/>
    <we:property name="opt_confirm" value="true"/>
  </we:properties>
  <we:bindings/>
  <we:snapshot xmlns:r="http://schemas.openxmlformats.org/officeDocument/2006/relationships" r:embed="rId1"/>
</we:webextension>
</file>

<file path=xl/webextensions/webextension8.xml><?xml version="1.0" encoding="utf-8"?>
<we:webextension xmlns:we="http://schemas.microsoft.com/office/webextensions/webextension/2010/11" id="{00000000-0008-0000-0900-000004000000}">
  <we:reference id="wa102957665" version="1.3.0.0" store="en-US" storeType="OMEX"/>
  <we:alternateReferences>
    <we:reference id="WA102957665" version="1.3.0.0" store="" storeType="OMEX"/>
  </we:alternateReferences>
  <we:properties>
    <we:property name="opt_cal_sys" value="1"/>
    <we:property name="opt_wn" value="false"/>
    <we:property name="opt_theme" value="1"/>
    <we:property name="opt_size" value="0"/>
    <we:property name="opt_confirm" value="true"/>
  </we:properties>
  <we:bindings/>
  <we:snapshot xmlns:r="http://schemas.openxmlformats.org/officeDocument/2006/relationships" r:embed="rId1"/>
</we:webextension>
</file>

<file path=xl/webextensions/webextension9.xml><?xml version="1.0" encoding="utf-8"?>
<we:webextension xmlns:we="http://schemas.microsoft.com/office/webextensions/webextension/2010/11" id="{00000000-0008-0000-0A00-000004000000}">
  <we:reference id="wa102957665" version="1.3.0.0" store="en-US" storeType="OMEX"/>
  <we:alternateReferences>
    <we:reference id="WA102957665" version="1.3.0.0" store="" storeType="OMEX"/>
  </we:alternateReferences>
  <we:properties>
    <we:property name="opt_cal_sys" value="1"/>
    <we:property name="opt_wn" value="false"/>
    <we:property name="opt_theme" value="1"/>
    <we:property name="opt_size" value="0"/>
    <we:property name="opt_confirm" value="true"/>
  </we:properties>
  <we:bindings/>
  <we:snapshot xmlns:r="http://schemas.openxmlformats.org/officeDocument/2006/relationships" r:embed="rId1"/>
</we:webextension>
</file>

<file path=xl/webextensions/webextension10.xml><?xml version="1.0" encoding="utf-8"?>
<we:webextension xmlns:we="http://schemas.microsoft.com/office/webextensions/webextension/2010/11" id="{00000000-0008-0000-0B00-000004000000}">
  <we:reference id="wa102957665" version="1.3.0.0" store="en-US" storeType="OMEX"/>
  <we:alternateReferences>
    <we:reference id="WA102957665" version="1.3.0.0" store="" storeType="OMEX"/>
  </we:alternateReferences>
  <we:properties>
    <we:property name="opt_cal_sys" value="1"/>
    <we:property name="opt_wn" value="false"/>
    <we:property name="opt_theme" value="1"/>
    <we:property name="opt_size" value="0"/>
    <we:property name="opt_confirm" value="true"/>
  </we:properties>
  <we:bindings/>
  <we:snapshot xmlns:r="http://schemas.openxmlformats.org/officeDocument/2006/relationships" r:embed="rId1"/>
</we:webextension>
</file>

<file path=xl/webextensions/webextension11.xml><?xml version="1.0" encoding="utf-8"?>
<we:webextension xmlns:we="http://schemas.microsoft.com/office/webextensions/webextension/2010/11" id="{00000000-0008-0000-0C00-000004000000}">
  <we:reference id="wa102957665" version="1.3.0.0" store="en-US" storeType="OMEX"/>
  <we:alternateReferences>
    <we:reference id="WA102957665" version="1.3.0.0" store="" storeType="OMEX"/>
  </we:alternateReferences>
  <we:properties>
    <we:property name="opt_cal_sys" value="1"/>
    <we:property name="opt_wn" value="false"/>
    <we:property name="opt_theme" value="1"/>
    <we:property name="opt_size" value="0"/>
    <we:property name="opt_confirm" value="true"/>
  </we:properties>
  <we:bindings/>
  <we:snapshot xmlns:r="http://schemas.openxmlformats.org/officeDocument/2006/relationships" r:embed="rId1"/>
</we:webextension>
</file>

<file path=xl/webextensions/webextension12.xml><?xml version="1.0" encoding="utf-8"?>
<we:webextension xmlns:we="http://schemas.microsoft.com/office/webextensions/webextension/2010/11" id="{00000000-0008-0000-0D00-00000E000000}">
  <we:reference id="wa102957665" version="1.3.0.0" store="en-US" storeType="OMEX"/>
  <we:alternateReferences>
    <we:reference id="WA102957665" version="1.3.0.0" store="" storeType="OMEX"/>
  </we:alternateReferences>
  <we:properties>
    <we:property name="opt_cal_sys" value="1"/>
    <we:property name="opt_wn" value="false"/>
    <we:property name="opt_theme" value="1"/>
    <we:property name="opt_size" value="0"/>
    <we:property name="opt_confirm" value="true"/>
  </we:properties>
  <we:bindings/>
  <we:snapshot xmlns:r="http://schemas.openxmlformats.org/officeDocument/2006/relationships" r:embed="rId1"/>
</we:webextension>
</file>

<file path=xl/webextensions/webextension13.xml><?xml version="1.0" encoding="utf-8"?>
<we:webextension xmlns:we="http://schemas.microsoft.com/office/webextensions/webextension/2010/11" id="{00000000-0008-0000-0E00-000004000000}">
  <we:reference id="wa102957665" version="1.3.0.0" store="en-US" storeType="OMEX"/>
  <we:alternateReferences>
    <we:reference id="WA102957665" version="1.3.0.0" store="" storeType="OMEX"/>
  </we:alternateReferences>
  <we:properties>
    <we:property name="opt_cal_sys" value="1"/>
    <we:property name="opt_wn" value="false"/>
    <we:property name="opt_theme" value="1"/>
    <we:property name="opt_size" value="0"/>
    <we:property name="opt_confirm" value="true"/>
  </we:properties>
  <we:bindings/>
  <we:snapshot xmlns:r="http://schemas.openxmlformats.org/officeDocument/2006/relationships" r:embed="rId1"/>
</we:webextension>
</file>

<file path=xl/webextensions/webextension14.xml><?xml version="1.0" encoding="utf-8"?>
<we:webextension xmlns:we="http://schemas.microsoft.com/office/webextensions/webextension/2010/11" id="{00000000-0008-0000-0F00-000004000000}">
  <we:reference id="wa102957665" version="1.3.0.0" store="en-US" storeType="OMEX"/>
  <we:alternateReferences>
    <we:reference id="WA102957665" version="1.3.0.0" store="" storeType="OMEX"/>
  </we:alternateReferences>
  <we:properties>
    <we:property name="opt_cal_sys" value="1"/>
    <we:property name="opt_wn" value="false"/>
    <we:property name="opt_theme" value="1"/>
    <we:property name="opt_size" value="0"/>
    <we:property name="opt_confirm" value="true"/>
  </we:properties>
  <we:bindings/>
  <we:snapshot xmlns:r="http://schemas.openxmlformats.org/officeDocument/2006/relationships" r:embed="rId1"/>
</we:webextension>
</file>

<file path=xl/webextensions/webextension15.xml><?xml version="1.0" encoding="utf-8"?>
<we:webextension xmlns:we="http://schemas.microsoft.com/office/webextensions/webextension/2010/11" id="{00000000-0008-0000-1000-000002000000}">
  <we:reference id="wa102957665" version="1.3.0.0" store="en-US" storeType="OMEX"/>
  <we:alternateReferences>
    <we:reference id="WA102957665" version="1.3.0.0" store="" storeType="OMEX"/>
  </we:alternateReferences>
  <we:properties>
    <we:property name="opt_cal_sys" value="1"/>
    <we:property name="opt_wn" value="false"/>
    <we:property name="opt_theme" value="1"/>
    <we:property name="opt_size" value="0"/>
    <we:property name="opt_confirm" value="true"/>
  </we:properties>
  <we:bindings/>
  <we:snapshot xmlns:r="http://schemas.openxmlformats.org/officeDocument/2006/relationships" r:embed="rId1"/>
</we:webextension>
</file>

<file path=xl/webextensions/webextension16.xml><?xml version="1.0" encoding="utf-8"?>
<we:webextension xmlns:we="http://schemas.microsoft.com/office/webextensions/webextension/2010/11" id="{FBD73255-C392-485F-BEA4-A5E0A870E639}">
  <we:reference id="wa104379629" version="1.3.0.0" store="en-US" storeType="OMEX"/>
  <we:alternateReferences>
    <we:reference id="WA104379629" version="1.3.0.0" store="WA104379629" storeType="OMEX"/>
  </we:alternateReferences>
  <we:properties>
    <we:property name="RuntimeConfig" value="{&quot;HostName&quot;:&quot;&quot;,&quot;Applets&quot;:{},&quot;ActiveAppletId&quot;:&quot;&quot;,&quot;Language&quot;:&quot;EN&quot;,&quot;DocumentId&quot;:&quot;19807ccb-82c7-4771-84ef-ca90f65fc9c0&quot;,&quot;DateCreated&quot;:&quot;2021-06-21T17:39:01.409Z&quot;,&quot;GenerationActivityId&quot;:&quot;&quot;}"/>
    <we:property name="Features" value="{&quot;LogDomEvents&quot;:false,&quot;LogTelemetry&quot;:true}"/>
  </we:properties>
  <we:bindings/>
  <we:snapshot xmlns:r="http://schemas.openxmlformats.org/officeDocument/2006/relationships"/>
</we:webextension>
</file>

<file path=xl/webextensions/webextension17.xml><?xml version="1.0" encoding="utf-8"?>
<we:webextension xmlns:we="http://schemas.microsoft.com/office/webextensions/webextension/2010/11" id="{7BDF60DC-ED9B-440A-BE7B-A8ABFFC18F81}">
  <we:reference id="wa200001095" version="1.0.0.4" store="en-US" storeType="OMEX"/>
  <we:alternateReferences>
    <we:reference id="WA200001095" version="1.0.0.4" store="WA200001095" storeType="OMEX"/>
  </we:alternateReferences>
  <we:properties>
    <we:property name="Office.AutoShowTaskpaneWithDocument" value="false"/>
    <we:property name="gantt_start" value="&quot;2024-04-05T00:00&quot;"/>
    <we:property name="version" value="&quot;2.0&quot;"/>
    <we:property name="gantt_zoom" value="0"/>
    <we:property name="progress_column" value="false"/>
    <we:property name="progress_gantt" value="false"/>
    <we:property name="critical_gantt" value="false"/>
    <we:property name="slack_gantt" value="false"/>
  </we:properties>
  <we:bindings/>
  <we:snapshot xmlns:r="http://schemas.openxmlformats.org/officeDocument/2006/relationships"/>
</we:webextension>
</file>

<file path=xl/webextensions/webextension18.xml><?xml version="1.0" encoding="utf-8"?>
<we:webextension xmlns:we="http://schemas.microsoft.com/office/webextensions/webextension/2010/11" id="{CA32A739-4009-40C8-87A1-B1979198E042}">
  <we:reference id="wa104199815" version="1.0.0.1" store="en-US" storeType="OMEX"/>
  <we:alternateReferences>
    <we:reference id="WA104199815" version="1.0.0.1" store="WA104199815" storeType="OMEX"/>
  </we:alternateReferences>
  <we:properties/>
  <we:bindings/>
  <we:snapshot xmlns:r="http://schemas.openxmlformats.org/officeDocument/2006/relationships"/>
</we:webextension>
</file>

<file path=xl/webextensions/webextension19.xml><?xml version="1.0" encoding="utf-8"?>
<we:webextension xmlns:we="http://schemas.microsoft.com/office/webextensions/webextension/2010/11" id="{DEFDAFA4-86FA-44D9-9494-99F6B67DD9E5}">
  <we:reference id="wa104006972" version="1.0.0.0" store="en-US" storeType="OMEX"/>
  <we:alternateReferences>
    <we:reference id="WA104006972" version="1.0.0.0" store="WA10400697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mailto:cbistihas@hotmail.com" TargetMode="External"/><Relationship Id="rId13" Type="http://schemas.openxmlformats.org/officeDocument/2006/relationships/hyperlink" Target="mailto:info@euroshieldroofing.com" TargetMode="External"/><Relationship Id="rId18" Type="http://schemas.openxmlformats.org/officeDocument/2006/relationships/hyperlink" Target="mailto:orders.calgarysouth@roofmart.ca" TargetMode="External"/><Relationship Id="rId26" Type="http://schemas.openxmlformats.org/officeDocument/2006/relationships/hyperlink" Target="mailto:adams@liftex.ca" TargetMode="External"/><Relationship Id="rId3" Type="http://schemas.openxmlformats.org/officeDocument/2006/relationships/hyperlink" Target="mailto:sam@acepaintingcalgary.com" TargetMode="External"/><Relationship Id="rId21" Type="http://schemas.openxmlformats.org/officeDocument/2006/relationships/hyperlink" Target="mailto:info@jaysmetal.net" TargetMode="External"/><Relationship Id="rId34" Type="http://schemas.openxmlformats.org/officeDocument/2006/relationships/hyperlink" Target="mailto:orderdeskcalgary@saint-gobain.com" TargetMode="External"/><Relationship Id="rId7" Type="http://schemas.openxmlformats.org/officeDocument/2006/relationships/hyperlink" Target="mailto:eagleseyerenovations@gmail.com" TargetMode="External"/><Relationship Id="rId12" Type="http://schemas.openxmlformats.org/officeDocument/2006/relationships/hyperlink" Target="mailto:desk1@jaysmetal.com" TargetMode="External"/><Relationship Id="rId17" Type="http://schemas.openxmlformats.org/officeDocument/2006/relationships/hyperlink" Target="mailto:calgaryroofing@monarchcentres.com" TargetMode="External"/><Relationship Id="rId25" Type="http://schemas.openxmlformats.org/officeDocument/2006/relationships/hyperlink" Target="mailto:Allen@megaroofing.ca" TargetMode="External"/><Relationship Id="rId33" Type="http://schemas.openxmlformats.org/officeDocument/2006/relationships/hyperlink" Target="mailto:Thomas.DePauw@saint-gobain.com" TargetMode="External"/><Relationship Id="rId2" Type="http://schemas.openxmlformats.org/officeDocument/2006/relationships/hyperlink" Target="mailto:Heather.Harms@QXO.com" TargetMode="External"/><Relationship Id="rId16" Type="http://schemas.openxmlformats.org/officeDocument/2006/relationships/hyperlink" Target="mailto:Dustin_MacPherson@hotmail.com" TargetMode="External"/><Relationship Id="rId20" Type="http://schemas.openxmlformats.org/officeDocument/2006/relationships/hyperlink" Target="mailto:lisa.darwent@abcsupply.com" TargetMode="External"/><Relationship Id="rId29" Type="http://schemas.openxmlformats.org/officeDocument/2006/relationships/hyperlink" Target="mailto:mike@peakscaffold.com" TargetMode="External"/><Relationship Id="rId1" Type="http://schemas.openxmlformats.org/officeDocument/2006/relationships/hyperlink" Target="mailto:calgary@convoy-supply.com" TargetMode="External"/><Relationship Id="rId6" Type="http://schemas.openxmlformats.org/officeDocument/2006/relationships/hyperlink" Target="mailto:donquiring@gmail.com" TargetMode="External"/><Relationship Id="rId11" Type="http://schemas.openxmlformats.org/officeDocument/2006/relationships/hyperlink" Target="mailto:postmaster@teaminsulation.com" TargetMode="External"/><Relationship Id="rId24" Type="http://schemas.openxmlformats.org/officeDocument/2006/relationships/hyperlink" Target="mailto:Ryandeyle@yahoo.com" TargetMode="External"/><Relationship Id="rId32" Type="http://schemas.openxmlformats.org/officeDocument/2006/relationships/hyperlink" Target="mailto:Maria.Creencia@saint-gobain.com" TargetMode="External"/><Relationship Id="rId37" Type="http://schemas.openxmlformats.org/officeDocument/2006/relationships/printerSettings" Target="../printerSettings/printerSettings1.bin"/><Relationship Id="rId5" Type="http://schemas.openxmlformats.org/officeDocument/2006/relationships/hyperlink" Target="mailto:info@peakscaffold.com" TargetMode="External"/><Relationship Id="rId15" Type="http://schemas.openxmlformats.org/officeDocument/2006/relationships/hyperlink" Target="mailto:marina@waynebp.com" TargetMode="External"/><Relationship Id="rId23" Type="http://schemas.openxmlformats.org/officeDocument/2006/relationships/hyperlink" Target="mailto:joshuadboland@gmail.com" TargetMode="External"/><Relationship Id="rId28" Type="http://schemas.openxmlformats.org/officeDocument/2006/relationships/hyperlink" Target="mailto:klanglois@cooperequipment.ca" TargetMode="External"/><Relationship Id="rId36" Type="http://schemas.openxmlformats.org/officeDocument/2006/relationships/hyperlink" Target="mailto:gsc455@gentek.ca" TargetMode="External"/><Relationship Id="rId10" Type="http://schemas.openxmlformats.org/officeDocument/2006/relationships/hyperlink" Target="mailto:info@homeinsulators.com" TargetMode="External"/><Relationship Id="rId19" Type="http://schemas.openxmlformats.org/officeDocument/2006/relationships/hyperlink" Target="mailto:orders.calgarynorth@roofmart.ca" TargetMode="External"/><Relationship Id="rId31" Type="http://schemas.openxmlformats.org/officeDocument/2006/relationships/hyperlink" Target="mailto:Shelby.Ensign@saint-gobain.com" TargetMode="External"/><Relationship Id="rId4" Type="http://schemas.openxmlformats.org/officeDocument/2006/relationships/hyperlink" Target="mailto:brandonj@armourscaffold.ca" TargetMode="External"/><Relationship Id="rId9" Type="http://schemas.openxmlformats.org/officeDocument/2006/relationships/hyperlink" Target="mailto:info@e-quipsolutions.ca" TargetMode="External"/><Relationship Id="rId14" Type="http://schemas.openxmlformats.org/officeDocument/2006/relationships/hyperlink" Target="mailto:orderdeskcalgary@kaycan.com" TargetMode="External"/><Relationship Id="rId22" Type="http://schemas.openxmlformats.org/officeDocument/2006/relationships/hyperlink" Target="mailto:info@euroshieldroofing.com" TargetMode="External"/><Relationship Id="rId27" Type="http://schemas.openxmlformats.org/officeDocument/2006/relationships/hyperlink" Target="mailto:Simon.Gibson@sunbeltrentals.com" TargetMode="External"/><Relationship Id="rId30" Type="http://schemas.openxmlformats.org/officeDocument/2006/relationships/hyperlink" Target="mailto:Darin.Koch@saint-gobain.com" TargetMode="External"/><Relationship Id="rId35" Type="http://schemas.openxmlformats.org/officeDocument/2006/relationships/hyperlink" Target="mailto:hilarioalex298@yahoo.com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s://www.rona.ca/en/product/atlantic-ail-62-x-30-in-metal-window-well-cover-wwf1570760cv-22395050" TargetMode="External"/><Relationship Id="rId1" Type="http://schemas.openxmlformats.org/officeDocument/2006/relationships/hyperlink" Target="https://www.homedepot.ca/product/bel-air-lighting-pershing-7-inch-1-light-white-outdoor-wall-light-with-opal-glass/1001757391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ca.kayak.com/horizon/sem/brand/general?lang=en&amp;utm_campaign=kayak&amp;utm_content=ExactMatch+-+kayak&amp;utm_medium=cpc&amp;utm_source=bing&amp;utm_term=kayak&amp;skipapp=true" TargetMode="External"/><Relationship Id="rId13" Type="http://schemas.openxmlformats.org/officeDocument/2006/relationships/hyperlink" Target="https://www.ca.kayak.com/horizon/sem/brand/general?lang=en&amp;utm_campaign=kayak&amp;utm_content=ExactMatch+-+kayak&amp;utm_medium=cpc&amp;utm_source=bing&amp;utm_term=kayak&amp;skipapp=true" TargetMode="External"/><Relationship Id="rId18" Type="http://schemas.openxmlformats.org/officeDocument/2006/relationships/drawing" Target="../drawings/drawing1.xml"/><Relationship Id="rId3" Type="http://schemas.openxmlformats.org/officeDocument/2006/relationships/hyperlink" Target="https://www.sunbeltrentals.com/equipment/cat/2/aerial-work-platforms-scaffolding-and-ladders/" TargetMode="External"/><Relationship Id="rId21" Type="http://schemas.openxmlformats.org/officeDocument/2006/relationships/ctrlProp" Target="../ctrlProps/ctrlProp1.xml"/><Relationship Id="rId7" Type="http://schemas.openxmlformats.org/officeDocument/2006/relationships/hyperlink" Target="https://www.ca.kayak.com/horizon/sem/brand/general?lang=en&amp;utm_campaign=kayak&amp;utm_content=ExactMatch+-+kayak&amp;utm_medium=cpc&amp;utm_source=bing&amp;utm_term=kayak&amp;skipapp=true" TargetMode="External"/><Relationship Id="rId12" Type="http://schemas.openxmlformats.org/officeDocument/2006/relationships/hyperlink" Target="https://www.google.ca/maps?hl=en" TargetMode="External"/><Relationship Id="rId17" Type="http://schemas.openxmlformats.org/officeDocument/2006/relationships/printerSettings" Target="../printerSettings/printerSettings3.bin"/><Relationship Id="rId25" Type="http://schemas.openxmlformats.org/officeDocument/2006/relationships/comments" Target="../comments2.xml"/><Relationship Id="rId2" Type="http://schemas.openxmlformats.org/officeDocument/2006/relationships/hyperlink" Target="https://www.google.ca/maps?hl=en" TargetMode="External"/><Relationship Id="rId16" Type="http://schemas.openxmlformats.org/officeDocument/2006/relationships/hyperlink" Target="https://www.ca.kayak.com/horizon/sem/brand/general?lang=en&amp;utm_campaign=kayak&amp;utm_content=ExactMatch+-+kayak&amp;utm_medium=cpc&amp;utm_source=bing&amp;utm_term=kayak&amp;skipapp=true" TargetMode="External"/><Relationship Id="rId20" Type="http://schemas.openxmlformats.org/officeDocument/2006/relationships/image" Target="../media/image1.png"/><Relationship Id="rId1" Type="http://schemas.openxmlformats.org/officeDocument/2006/relationships/hyperlink" Target="https://www.ca.kayak.com/horizon/sem/brand/general?lang=en&amp;utm_campaign=kayak&amp;utm_content=ExactMatch+-+kayak&amp;utm_medium=cpc&amp;utm_source=bing&amp;utm_term=kayak&amp;skipapp=true" TargetMode="External"/><Relationship Id="rId6" Type="http://schemas.openxmlformats.org/officeDocument/2006/relationships/hyperlink" Target="https://www.google.ca/maps?hl=en" TargetMode="External"/><Relationship Id="rId11" Type="http://schemas.openxmlformats.org/officeDocument/2006/relationships/hyperlink" Target="https://www.ca.kayak.com/horizon/sem/brand/general?lang=en&amp;utm_campaign=kayak&amp;utm_content=ExactMatch+-+kayak&amp;utm_medium=cpc&amp;utm_source=bing&amp;utm_term=kayak&amp;skipapp=true" TargetMode="External"/><Relationship Id="rId24" Type="http://schemas.openxmlformats.org/officeDocument/2006/relationships/ctrlProp" Target="../ctrlProps/ctrlProp4.xml"/><Relationship Id="rId5" Type="http://schemas.openxmlformats.org/officeDocument/2006/relationships/hyperlink" Target="https://www.ca.kayak.com/horizon/sem/brand/general?lang=en&amp;utm_campaign=kayak&amp;utm_content=ExactMatch+-+kayak&amp;utm_medium=cpc&amp;utm_source=bing&amp;utm_term=kayak&amp;skipapp=true" TargetMode="External"/><Relationship Id="rId15" Type="http://schemas.openxmlformats.org/officeDocument/2006/relationships/hyperlink" Target="https://www.google.ca/maps?hl=en" TargetMode="External"/><Relationship Id="rId23" Type="http://schemas.openxmlformats.org/officeDocument/2006/relationships/ctrlProp" Target="../ctrlProps/ctrlProp3.xml"/><Relationship Id="rId10" Type="http://schemas.openxmlformats.org/officeDocument/2006/relationships/hyperlink" Target="https://www.ca.kayak.com/horizon/sem/brand/general?lang=en&amp;utm_campaign=kayak&amp;utm_content=ExactMatch+-+kayak&amp;utm_medium=cpc&amp;utm_source=bing&amp;utm_term=kayak&amp;skipapp=true" TargetMode="External"/><Relationship Id="rId19" Type="http://schemas.openxmlformats.org/officeDocument/2006/relationships/vmlDrawing" Target="../drawings/vmlDrawing2.vml"/><Relationship Id="rId4" Type="http://schemas.openxmlformats.org/officeDocument/2006/relationships/hyperlink" Target="https://www.ca.kayak.com/horizon/sem/brand/general?lang=en&amp;utm_campaign=kayak&amp;utm_content=ExactMatch+-+kayak&amp;utm_medium=cpc&amp;utm_source=bing&amp;utm_term=kayak&amp;skipapp=true" TargetMode="External"/><Relationship Id="rId9" Type="http://schemas.openxmlformats.org/officeDocument/2006/relationships/hyperlink" Target="https://www.google.ca/maps?hl=en" TargetMode="External"/><Relationship Id="rId14" Type="http://schemas.openxmlformats.org/officeDocument/2006/relationships/hyperlink" Target="https://www.ca.kayak.com/horizon/sem/brand/general?lang=en&amp;utm_campaign=kayak&amp;utm_content=ExactMatch+-+kayak&amp;utm_medium=cpc&amp;utm_source=bing&amp;utm_term=kayak&amp;skipapp=true" TargetMode="External"/><Relationship Id="rId22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mailto:info@megaroofing.ca" TargetMode="External"/><Relationship Id="rId6" Type="http://schemas.openxmlformats.org/officeDocument/2006/relationships/comments" Target="../comments3.xml"/><Relationship Id="rId5" Type="http://schemas.openxmlformats.org/officeDocument/2006/relationships/image" Target="../media/image14.png"/><Relationship Id="rId4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hyperlink" Target="http://www.megaroofing.ca/" TargetMode="External"/><Relationship Id="rId2" Type="http://schemas.openxmlformats.org/officeDocument/2006/relationships/hyperlink" Target="http://www.megaroofing.ca/" TargetMode="External"/><Relationship Id="rId1" Type="http://schemas.openxmlformats.org/officeDocument/2006/relationships/hyperlink" Target="http://www.megaroofing.ca/" TargetMode="Externa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mailto:info@megaroofing.ca" TargetMode="External"/><Relationship Id="rId5" Type="http://schemas.openxmlformats.org/officeDocument/2006/relationships/comments" Target="../comments4.xml"/><Relationship Id="rId4" Type="http://schemas.openxmlformats.org/officeDocument/2006/relationships/vmlDrawing" Target="../drawings/vmlDrawing4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8.bin"/><Relationship Id="rId1" Type="http://schemas.openxmlformats.org/officeDocument/2006/relationships/hyperlink" Target="mailto:info@megaroofing.ca" TargetMode="External"/><Relationship Id="rId5" Type="http://schemas.openxmlformats.org/officeDocument/2006/relationships/comments" Target="../comments5.xml"/><Relationship Id="rId4" Type="http://schemas.openxmlformats.org/officeDocument/2006/relationships/vmlDrawing" Target="../drawings/vmlDrawing5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0.bin"/><Relationship Id="rId1" Type="http://schemas.openxmlformats.org/officeDocument/2006/relationships/hyperlink" Target="mailto:info@megaroofing.ca" TargetMode="External"/><Relationship Id="rId5" Type="http://schemas.openxmlformats.org/officeDocument/2006/relationships/comments" Target="../comments6.xml"/><Relationship Id="rId4" Type="http://schemas.openxmlformats.org/officeDocument/2006/relationships/vmlDrawing" Target="../drawings/vmlDrawing6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2.bin"/><Relationship Id="rId1" Type="http://schemas.openxmlformats.org/officeDocument/2006/relationships/hyperlink" Target="mailto:info@megaroofing.ca" TargetMode="External"/><Relationship Id="rId5" Type="http://schemas.openxmlformats.org/officeDocument/2006/relationships/comments" Target="../comments7.xml"/><Relationship Id="rId4" Type="http://schemas.openxmlformats.org/officeDocument/2006/relationships/vmlDrawing" Target="../drawings/vmlDrawing7.v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3.bin"/><Relationship Id="rId1" Type="http://schemas.openxmlformats.org/officeDocument/2006/relationships/hyperlink" Target="mailto:info@megaroofing.ca" TargetMode="External"/><Relationship Id="rId5" Type="http://schemas.openxmlformats.org/officeDocument/2006/relationships/comments" Target="../comments8.xml"/><Relationship Id="rId4" Type="http://schemas.openxmlformats.org/officeDocument/2006/relationships/vmlDrawing" Target="../drawings/vmlDrawing8.v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4.bin"/><Relationship Id="rId1" Type="http://schemas.openxmlformats.org/officeDocument/2006/relationships/hyperlink" Target="mailto:info@megaroofing.ca" TargetMode="External"/><Relationship Id="rId6" Type="http://schemas.openxmlformats.org/officeDocument/2006/relationships/comments" Target="../comments9.xml"/><Relationship Id="rId5" Type="http://schemas.openxmlformats.org/officeDocument/2006/relationships/image" Target="../media/image23.png"/><Relationship Id="rId4" Type="http://schemas.openxmlformats.org/officeDocument/2006/relationships/vmlDrawing" Target="../drawings/vmlDrawing9.v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172F38-1928-4D15-B15C-DF898F27CCE0}">
  <sheetPr codeName="Sheet4">
    <tabColor rgb="FFC00000"/>
  </sheetPr>
  <dimension ref="A1:BP107"/>
  <sheetViews>
    <sheetView workbookViewId="0"/>
  </sheetViews>
  <sheetFormatPr defaultRowHeight="15" x14ac:dyDescent="0.25"/>
  <cols>
    <col min="1" max="1" width="4.42578125" style="27" customWidth="1"/>
    <col min="2" max="2" width="4.140625" style="29" customWidth="1"/>
    <col min="3" max="3" width="10.7109375" style="29" customWidth="1"/>
    <col min="4" max="4" width="15.85546875" style="29" customWidth="1"/>
    <col min="5" max="5" width="2.140625" style="71" customWidth="1"/>
    <col min="6" max="6" width="24.85546875" customWidth="1"/>
    <col min="7" max="7" width="5.42578125" style="52" customWidth="1"/>
    <col min="8" max="8" width="9.140625" style="60"/>
    <col min="9" max="9" width="7.7109375" style="128" customWidth="1"/>
    <col min="10" max="10" width="2.140625" style="71" customWidth="1"/>
    <col min="11" max="11" width="24.85546875" customWidth="1"/>
    <col min="12" max="12" width="5.42578125" style="52" customWidth="1"/>
    <col min="13" max="13" width="9.140625" style="60"/>
    <col min="14" max="14" width="2.140625" style="148" customWidth="1"/>
    <col min="15" max="15" width="28.85546875" customWidth="1"/>
    <col min="16" max="16" width="5.42578125" style="52" customWidth="1"/>
    <col min="17" max="17" width="9.140625" style="60"/>
    <col min="18" max="18" width="2.140625" style="148" customWidth="1"/>
    <col min="19" max="19" width="28.85546875" customWidth="1"/>
    <col min="20" max="20" width="5.42578125" style="52" customWidth="1"/>
    <col min="21" max="21" width="9.140625" style="60"/>
    <col min="22" max="22" width="2.140625" style="71" customWidth="1"/>
    <col min="23" max="25" width="9.140625" style="111"/>
    <col min="26" max="26" width="6.5703125" style="111" customWidth="1"/>
    <col min="27" max="27" width="10.28515625" style="111" customWidth="1"/>
    <col min="28" max="28" width="2.140625" style="71" customWidth="1"/>
    <col min="29" max="63" width="14.7109375" customWidth="1"/>
    <col min="67" max="67" width="18.5703125" customWidth="1"/>
    <col min="68" max="68" width="9.140625" customWidth="1"/>
  </cols>
  <sheetData>
    <row r="1" spans="1:68" ht="16.5" x14ac:dyDescent="0.25">
      <c r="C1" s="731" t="s">
        <v>10288</v>
      </c>
      <c r="D1" s="731" t="s">
        <v>10287</v>
      </c>
      <c r="E1" s="70"/>
      <c r="F1" s="159"/>
      <c r="G1" s="51" t="s">
        <v>192</v>
      </c>
      <c r="H1" s="125" t="s">
        <v>372</v>
      </c>
      <c r="I1" s="126" t="s">
        <v>865</v>
      </c>
      <c r="J1" s="70"/>
      <c r="K1" s="159"/>
      <c r="L1" s="51" t="s">
        <v>922</v>
      </c>
      <c r="M1" s="125" t="s">
        <v>372</v>
      </c>
      <c r="N1" s="147"/>
      <c r="O1" s="159"/>
      <c r="P1" s="51" t="s">
        <v>180</v>
      </c>
      <c r="Q1" s="125" t="s">
        <v>372</v>
      </c>
      <c r="R1" s="147"/>
      <c r="S1" s="159"/>
      <c r="T1" s="51" t="s">
        <v>395</v>
      </c>
      <c r="U1" s="125" t="s">
        <v>372</v>
      </c>
      <c r="V1" s="70"/>
      <c r="W1" s="1391" t="s">
        <v>1220</v>
      </c>
      <c r="X1" s="1392"/>
      <c r="Y1" s="1392"/>
      <c r="Z1" s="1392"/>
      <c r="AA1" s="1393"/>
      <c r="AB1" s="70"/>
      <c r="AC1" s="1388"/>
      <c r="AD1" s="1389"/>
      <c r="AE1" s="1389"/>
      <c r="AF1" s="1389"/>
      <c r="AG1" s="1389"/>
      <c r="AH1" s="1389"/>
      <c r="AI1" s="1389"/>
      <c r="AJ1" s="1389"/>
      <c r="AK1" s="1389"/>
      <c r="AL1" s="1389"/>
      <c r="AM1" s="1389"/>
      <c r="AN1" s="1389"/>
      <c r="AO1" s="1389"/>
      <c r="AP1" s="1389"/>
      <c r="AQ1" s="1389"/>
      <c r="AR1" s="1389"/>
      <c r="AS1" s="1389"/>
      <c r="AT1" s="1389"/>
      <c r="AU1" s="1389"/>
      <c r="AV1" s="1389"/>
      <c r="AW1" s="1389"/>
      <c r="AX1" s="1389"/>
      <c r="AY1" s="1389"/>
      <c r="AZ1" s="1389"/>
      <c r="BA1" s="1389"/>
      <c r="BB1" s="1389"/>
      <c r="BC1" s="1389"/>
      <c r="BD1" s="1389"/>
      <c r="BE1" s="1389"/>
      <c r="BF1" s="1389"/>
      <c r="BG1" s="1389"/>
      <c r="BH1" s="1389"/>
      <c r="BI1" s="1389"/>
      <c r="BJ1" s="1389"/>
      <c r="BK1" s="1390"/>
      <c r="BL1" s="64"/>
    </row>
    <row r="2" spans="1:68" ht="16.5" customHeight="1" x14ac:dyDescent="0.25">
      <c r="C2" s="741" t="s">
        <v>10292</v>
      </c>
      <c r="D2" s="741" t="s">
        <v>10293</v>
      </c>
      <c r="E2" s="70" t="s">
        <v>888</v>
      </c>
      <c r="F2" s="119" t="s">
        <v>193</v>
      </c>
      <c r="G2" s="120">
        <v>1</v>
      </c>
      <c r="H2" s="124">
        <v>0</v>
      </c>
      <c r="I2" s="127">
        <v>0</v>
      </c>
      <c r="J2" s="70"/>
      <c r="K2" s="119" t="s">
        <v>371</v>
      </c>
      <c r="L2" s="120">
        <v>1</v>
      </c>
      <c r="M2" s="123">
        <v>0</v>
      </c>
      <c r="N2" s="147"/>
      <c r="O2" s="119" t="s">
        <v>382</v>
      </c>
      <c r="P2" s="120">
        <v>1</v>
      </c>
      <c r="Q2" s="123"/>
      <c r="R2" s="147"/>
      <c r="S2" s="119" t="s">
        <v>393</v>
      </c>
      <c r="T2" s="120">
        <v>1</v>
      </c>
      <c r="U2" s="123"/>
      <c r="V2" s="70"/>
      <c r="W2" s="538" t="s">
        <v>365</v>
      </c>
      <c r="X2" s="539"/>
      <c r="Y2" s="539"/>
      <c r="Z2" s="539"/>
      <c r="AA2" s="540"/>
      <c r="AB2" s="70"/>
      <c r="AC2" s="1388" t="s">
        <v>735</v>
      </c>
      <c r="AD2" s="1389"/>
      <c r="AE2" s="1389"/>
      <c r="AF2" s="1389"/>
      <c r="AG2" s="1389"/>
      <c r="AH2" s="1389"/>
      <c r="AI2" s="1389"/>
      <c r="AJ2" s="1389"/>
      <c r="AK2" s="1389"/>
      <c r="AL2" s="1389"/>
      <c r="AM2" s="1389"/>
      <c r="AN2" s="1389"/>
      <c r="AO2" s="1389"/>
      <c r="AP2" s="1389"/>
      <c r="AQ2" s="1389"/>
      <c r="AR2" s="1389"/>
      <c r="AS2" s="1389"/>
      <c r="AT2" s="1389"/>
      <c r="AU2" s="1389"/>
      <c r="AV2" s="1389"/>
      <c r="AW2" s="1389"/>
      <c r="AX2" s="1389"/>
      <c r="AY2" s="1389"/>
      <c r="AZ2" s="1389"/>
      <c r="BA2" s="1389"/>
      <c r="BB2" s="1389"/>
      <c r="BC2" s="1389"/>
      <c r="BD2" s="1389"/>
      <c r="BE2" s="1389"/>
      <c r="BF2" s="1389"/>
      <c r="BG2" s="1389"/>
      <c r="BH2" s="1389"/>
      <c r="BI2" s="1389"/>
      <c r="BJ2" s="1389"/>
      <c r="BK2" s="1390"/>
      <c r="BL2" s="64"/>
    </row>
    <row r="3" spans="1:68" ht="17.25" thickBot="1" x14ac:dyDescent="0.3">
      <c r="C3" s="765" t="s">
        <v>10324</v>
      </c>
      <c r="D3" s="765" t="s">
        <v>10325</v>
      </c>
      <c r="F3" s="732" t="s">
        <v>914</v>
      </c>
      <c r="G3" s="733">
        <v>3</v>
      </c>
      <c r="H3" s="734">
        <v>40.25</v>
      </c>
      <c r="I3" s="735">
        <v>0</v>
      </c>
      <c r="K3" s="737" t="s">
        <v>915</v>
      </c>
      <c r="L3" s="733">
        <v>100</v>
      </c>
      <c r="M3" s="734">
        <v>52.25</v>
      </c>
      <c r="N3" s="148">
        <v>3</v>
      </c>
      <c r="O3" s="732" t="s">
        <v>907</v>
      </c>
      <c r="P3" s="733">
        <v>25</v>
      </c>
      <c r="Q3" s="734">
        <v>52.2</v>
      </c>
      <c r="R3" s="148">
        <v>3</v>
      </c>
      <c r="S3" s="732" t="s">
        <v>10084</v>
      </c>
      <c r="T3" s="733">
        <v>67</v>
      </c>
      <c r="U3" s="734">
        <v>110.5</v>
      </c>
      <c r="W3" s="155" t="s">
        <v>10086</v>
      </c>
      <c r="X3" s="502" t="s">
        <v>10184</v>
      </c>
      <c r="Y3" s="113" t="s">
        <v>336</v>
      </c>
      <c r="Z3" s="110" t="s">
        <v>338</v>
      </c>
      <c r="AA3" s="113" t="s">
        <v>335</v>
      </c>
      <c r="AC3" s="1394" t="s">
        <v>697</v>
      </c>
      <c r="AD3" s="1395"/>
      <c r="AE3" s="1395"/>
      <c r="AF3" s="1395"/>
      <c r="AG3" s="1395"/>
      <c r="AH3" s="1395"/>
      <c r="AI3" s="1395"/>
      <c r="AJ3" s="1395"/>
      <c r="AK3" s="1395"/>
      <c r="AL3" s="1395"/>
      <c r="AM3" s="1395"/>
      <c r="AN3" s="1395"/>
      <c r="AO3" s="1395"/>
      <c r="AP3" s="1395"/>
      <c r="AQ3" s="1395"/>
      <c r="AR3" s="1395"/>
      <c r="AS3" s="1395"/>
      <c r="AT3" s="1395"/>
      <c r="AU3" s="1395"/>
      <c r="AV3" s="1395"/>
      <c r="AW3" s="1395"/>
      <c r="AX3" s="1395"/>
      <c r="AY3" s="1395"/>
      <c r="AZ3" s="1395"/>
      <c r="BA3" s="1395"/>
      <c r="BB3" s="1395"/>
      <c r="BC3" s="1395"/>
      <c r="BD3" s="1395"/>
      <c r="BE3" s="1395"/>
      <c r="BF3" s="1395"/>
      <c r="BG3" s="1395"/>
      <c r="BH3" s="1395"/>
      <c r="BI3" s="1395"/>
      <c r="BJ3" s="1395"/>
      <c r="BK3" s="1396"/>
      <c r="BL3" s="63"/>
    </row>
    <row r="4" spans="1:68" ht="17.25" thickBot="1" x14ac:dyDescent="0.3">
      <c r="F4" s="522" t="s">
        <v>589</v>
      </c>
      <c r="G4" s="509">
        <v>3</v>
      </c>
      <c r="H4" s="510">
        <v>61.97</v>
      </c>
      <c r="I4" s="511">
        <v>0</v>
      </c>
      <c r="K4" s="736" t="s">
        <v>10048</v>
      </c>
      <c r="L4" s="733">
        <v>120.33</v>
      </c>
      <c r="M4" s="734">
        <v>54.73</v>
      </c>
      <c r="N4" s="148">
        <v>3</v>
      </c>
      <c r="O4" s="732" t="s">
        <v>10219</v>
      </c>
      <c r="P4" s="733">
        <v>25</v>
      </c>
      <c r="Q4" s="734">
        <v>70.8</v>
      </c>
      <c r="R4" s="148">
        <v>3</v>
      </c>
      <c r="S4" s="732" t="s">
        <v>920</v>
      </c>
      <c r="T4" s="733">
        <v>67</v>
      </c>
      <c r="U4" s="734">
        <v>65</v>
      </c>
      <c r="W4" s="157" t="s">
        <v>333</v>
      </c>
      <c r="X4" s="502" t="s">
        <v>10183</v>
      </c>
      <c r="Y4" s="113" t="s">
        <v>1254</v>
      </c>
      <c r="Z4" s="110" t="s">
        <v>1255</v>
      </c>
      <c r="AA4" s="113" t="s">
        <v>334</v>
      </c>
      <c r="AC4" s="65" t="s">
        <v>367</v>
      </c>
      <c r="AD4" s="65" t="s">
        <v>369</v>
      </c>
      <c r="AE4" s="65" t="s">
        <v>368</v>
      </c>
      <c r="AF4" s="65" t="s">
        <v>370</v>
      </c>
      <c r="AG4" s="65" t="s">
        <v>642</v>
      </c>
      <c r="AH4" s="65" t="s">
        <v>643</v>
      </c>
      <c r="AI4" s="65" t="s">
        <v>644</v>
      </c>
      <c r="AJ4" s="65" t="s">
        <v>645</v>
      </c>
      <c r="AK4" s="65" t="s">
        <v>646</v>
      </c>
      <c r="AL4" s="65" t="s">
        <v>647</v>
      </c>
      <c r="AM4" s="65" t="s">
        <v>648</v>
      </c>
      <c r="AN4" s="65" t="s">
        <v>649</v>
      </c>
      <c r="AO4" s="65" t="s">
        <v>650</v>
      </c>
      <c r="AP4" s="65" t="s">
        <v>651</v>
      </c>
      <c r="AQ4" s="65" t="s">
        <v>208</v>
      </c>
      <c r="AR4" s="65" t="s">
        <v>206</v>
      </c>
      <c r="AS4" s="65" t="s">
        <v>207</v>
      </c>
      <c r="AT4" s="65" t="s">
        <v>209</v>
      </c>
      <c r="AU4" s="65" t="s">
        <v>210</v>
      </c>
      <c r="AV4" s="65" t="s">
        <v>589</v>
      </c>
      <c r="AW4" s="65" t="s">
        <v>568</v>
      </c>
      <c r="AX4" s="65" t="s">
        <v>569</v>
      </c>
      <c r="AY4" s="65" t="s">
        <v>181</v>
      </c>
      <c r="AZ4" s="65" t="s">
        <v>183</v>
      </c>
      <c r="BA4" s="65" t="s">
        <v>182</v>
      </c>
      <c r="BB4" s="65" t="s">
        <v>184</v>
      </c>
      <c r="BC4" s="65" t="s">
        <v>185</v>
      </c>
      <c r="BD4" s="65" t="s">
        <v>186</v>
      </c>
      <c r="BE4" s="65" t="s">
        <v>366</v>
      </c>
      <c r="BF4" s="65" t="s">
        <v>187</v>
      </c>
      <c r="BG4" s="65" t="s">
        <v>188</v>
      </c>
      <c r="BH4" s="65" t="s">
        <v>189</v>
      </c>
      <c r="BI4" s="65" t="s">
        <v>190</v>
      </c>
      <c r="BJ4" s="65" t="s">
        <v>374</v>
      </c>
      <c r="BK4" s="67" t="s">
        <v>375</v>
      </c>
      <c r="BL4" s="64"/>
      <c r="BP4" s="64"/>
    </row>
    <row r="5" spans="1:68" ht="17.25" thickTop="1" x14ac:dyDescent="0.25">
      <c r="A5" s="1386" t="s">
        <v>738</v>
      </c>
      <c r="B5" s="1386"/>
      <c r="C5" s="1386"/>
      <c r="D5" s="1387"/>
      <c r="F5" s="736" t="s">
        <v>10218</v>
      </c>
      <c r="G5" s="733">
        <v>3</v>
      </c>
      <c r="H5" s="734">
        <v>55.35</v>
      </c>
      <c r="I5" s="735">
        <v>0</v>
      </c>
      <c r="K5" s="746" t="s">
        <v>10049</v>
      </c>
      <c r="L5" s="743">
        <v>68.900000000000006</v>
      </c>
      <c r="M5" s="744">
        <v>61</v>
      </c>
      <c r="N5" s="148">
        <v>3</v>
      </c>
      <c r="O5" s="522" t="s">
        <v>908</v>
      </c>
      <c r="P5" s="509">
        <v>20</v>
      </c>
      <c r="Q5" s="510">
        <v>59.15</v>
      </c>
      <c r="R5" s="148">
        <v>4</v>
      </c>
      <c r="S5" s="732" t="s">
        <v>921</v>
      </c>
      <c r="T5" s="733">
        <v>57</v>
      </c>
      <c r="U5" s="734">
        <v>78.849999999999994</v>
      </c>
      <c r="W5" s="156" t="s">
        <v>345</v>
      </c>
      <c r="X5" s="112" t="s">
        <v>332</v>
      </c>
      <c r="Y5" s="113" t="s">
        <v>331</v>
      </c>
      <c r="Z5" s="110" t="s">
        <v>337</v>
      </c>
      <c r="AA5" s="113" t="s">
        <v>360</v>
      </c>
      <c r="AC5" s="69" t="s">
        <v>632</v>
      </c>
      <c r="AD5" s="66" t="s">
        <v>630</v>
      </c>
      <c r="AE5" s="66" t="s">
        <v>629</v>
      </c>
      <c r="AF5" s="66" t="s">
        <v>624</v>
      </c>
      <c r="AG5" s="66" t="s">
        <v>656</v>
      </c>
      <c r="AH5" s="66" t="s">
        <v>662</v>
      </c>
      <c r="AI5" s="66" t="s">
        <v>662</v>
      </c>
      <c r="AJ5" s="66" t="s">
        <v>656</v>
      </c>
      <c r="AK5" s="66" t="s">
        <v>670</v>
      </c>
      <c r="AL5" s="66" t="s">
        <v>678</v>
      </c>
      <c r="AM5" s="66" t="s">
        <v>678</v>
      </c>
      <c r="AN5" s="66" t="s">
        <v>678</v>
      </c>
      <c r="AO5" s="66" t="s">
        <v>692</v>
      </c>
      <c r="AP5" s="66" t="s">
        <v>692</v>
      </c>
      <c r="AQ5" s="66" t="s">
        <v>148</v>
      </c>
      <c r="AR5" s="66" t="s">
        <v>148</v>
      </c>
      <c r="AS5" s="66" t="s">
        <v>148</v>
      </c>
      <c r="AT5" s="66" t="s">
        <v>148</v>
      </c>
      <c r="AU5" s="66" t="s">
        <v>148</v>
      </c>
      <c r="AV5" s="66" t="s">
        <v>570</v>
      </c>
      <c r="AW5" s="66" t="s">
        <v>570</v>
      </c>
      <c r="AX5" s="66" t="s">
        <v>570</v>
      </c>
      <c r="AY5" s="66" t="s">
        <v>628</v>
      </c>
      <c r="AZ5" s="66" t="s">
        <v>721</v>
      </c>
      <c r="BA5" s="66" t="s">
        <v>475</v>
      </c>
      <c r="BB5" s="66" t="s">
        <v>714</v>
      </c>
      <c r="BC5" s="66" t="s">
        <v>723</v>
      </c>
      <c r="BD5" s="66" t="s">
        <v>712</v>
      </c>
      <c r="BE5" s="66" t="s">
        <v>701</v>
      </c>
      <c r="BF5" s="66" t="s">
        <v>726</v>
      </c>
      <c r="BG5" s="66" t="s">
        <v>726</v>
      </c>
      <c r="BH5" s="66" t="s">
        <v>726</v>
      </c>
      <c r="BI5" s="66" t="s">
        <v>726</v>
      </c>
      <c r="BJ5" s="66" t="s">
        <v>590</v>
      </c>
      <c r="BK5" s="68" t="s">
        <v>590</v>
      </c>
      <c r="BL5" s="64"/>
      <c r="BP5" s="64"/>
    </row>
    <row r="6" spans="1:68" ht="16.5" x14ac:dyDescent="0.25">
      <c r="A6" s="1386"/>
      <c r="B6" s="1386"/>
      <c r="C6" s="1386"/>
      <c r="D6" s="1387"/>
      <c r="F6" s="742" t="s">
        <v>10044</v>
      </c>
      <c r="G6" s="743">
        <v>3</v>
      </c>
      <c r="H6" s="744">
        <v>38.799999999999997</v>
      </c>
      <c r="I6" s="745">
        <v>0</v>
      </c>
      <c r="K6" s="748" t="s">
        <v>923</v>
      </c>
      <c r="L6" s="743">
        <v>123</v>
      </c>
      <c r="M6" s="744">
        <v>58.25</v>
      </c>
      <c r="N6" s="148">
        <v>3</v>
      </c>
      <c r="O6" s="747" t="s">
        <v>385</v>
      </c>
      <c r="P6" s="743">
        <v>29.5</v>
      </c>
      <c r="Q6" s="744">
        <v>62</v>
      </c>
      <c r="R6" s="148">
        <v>3</v>
      </c>
      <c r="S6" s="732" t="s">
        <v>10223</v>
      </c>
      <c r="T6" s="733">
        <v>67</v>
      </c>
      <c r="U6" s="734">
        <v>127.2</v>
      </c>
      <c r="W6" s="158" t="s">
        <v>355</v>
      </c>
      <c r="X6" s="112" t="s">
        <v>356</v>
      </c>
      <c r="Y6" s="113" t="s">
        <v>357</v>
      </c>
      <c r="Z6" s="110" t="s">
        <v>359</v>
      </c>
      <c r="AA6" s="113" t="s">
        <v>358</v>
      </c>
      <c r="AC6" s="97" t="s">
        <v>634</v>
      </c>
      <c r="AD6" s="66" t="s">
        <v>629</v>
      </c>
      <c r="AE6" s="66" t="s">
        <v>623</v>
      </c>
      <c r="AF6" s="66" t="s">
        <v>623</v>
      </c>
      <c r="AG6" s="66" t="s">
        <v>657</v>
      </c>
      <c r="AH6" s="66" t="s">
        <v>475</v>
      </c>
      <c r="AI6" s="66" t="s">
        <v>475</v>
      </c>
      <c r="AJ6" s="66" t="s">
        <v>666</v>
      </c>
      <c r="AK6" s="66" t="s">
        <v>671</v>
      </c>
      <c r="AL6" s="66" t="s">
        <v>679</v>
      </c>
      <c r="AM6" s="66" t="s">
        <v>681</v>
      </c>
      <c r="AN6" s="66" t="s">
        <v>681</v>
      </c>
      <c r="AO6" s="66" t="s">
        <v>693</v>
      </c>
      <c r="AP6" s="66" t="s">
        <v>693</v>
      </c>
      <c r="AQ6" s="66" t="s">
        <v>361</v>
      </c>
      <c r="AR6" s="66" t="s">
        <v>361</v>
      </c>
      <c r="AS6" s="66" t="s">
        <v>361</v>
      </c>
      <c r="AT6" s="66" t="s">
        <v>361</v>
      </c>
      <c r="AU6" s="66" t="s">
        <v>361</v>
      </c>
      <c r="AV6" s="66" t="s">
        <v>571</v>
      </c>
      <c r="AW6" s="66" t="s">
        <v>571</v>
      </c>
      <c r="AX6" s="66" t="s">
        <v>571</v>
      </c>
      <c r="AY6" s="66" t="s">
        <v>707</v>
      </c>
      <c r="AZ6" s="66" t="s">
        <v>718</v>
      </c>
      <c r="BA6" s="66" t="s">
        <v>706</v>
      </c>
      <c r="BB6" s="66" t="s">
        <v>362</v>
      </c>
      <c r="BC6" s="66" t="s">
        <v>710</v>
      </c>
      <c r="BD6" s="66" t="s">
        <v>725</v>
      </c>
      <c r="BE6" s="66" t="s">
        <v>711</v>
      </c>
      <c r="BF6" s="66" t="s">
        <v>310</v>
      </c>
      <c r="BG6" s="66" t="s">
        <v>731</v>
      </c>
      <c r="BH6" s="66" t="s">
        <v>731</v>
      </c>
      <c r="BI6" s="66" t="s">
        <v>731</v>
      </c>
      <c r="BJ6" s="66" t="s">
        <v>591</v>
      </c>
      <c r="BK6" s="68" t="s">
        <v>732</v>
      </c>
      <c r="BL6" s="64"/>
      <c r="BP6" s="64"/>
    </row>
    <row r="7" spans="1:68" ht="14.25" customHeight="1" x14ac:dyDescent="0.25">
      <c r="A7" s="1386"/>
      <c r="B7" s="1386"/>
      <c r="C7" s="1386"/>
      <c r="D7" s="1387"/>
      <c r="F7" s="742" t="s">
        <v>183</v>
      </c>
      <c r="G7" s="743">
        <v>3</v>
      </c>
      <c r="H7" s="744">
        <v>44.05</v>
      </c>
      <c r="I7" s="745">
        <v>0</v>
      </c>
      <c r="K7" s="738" t="s">
        <v>377</v>
      </c>
      <c r="L7" s="733">
        <v>114</v>
      </c>
      <c r="M7" s="734">
        <v>73.349999999999994</v>
      </c>
      <c r="N7" s="148">
        <v>3</v>
      </c>
      <c r="O7" s="521" t="s">
        <v>10050</v>
      </c>
      <c r="P7" s="509">
        <v>36</v>
      </c>
      <c r="Q7" s="510">
        <v>59.15</v>
      </c>
      <c r="R7" s="148">
        <v>3</v>
      </c>
      <c r="S7" s="742" t="s">
        <v>396</v>
      </c>
      <c r="T7" s="743">
        <v>65</v>
      </c>
      <c r="U7" s="744">
        <v>72.95</v>
      </c>
      <c r="W7" s="111" t="s">
        <v>10189</v>
      </c>
      <c r="X7" s="660" t="s">
        <v>10185</v>
      </c>
      <c r="Y7" s="111" t="s">
        <v>10186</v>
      </c>
      <c r="Z7" s="111" t="s">
        <v>10187</v>
      </c>
      <c r="AA7" s="111" t="s">
        <v>10188</v>
      </c>
      <c r="AC7" s="97" t="s">
        <v>635</v>
      </c>
      <c r="AD7" s="66" t="s">
        <v>628</v>
      </c>
      <c r="AE7" s="66" t="s">
        <v>622</v>
      </c>
      <c r="AF7" s="66" t="s">
        <v>622</v>
      </c>
      <c r="AG7" s="66" t="s">
        <v>658</v>
      </c>
      <c r="AH7" s="66" t="s">
        <v>657</v>
      </c>
      <c r="AI7" s="66" t="s">
        <v>657</v>
      </c>
      <c r="AJ7" s="66" t="s">
        <v>667</v>
      </c>
      <c r="AK7" s="66" t="s">
        <v>657</v>
      </c>
      <c r="AL7" s="66" t="s">
        <v>680</v>
      </c>
      <c r="AM7" s="66" t="s">
        <v>683</v>
      </c>
      <c r="AN7" s="66" t="s">
        <v>682</v>
      </c>
      <c r="AO7" s="66" t="s">
        <v>694</v>
      </c>
      <c r="AP7" s="66" t="s">
        <v>694</v>
      </c>
      <c r="AQ7" s="66" t="s">
        <v>363</v>
      </c>
      <c r="AR7" s="66" t="s">
        <v>363</v>
      </c>
      <c r="AS7" s="66" t="s">
        <v>363</v>
      </c>
      <c r="AT7" s="66" t="s">
        <v>363</v>
      </c>
      <c r="AU7" s="66" t="s">
        <v>363</v>
      </c>
      <c r="AV7" s="66" t="s">
        <v>580</v>
      </c>
      <c r="AW7" s="66" t="s">
        <v>572</v>
      </c>
      <c r="AX7" s="66" t="s">
        <v>143</v>
      </c>
      <c r="AY7" s="66" t="s">
        <v>720</v>
      </c>
      <c r="AZ7" s="66" t="s">
        <v>722</v>
      </c>
      <c r="BA7" s="66" t="s">
        <v>724</v>
      </c>
      <c r="BB7" s="64"/>
      <c r="BC7" s="66" t="s">
        <v>623</v>
      </c>
      <c r="BD7" s="64"/>
      <c r="BE7" s="66" t="s">
        <v>717</v>
      </c>
      <c r="BF7" s="66" t="s">
        <v>727</v>
      </c>
      <c r="BG7" s="66" t="s">
        <v>514</v>
      </c>
      <c r="BH7" s="66" t="s">
        <v>514</v>
      </c>
      <c r="BI7" s="66" t="s">
        <v>514</v>
      </c>
      <c r="BJ7" s="66" t="s">
        <v>582</v>
      </c>
      <c r="BK7" s="68" t="s">
        <v>591</v>
      </c>
      <c r="BL7" s="64"/>
      <c r="BP7" s="64"/>
    </row>
    <row r="8" spans="1:68" s="55" customFormat="1" ht="16.5" x14ac:dyDescent="0.25">
      <c r="A8" s="9" t="s">
        <v>129</v>
      </c>
      <c r="B8" s="28"/>
      <c r="C8" s="9" t="s">
        <v>225</v>
      </c>
      <c r="D8" s="28"/>
      <c r="E8" s="71"/>
      <c r="F8" s="746" t="s">
        <v>182</v>
      </c>
      <c r="G8" s="743">
        <v>3</v>
      </c>
      <c r="H8" s="744">
        <v>56.65</v>
      </c>
      <c r="I8" s="745">
        <v>0</v>
      </c>
      <c r="J8" s="71"/>
      <c r="K8" s="153" t="s">
        <v>943</v>
      </c>
      <c r="L8" s="150">
        <v>69</v>
      </c>
      <c r="M8" s="151">
        <v>27.84</v>
      </c>
      <c r="N8" s="148">
        <v>3</v>
      </c>
      <c r="O8" s="522" t="s">
        <v>10051</v>
      </c>
      <c r="P8" s="509">
        <v>20</v>
      </c>
      <c r="Q8" s="510">
        <v>110</v>
      </c>
      <c r="R8" s="148">
        <v>5</v>
      </c>
      <c r="S8" s="454" t="s">
        <v>397</v>
      </c>
      <c r="T8" s="150">
        <v>65</v>
      </c>
      <c r="U8" s="151">
        <v>102.57</v>
      </c>
      <c r="V8" s="71"/>
      <c r="W8" s="110" t="s">
        <v>351</v>
      </c>
      <c r="X8" s="503" t="s">
        <v>1262</v>
      </c>
      <c r="Y8" s="113" t="s">
        <v>352</v>
      </c>
      <c r="Z8" s="110" t="s">
        <v>353</v>
      </c>
      <c r="AA8" s="113" t="s">
        <v>354</v>
      </c>
      <c r="AB8" s="71"/>
      <c r="AC8" s="97" t="s">
        <v>631</v>
      </c>
      <c r="AD8" s="66" t="s">
        <v>627</v>
      </c>
      <c r="AE8" s="66" t="s">
        <v>618</v>
      </c>
      <c r="AF8" s="66" t="s">
        <v>619</v>
      </c>
      <c r="AG8" s="66" t="s">
        <v>659</v>
      </c>
      <c r="AH8" s="66" t="s">
        <v>658</v>
      </c>
      <c r="AI8" s="66" t="s">
        <v>658</v>
      </c>
      <c r="AJ8" s="66" t="s">
        <v>668</v>
      </c>
      <c r="AK8" s="66" t="s">
        <v>582</v>
      </c>
      <c r="AL8" s="66" t="s">
        <v>681</v>
      </c>
      <c r="AM8" s="66" t="s">
        <v>684</v>
      </c>
      <c r="AN8" s="66" t="s">
        <v>690</v>
      </c>
      <c r="AO8" s="66" t="s">
        <v>695</v>
      </c>
      <c r="AP8" s="66" t="s">
        <v>695</v>
      </c>
      <c r="AQ8" s="66" t="s">
        <v>582</v>
      </c>
      <c r="AR8" s="66" t="s">
        <v>582</v>
      </c>
      <c r="AS8" s="64"/>
      <c r="AT8" s="66" t="s">
        <v>582</v>
      </c>
      <c r="AU8" s="66" t="s">
        <v>582</v>
      </c>
      <c r="AV8" s="66" t="s">
        <v>572</v>
      </c>
      <c r="AW8" s="66" t="s">
        <v>143</v>
      </c>
      <c r="AX8" s="66" t="s">
        <v>573</v>
      </c>
      <c r="AY8" s="66" t="s">
        <v>582</v>
      </c>
      <c r="AZ8" s="66" t="s">
        <v>475</v>
      </c>
      <c r="BA8" s="66" t="s">
        <v>698</v>
      </c>
      <c r="BB8" s="64"/>
      <c r="BC8" s="66" t="s">
        <v>705</v>
      </c>
      <c r="BD8" s="64"/>
      <c r="BE8" s="66" t="s">
        <v>704</v>
      </c>
      <c r="BF8" s="66" t="s">
        <v>728</v>
      </c>
      <c r="BG8" s="66" t="s">
        <v>310</v>
      </c>
      <c r="BH8" s="66" t="s">
        <v>310</v>
      </c>
      <c r="BI8" s="66" t="s">
        <v>310</v>
      </c>
      <c r="BJ8" s="66" t="s">
        <v>512</v>
      </c>
      <c r="BK8" s="68" t="s">
        <v>582</v>
      </c>
      <c r="BL8" s="64"/>
      <c r="BP8" s="64"/>
    </row>
    <row r="9" spans="1:68" ht="16.5" x14ac:dyDescent="0.25">
      <c r="A9" s="27" t="s">
        <v>204</v>
      </c>
      <c r="B9" s="28"/>
      <c r="C9" s="28" t="s">
        <v>131</v>
      </c>
      <c r="D9" s="28"/>
      <c r="F9" t="s">
        <v>184</v>
      </c>
      <c r="G9" s="52">
        <v>3</v>
      </c>
      <c r="H9" s="60" t="s">
        <v>906</v>
      </c>
      <c r="I9" s="128">
        <v>0</v>
      </c>
      <c r="K9" s="767" t="s">
        <v>376</v>
      </c>
      <c r="L9" s="768">
        <v>30</v>
      </c>
      <c r="M9" s="766">
        <v>55.78</v>
      </c>
      <c r="N9" s="148">
        <v>3</v>
      </c>
      <c r="O9" s="746" t="s">
        <v>10052</v>
      </c>
      <c r="P9" s="743">
        <v>20</v>
      </c>
      <c r="Q9" s="744">
        <v>104.7</v>
      </c>
      <c r="R9" s="148">
        <v>10</v>
      </c>
      <c r="S9" s="742" t="s">
        <v>398</v>
      </c>
      <c r="T9" s="743">
        <v>61</v>
      </c>
      <c r="U9" s="744">
        <v>76.25</v>
      </c>
      <c r="W9" s="111" t="s">
        <v>898</v>
      </c>
      <c r="X9" s="112" t="s">
        <v>1078</v>
      </c>
      <c r="Y9" s="111" t="s">
        <v>899</v>
      </c>
      <c r="Z9" s="111" t="s">
        <v>900</v>
      </c>
      <c r="AA9" s="111" t="s">
        <v>901</v>
      </c>
      <c r="AC9" s="97" t="s">
        <v>633</v>
      </c>
      <c r="AD9" s="66" t="s">
        <v>626</v>
      </c>
      <c r="AE9" s="66" t="s">
        <v>617</v>
      </c>
      <c r="AF9" s="66" t="s">
        <v>618</v>
      </c>
      <c r="AG9" s="66" t="s">
        <v>660</v>
      </c>
      <c r="AH9" s="66" t="s">
        <v>663</v>
      </c>
      <c r="AI9" s="66" t="s">
        <v>663</v>
      </c>
      <c r="AJ9" s="66" t="s">
        <v>669</v>
      </c>
      <c r="AK9" s="66" t="s">
        <v>672</v>
      </c>
      <c r="AL9" s="66" t="s">
        <v>682</v>
      </c>
      <c r="AM9" s="66" t="s">
        <v>667</v>
      </c>
      <c r="AN9" s="66" t="s">
        <v>683</v>
      </c>
      <c r="AO9" s="66" t="s">
        <v>696</v>
      </c>
      <c r="AP9" s="66" t="s">
        <v>696</v>
      </c>
      <c r="AQ9" s="64"/>
      <c r="AR9" s="64"/>
      <c r="AS9" s="64"/>
      <c r="AT9" s="64"/>
      <c r="AU9" s="64"/>
      <c r="AV9" s="66" t="s">
        <v>143</v>
      </c>
      <c r="AW9" s="66" t="s">
        <v>573</v>
      </c>
      <c r="AX9" s="66" t="s">
        <v>586</v>
      </c>
      <c r="AY9" s="66" t="s">
        <v>714</v>
      </c>
      <c r="AZ9" s="66" t="s">
        <v>706</v>
      </c>
      <c r="BA9" s="66" t="s">
        <v>715</v>
      </c>
      <c r="BB9" s="64"/>
      <c r="BC9" s="64"/>
      <c r="BD9" s="64"/>
      <c r="BE9" s="64"/>
      <c r="BF9" s="66" t="s">
        <v>729</v>
      </c>
      <c r="BG9" s="66" t="s">
        <v>727</v>
      </c>
      <c r="BH9" s="66" t="s">
        <v>727</v>
      </c>
      <c r="BI9" s="66" t="s">
        <v>727</v>
      </c>
      <c r="BJ9" s="66" t="s">
        <v>594</v>
      </c>
      <c r="BK9" s="68" t="s">
        <v>512</v>
      </c>
      <c r="BL9" s="64"/>
      <c r="BP9" s="64"/>
    </row>
    <row r="10" spans="1:68" ht="16.5" x14ac:dyDescent="0.25">
      <c r="A10" s="27">
        <v>0</v>
      </c>
      <c r="B10" s="28">
        <v>9.9999999999999995E-7</v>
      </c>
      <c r="C10" s="28" t="s">
        <v>132</v>
      </c>
      <c r="D10" s="28"/>
      <c r="F10" s="746" t="s">
        <v>10047</v>
      </c>
      <c r="G10" s="743">
        <v>5</v>
      </c>
      <c r="H10" s="744">
        <v>52.95</v>
      </c>
      <c r="I10" s="745">
        <v>0</v>
      </c>
      <c r="K10" s="767" t="s">
        <v>866</v>
      </c>
      <c r="L10" s="768">
        <v>30</v>
      </c>
      <c r="M10" s="766">
        <v>65.28</v>
      </c>
      <c r="N10" s="148">
        <v>3</v>
      </c>
      <c r="O10" s="738" t="s">
        <v>386</v>
      </c>
      <c r="P10" s="733">
        <v>20</v>
      </c>
      <c r="Q10" s="734">
        <v>98</v>
      </c>
      <c r="R10" s="148">
        <v>10</v>
      </c>
      <c r="S10" s="738" t="s">
        <v>399</v>
      </c>
      <c r="T10" s="733">
        <v>65</v>
      </c>
      <c r="U10" s="734">
        <v>98.05</v>
      </c>
      <c r="W10" s="110" t="s">
        <v>986</v>
      </c>
      <c r="X10" s="112" t="s">
        <v>990</v>
      </c>
      <c r="Y10" s="113" t="s">
        <v>989</v>
      </c>
      <c r="Z10" s="110" t="s">
        <v>988</v>
      </c>
      <c r="AA10" s="113" t="s">
        <v>987</v>
      </c>
      <c r="AC10" s="62"/>
      <c r="AD10" s="66" t="s">
        <v>625</v>
      </c>
      <c r="AE10" s="64"/>
      <c r="AF10" s="66" t="s">
        <v>617</v>
      </c>
      <c r="AG10" s="66" t="s">
        <v>661</v>
      </c>
      <c r="AH10" s="66" t="s">
        <v>664</v>
      </c>
      <c r="AI10" s="66" t="s">
        <v>664</v>
      </c>
      <c r="AJ10" s="64"/>
      <c r="AK10" s="66" t="s">
        <v>673</v>
      </c>
      <c r="AL10" s="66" t="s">
        <v>683</v>
      </c>
      <c r="AM10" s="64"/>
      <c r="AN10" s="66" t="s">
        <v>691</v>
      </c>
      <c r="AO10" s="66" t="s">
        <v>661</v>
      </c>
      <c r="AP10" s="66" t="s">
        <v>661</v>
      </c>
      <c r="AQ10" s="64"/>
      <c r="AR10" s="64"/>
      <c r="AS10" s="64"/>
      <c r="AT10" s="64"/>
      <c r="AU10" s="64"/>
      <c r="AV10" s="66" t="s">
        <v>581</v>
      </c>
      <c r="AW10" s="66" t="s">
        <v>575</v>
      </c>
      <c r="AX10" s="66" t="s">
        <v>576</v>
      </c>
      <c r="AY10" s="66" t="s">
        <v>699</v>
      </c>
      <c r="AZ10" s="66" t="s">
        <v>724</v>
      </c>
      <c r="BA10" s="66" t="s">
        <v>716</v>
      </c>
      <c r="BB10" s="64"/>
      <c r="BC10" s="64"/>
      <c r="BD10" s="64"/>
      <c r="BE10" s="64"/>
      <c r="BF10" s="66" t="s">
        <v>730</v>
      </c>
      <c r="BG10" s="66" t="s">
        <v>728</v>
      </c>
      <c r="BH10" s="66" t="s">
        <v>728</v>
      </c>
      <c r="BI10" s="66" t="s">
        <v>730</v>
      </c>
      <c r="BJ10" s="66" t="s">
        <v>592</v>
      </c>
      <c r="BK10" s="68" t="s">
        <v>733</v>
      </c>
      <c r="BL10" s="64"/>
      <c r="BP10" s="64"/>
    </row>
    <row r="11" spans="1:68" ht="16.5" x14ac:dyDescent="0.25">
      <c r="A11" s="27">
        <v>1</v>
      </c>
      <c r="B11" s="668">
        <f>'B 1'!D202</f>
        <v>0</v>
      </c>
      <c r="C11" s="28" t="s">
        <v>133</v>
      </c>
      <c r="D11" s="28"/>
      <c r="F11" t="s">
        <v>186</v>
      </c>
      <c r="G11" s="52">
        <v>4</v>
      </c>
      <c r="H11" s="60" t="s">
        <v>906</v>
      </c>
      <c r="I11" s="128">
        <v>0</v>
      </c>
      <c r="K11" s="767" t="s">
        <v>1227</v>
      </c>
      <c r="L11" s="768">
        <v>30</v>
      </c>
      <c r="M11" s="766">
        <v>85.01</v>
      </c>
      <c r="N11" s="148">
        <v>3</v>
      </c>
      <c r="O11" s="738" t="s">
        <v>387</v>
      </c>
      <c r="P11" s="733">
        <v>30</v>
      </c>
      <c r="Q11" s="734">
        <v>62.5</v>
      </c>
      <c r="R11" s="148">
        <v>4</v>
      </c>
      <c r="S11" s="522" t="s">
        <v>400</v>
      </c>
      <c r="T11" s="509">
        <v>65</v>
      </c>
      <c r="U11" s="510">
        <v>66</v>
      </c>
      <c r="W11" s="154" t="s">
        <v>339</v>
      </c>
      <c r="X11" s="112" t="s">
        <v>346</v>
      </c>
      <c r="Y11" s="113" t="s">
        <v>341</v>
      </c>
      <c r="Z11" s="110" t="s">
        <v>343</v>
      </c>
      <c r="AA11" s="113" t="s">
        <v>342</v>
      </c>
      <c r="AC11" s="62"/>
      <c r="AD11" s="66" t="s">
        <v>624</v>
      </c>
      <c r="AE11" s="64"/>
      <c r="AF11" s="64"/>
      <c r="AG11" s="64"/>
      <c r="AH11" s="66" t="s">
        <v>665</v>
      </c>
      <c r="AI11" s="66" t="s">
        <v>660</v>
      </c>
      <c r="AJ11" s="64"/>
      <c r="AK11" s="66" t="s">
        <v>574</v>
      </c>
      <c r="AL11" s="66" t="s">
        <v>684</v>
      </c>
      <c r="AM11" s="64"/>
      <c r="AN11" s="66" t="s">
        <v>684</v>
      </c>
      <c r="AO11" s="64"/>
      <c r="AP11" s="64"/>
      <c r="AQ11" s="64"/>
      <c r="AR11" s="64"/>
      <c r="AS11" s="64"/>
      <c r="AT11" s="64"/>
      <c r="AU11" s="64"/>
      <c r="AV11" s="66" t="s">
        <v>582</v>
      </c>
      <c r="AW11" s="66" t="s">
        <v>576</v>
      </c>
      <c r="AX11" s="66" t="s">
        <v>577</v>
      </c>
      <c r="AY11" s="66" t="s">
        <v>708</v>
      </c>
      <c r="AZ11" s="66" t="s">
        <v>698</v>
      </c>
      <c r="BA11" s="66" t="s">
        <v>702</v>
      </c>
      <c r="BB11" s="64"/>
      <c r="BC11" s="64"/>
      <c r="BD11" s="64"/>
      <c r="BE11" s="64"/>
      <c r="BF11" s="66" t="s">
        <v>661</v>
      </c>
      <c r="BG11" s="66" t="s">
        <v>729</v>
      </c>
      <c r="BH11" s="66" t="s">
        <v>729</v>
      </c>
      <c r="BI11" s="66" t="s">
        <v>661</v>
      </c>
      <c r="BJ11" s="66" t="s">
        <v>593</v>
      </c>
      <c r="BK11" s="68" t="s">
        <v>594</v>
      </c>
      <c r="BL11" s="64"/>
      <c r="BP11" s="64"/>
    </row>
    <row r="12" spans="1:68" ht="16.5" x14ac:dyDescent="0.25">
      <c r="A12" s="27">
        <v>2</v>
      </c>
      <c r="B12" s="28"/>
      <c r="C12" s="28" t="s">
        <v>134</v>
      </c>
      <c r="D12" s="28"/>
      <c r="F12" s="746" t="s">
        <v>366</v>
      </c>
      <c r="G12" s="743">
        <v>3</v>
      </c>
      <c r="H12" s="744">
        <v>60.4</v>
      </c>
      <c r="I12" s="745">
        <v>20</v>
      </c>
      <c r="K12" s="767" t="s">
        <v>10159</v>
      </c>
      <c r="L12" s="768">
        <v>30</v>
      </c>
      <c r="M12" s="766">
        <v>99.72</v>
      </c>
      <c r="N12" s="148">
        <v>5</v>
      </c>
      <c r="O12" s="767" t="s">
        <v>10161</v>
      </c>
      <c r="P12" s="768">
        <v>10</v>
      </c>
      <c r="Q12" s="766">
        <v>69.38</v>
      </c>
      <c r="R12" s="148">
        <v>5</v>
      </c>
      <c r="S12" s="522" t="s">
        <v>404</v>
      </c>
      <c r="T12" s="509">
        <v>61</v>
      </c>
      <c r="U12" s="510">
        <v>67.34</v>
      </c>
      <c r="W12" s="154" t="s">
        <v>347</v>
      </c>
      <c r="X12" s="112" t="s">
        <v>340</v>
      </c>
      <c r="Y12" s="113" t="s">
        <v>348</v>
      </c>
      <c r="Z12" s="110" t="s">
        <v>349</v>
      </c>
      <c r="AA12" s="113" t="s">
        <v>350</v>
      </c>
      <c r="AC12" s="62"/>
      <c r="AD12" s="66" t="s">
        <v>623</v>
      </c>
      <c r="AE12" s="64"/>
      <c r="AF12" s="64"/>
      <c r="AG12" s="64"/>
      <c r="AH12" s="66" t="s">
        <v>660</v>
      </c>
      <c r="AI12" s="66" t="s">
        <v>661</v>
      </c>
      <c r="AJ12" s="64"/>
      <c r="AK12" s="66" t="s">
        <v>674</v>
      </c>
      <c r="AL12" s="66" t="s">
        <v>685</v>
      </c>
      <c r="AM12" s="64"/>
      <c r="AN12" s="66" t="s">
        <v>685</v>
      </c>
      <c r="AO12" s="64"/>
      <c r="AP12" s="64"/>
      <c r="AQ12" s="64"/>
      <c r="AR12" s="64"/>
      <c r="AS12" s="64"/>
      <c r="AT12" s="64"/>
      <c r="AU12" s="64"/>
      <c r="AV12" s="66" t="s">
        <v>584</v>
      </c>
      <c r="AW12" s="66" t="s">
        <v>577</v>
      </c>
      <c r="AX12" s="66" t="s">
        <v>579</v>
      </c>
      <c r="AY12" s="66" t="s">
        <v>700</v>
      </c>
      <c r="AZ12" s="66" t="s">
        <v>719</v>
      </c>
      <c r="BA12" s="66" t="s">
        <v>703</v>
      </c>
      <c r="BB12" s="64"/>
      <c r="BC12" s="64"/>
      <c r="BD12" s="64"/>
      <c r="BE12" s="64"/>
      <c r="BF12" s="64"/>
      <c r="BG12" s="66" t="s">
        <v>730</v>
      </c>
      <c r="BH12" s="66" t="s">
        <v>730</v>
      </c>
      <c r="BI12" s="64"/>
      <c r="BJ12" s="64"/>
      <c r="BK12" s="68" t="s">
        <v>734</v>
      </c>
      <c r="BL12" s="64"/>
      <c r="BP12" s="64"/>
    </row>
    <row r="13" spans="1:68" s="55" customFormat="1" ht="16.5" x14ac:dyDescent="0.25">
      <c r="A13" s="27">
        <v>3</v>
      </c>
      <c r="B13" s="28"/>
      <c r="C13" s="28" t="s">
        <v>135</v>
      </c>
      <c r="D13" s="28"/>
      <c r="E13" s="71"/>
      <c r="F13" t="s">
        <v>187</v>
      </c>
      <c r="G13" s="52">
        <v>3</v>
      </c>
      <c r="H13" s="60" t="s">
        <v>906</v>
      </c>
      <c r="I13" s="128">
        <v>0</v>
      </c>
      <c r="J13" s="71"/>
      <c r="K13" s="767" t="s">
        <v>1225</v>
      </c>
      <c r="L13" s="768">
        <v>30</v>
      </c>
      <c r="M13" s="766">
        <v>80.959999999999994</v>
      </c>
      <c r="N13" s="148">
        <v>5</v>
      </c>
      <c r="O13" s="767" t="s">
        <v>10160</v>
      </c>
      <c r="P13" s="768">
        <v>9</v>
      </c>
      <c r="Q13" s="766">
        <v>81.28</v>
      </c>
      <c r="R13" s="148">
        <v>3</v>
      </c>
      <c r="S13" s="522" t="s">
        <v>10060</v>
      </c>
      <c r="T13" s="509">
        <v>65</v>
      </c>
      <c r="U13" s="510">
        <v>135</v>
      </c>
      <c r="V13" s="71"/>
      <c r="W13" s="111" t="s">
        <v>902</v>
      </c>
      <c r="X13" s="502" t="s">
        <v>1261</v>
      </c>
      <c r="Y13" s="111" t="s">
        <v>903</v>
      </c>
      <c r="Z13" s="111" t="s">
        <v>904</v>
      </c>
      <c r="AA13" s="111" t="s">
        <v>905</v>
      </c>
      <c r="AB13" s="71"/>
      <c r="AC13" s="62"/>
      <c r="AD13" s="66" t="s">
        <v>622</v>
      </c>
      <c r="AE13" s="64"/>
      <c r="AF13" s="64"/>
      <c r="AG13" s="64"/>
      <c r="AH13" s="64"/>
      <c r="AI13" s="64"/>
      <c r="AJ13" s="64"/>
      <c r="AK13" s="66" t="s">
        <v>675</v>
      </c>
      <c r="AL13" s="66" t="s">
        <v>686</v>
      </c>
      <c r="AM13" s="64"/>
      <c r="AN13" s="66" t="s">
        <v>688</v>
      </c>
      <c r="AO13" s="64"/>
      <c r="AP13" s="64"/>
      <c r="AQ13" s="64"/>
      <c r="AR13" s="64"/>
      <c r="AS13" s="64"/>
      <c r="AT13" s="64"/>
      <c r="AU13" s="64"/>
      <c r="AV13" s="66" t="s">
        <v>583</v>
      </c>
      <c r="AW13" s="66" t="s">
        <v>578</v>
      </c>
      <c r="AX13" s="64"/>
      <c r="AY13" s="66" t="s">
        <v>515</v>
      </c>
      <c r="AZ13" s="66" t="s">
        <v>709</v>
      </c>
      <c r="BA13" s="64"/>
      <c r="BB13" s="64"/>
      <c r="BC13" s="64"/>
      <c r="BD13" s="64"/>
      <c r="BE13" s="64"/>
      <c r="BF13" s="64"/>
      <c r="BG13" s="66" t="s">
        <v>661</v>
      </c>
      <c r="BH13" s="66" t="s">
        <v>661</v>
      </c>
      <c r="BI13" s="64"/>
      <c r="BJ13" s="64"/>
      <c r="BK13" s="68" t="s">
        <v>592</v>
      </c>
      <c r="BL13" s="64"/>
      <c r="BP13" s="64"/>
    </row>
    <row r="14" spans="1:68" ht="16.5" x14ac:dyDescent="0.25">
      <c r="A14" s="27">
        <v>4</v>
      </c>
      <c r="B14" s="28"/>
      <c r="C14" s="28" t="s">
        <v>136</v>
      </c>
      <c r="D14" s="28"/>
      <c r="F14" s="739" t="s">
        <v>188</v>
      </c>
      <c r="G14" s="733">
        <v>3</v>
      </c>
      <c r="H14" s="734">
        <v>53.5</v>
      </c>
      <c r="I14" s="735">
        <v>0</v>
      </c>
      <c r="K14" s="767" t="s">
        <v>1226</v>
      </c>
      <c r="L14" s="768">
        <v>30</v>
      </c>
      <c r="M14" s="766">
        <v>85.01</v>
      </c>
      <c r="N14" s="148">
        <v>3</v>
      </c>
      <c r="O14" s="767" t="s">
        <v>10162</v>
      </c>
      <c r="P14" s="768">
        <v>10</v>
      </c>
      <c r="Q14" s="766">
        <v>69.38</v>
      </c>
      <c r="R14" s="148">
        <v>2.7</v>
      </c>
      <c r="S14" s="767" t="s">
        <v>1228</v>
      </c>
      <c r="T14" s="768">
        <v>65</v>
      </c>
      <c r="U14" s="766">
        <v>80</v>
      </c>
      <c r="AC14" s="62"/>
      <c r="AD14" s="66" t="s">
        <v>621</v>
      </c>
      <c r="AE14" s="64"/>
      <c r="AF14" s="64"/>
      <c r="AG14" s="64"/>
      <c r="AH14" s="64"/>
      <c r="AI14" s="64"/>
      <c r="AJ14" s="64"/>
      <c r="AK14" s="66" t="s">
        <v>676</v>
      </c>
      <c r="AL14" s="66" t="s">
        <v>687</v>
      </c>
      <c r="AM14" s="64"/>
      <c r="AN14" s="66" t="s">
        <v>677</v>
      </c>
      <c r="AO14" s="64"/>
      <c r="AP14" s="64"/>
      <c r="AQ14" s="64"/>
      <c r="AR14" s="64"/>
      <c r="AS14" s="64"/>
      <c r="AT14" s="64"/>
      <c r="AU14" s="64"/>
      <c r="AV14" s="66" t="s">
        <v>573</v>
      </c>
      <c r="AW14" s="66" t="s">
        <v>579</v>
      </c>
      <c r="AX14" s="64"/>
      <c r="AY14" s="66" t="s">
        <v>362</v>
      </c>
      <c r="AZ14" s="66" t="s">
        <v>715</v>
      </c>
      <c r="BA14" s="64"/>
      <c r="BB14" s="64"/>
      <c r="BC14" s="64"/>
      <c r="BD14" s="64"/>
      <c r="BE14" s="64"/>
      <c r="BF14" s="64"/>
      <c r="BG14" s="64"/>
      <c r="BH14" s="64"/>
      <c r="BI14" s="64"/>
      <c r="BJ14" s="64"/>
      <c r="BK14" s="68" t="s">
        <v>593</v>
      </c>
      <c r="BL14" s="64"/>
      <c r="BP14" s="64"/>
    </row>
    <row r="15" spans="1:68" ht="16.5" x14ac:dyDescent="0.25">
      <c r="A15" s="27">
        <v>5</v>
      </c>
      <c r="B15" s="28"/>
      <c r="C15" s="28" t="s">
        <v>137</v>
      </c>
      <c r="D15" s="28"/>
      <c r="F15" s="663" t="s">
        <v>10224</v>
      </c>
      <c r="G15" s="145">
        <v>3</v>
      </c>
      <c r="H15" s="60" t="s">
        <v>906</v>
      </c>
      <c r="I15" s="662">
        <v>0</v>
      </c>
      <c r="K15" t="s">
        <v>755</v>
      </c>
      <c r="L15" s="52">
        <v>52</v>
      </c>
      <c r="M15" s="60">
        <v>179</v>
      </c>
      <c r="N15" s="148">
        <v>4</v>
      </c>
      <c r="O15" s="767" t="s">
        <v>10163</v>
      </c>
      <c r="P15" s="768">
        <v>9</v>
      </c>
      <c r="Q15" s="766">
        <v>81.28</v>
      </c>
      <c r="R15" s="148">
        <v>5</v>
      </c>
      <c r="S15" s="522" t="s">
        <v>10061</v>
      </c>
      <c r="T15" s="509">
        <v>65</v>
      </c>
      <c r="U15" s="510">
        <v>82.5</v>
      </c>
      <c r="AC15" s="62"/>
      <c r="AD15" s="66" t="s">
        <v>620</v>
      </c>
      <c r="AE15" s="64"/>
      <c r="AF15" s="64"/>
      <c r="AG15" s="64"/>
      <c r="AH15" s="64"/>
      <c r="AI15" s="64"/>
      <c r="AJ15" s="64"/>
      <c r="AK15" s="66" t="s">
        <v>677</v>
      </c>
      <c r="AL15" s="66" t="s">
        <v>688</v>
      </c>
      <c r="AM15" s="64"/>
      <c r="AN15" s="66" t="s">
        <v>667</v>
      </c>
      <c r="AO15" s="64"/>
      <c r="AP15" s="64"/>
      <c r="AQ15" s="64"/>
      <c r="AR15" s="64"/>
      <c r="AS15" s="64"/>
      <c r="AT15" s="64"/>
      <c r="AU15" s="64"/>
      <c r="AV15" s="66" t="s">
        <v>574</v>
      </c>
      <c r="AW15" s="64"/>
      <c r="AX15" s="64"/>
      <c r="AY15" s="64"/>
      <c r="AZ15" s="66" t="s">
        <v>716</v>
      </c>
      <c r="BA15" s="64"/>
      <c r="BB15" s="64"/>
      <c r="BC15" s="64"/>
      <c r="BD15" s="64"/>
      <c r="BE15" s="64"/>
      <c r="BF15" s="64"/>
      <c r="BG15" s="64"/>
      <c r="BH15" s="64"/>
      <c r="BI15" s="64"/>
      <c r="BJ15" s="64"/>
      <c r="BL15" s="64"/>
      <c r="BP15" s="64"/>
    </row>
    <row r="16" spans="1:68" ht="16.5" x14ac:dyDescent="0.25">
      <c r="A16" s="27">
        <v>6</v>
      </c>
      <c r="B16" s="28"/>
      <c r="C16" s="28" t="s">
        <v>138</v>
      </c>
      <c r="D16" s="28"/>
      <c r="F16" s="739" t="s">
        <v>189</v>
      </c>
      <c r="G16" s="733">
        <v>4</v>
      </c>
      <c r="H16" s="734">
        <v>54.05</v>
      </c>
      <c r="I16" s="735">
        <v>0</v>
      </c>
      <c r="K16" t="s">
        <v>756</v>
      </c>
      <c r="L16" s="52">
        <v>52</v>
      </c>
      <c r="M16" s="60" t="s">
        <v>906</v>
      </c>
      <c r="N16" s="148">
        <v>4</v>
      </c>
      <c r="O16" s="767" t="s">
        <v>10164</v>
      </c>
      <c r="P16" s="768">
        <v>10</v>
      </c>
      <c r="Q16" s="766">
        <v>48.09</v>
      </c>
      <c r="R16" s="148">
        <v>3</v>
      </c>
      <c r="S16" s="454" t="s">
        <v>401</v>
      </c>
      <c r="T16" s="150">
        <v>65</v>
      </c>
      <c r="U16" s="151">
        <v>67.75</v>
      </c>
      <c r="AC16" s="64"/>
      <c r="AD16" s="66" t="s">
        <v>619</v>
      </c>
      <c r="AE16" s="64"/>
      <c r="AF16" s="64"/>
      <c r="AG16" s="64"/>
      <c r="AH16" s="64"/>
      <c r="AI16" s="64"/>
      <c r="AJ16" s="64"/>
      <c r="AK16" s="66" t="s">
        <v>661</v>
      </c>
      <c r="AL16" s="66" t="s">
        <v>689</v>
      </c>
      <c r="AM16" s="64"/>
      <c r="AN16" s="64"/>
      <c r="AO16" s="64"/>
      <c r="AP16" s="64"/>
      <c r="AQ16" s="64"/>
      <c r="AR16" s="64"/>
      <c r="AS16" s="64"/>
      <c r="AT16" s="64"/>
      <c r="AU16" s="64"/>
      <c r="AV16" s="66" t="s">
        <v>575</v>
      </c>
      <c r="AW16" s="64"/>
      <c r="AX16" s="64"/>
      <c r="AY16" s="64"/>
      <c r="AZ16" s="66" t="s">
        <v>713</v>
      </c>
      <c r="BA16" s="64"/>
      <c r="BB16" s="64"/>
      <c r="BC16" s="64"/>
      <c r="BD16" s="64"/>
      <c r="BE16" s="64"/>
      <c r="BF16" s="64"/>
      <c r="BG16" s="64"/>
      <c r="BH16" s="64"/>
      <c r="BI16" s="64"/>
      <c r="BJ16" s="64"/>
      <c r="BL16" s="64"/>
      <c r="BP16" s="64"/>
    </row>
    <row r="17" spans="1:68" ht="16.5" x14ac:dyDescent="0.25">
      <c r="A17" s="27">
        <v>7</v>
      </c>
      <c r="B17" s="28"/>
      <c r="C17" s="28" t="s">
        <v>392</v>
      </c>
      <c r="D17" s="28"/>
      <c r="F17" s="663" t="s">
        <v>190</v>
      </c>
      <c r="G17" s="145">
        <v>5</v>
      </c>
      <c r="H17" s="60" t="s">
        <v>906</v>
      </c>
      <c r="I17" s="662">
        <v>35</v>
      </c>
      <c r="K17" s="663" t="s">
        <v>637</v>
      </c>
      <c r="L17" s="145">
        <v>116</v>
      </c>
      <c r="M17" s="146">
        <v>56.45</v>
      </c>
      <c r="N17" s="148">
        <v>3</v>
      </c>
      <c r="O17" s="767" t="s">
        <v>10165</v>
      </c>
      <c r="P17" s="768">
        <v>9</v>
      </c>
      <c r="Q17" s="766">
        <v>56.22</v>
      </c>
      <c r="R17" s="148">
        <v>3</v>
      </c>
      <c r="S17" s="454" t="s">
        <v>402</v>
      </c>
      <c r="T17" s="150">
        <v>65</v>
      </c>
      <c r="U17" s="151">
        <v>93.23</v>
      </c>
      <c r="AC17" s="64"/>
      <c r="AD17" s="66" t="s">
        <v>618</v>
      </c>
      <c r="AE17" s="64"/>
      <c r="AF17" s="64"/>
      <c r="AG17" s="64"/>
      <c r="AH17" s="64"/>
      <c r="AI17" s="64"/>
      <c r="AJ17" s="64"/>
      <c r="AK17" s="64"/>
      <c r="AL17" s="66" t="s">
        <v>667</v>
      </c>
      <c r="AM17" s="64"/>
      <c r="AN17" s="64"/>
      <c r="AO17" s="64"/>
      <c r="AP17" s="64"/>
      <c r="AQ17" s="64"/>
      <c r="AR17" s="64"/>
      <c r="AS17" s="64"/>
      <c r="AT17" s="64"/>
      <c r="AU17" s="64"/>
      <c r="AV17" s="66" t="s">
        <v>585</v>
      </c>
      <c r="AW17" s="64"/>
      <c r="AX17" s="64"/>
      <c r="AY17" s="64"/>
      <c r="AZ17" s="66" t="s">
        <v>702</v>
      </c>
      <c r="BA17" s="64"/>
      <c r="BB17" s="64"/>
      <c r="BC17" s="64"/>
      <c r="BD17" s="64"/>
      <c r="BE17" s="64"/>
      <c r="BF17" s="64"/>
      <c r="BG17" s="64"/>
      <c r="BH17" s="64"/>
      <c r="BI17" s="64"/>
      <c r="BJ17" s="64"/>
      <c r="BL17" s="64"/>
      <c r="BP17" s="64"/>
    </row>
    <row r="18" spans="1:68" s="55" customFormat="1" ht="16.5" x14ac:dyDescent="0.25">
      <c r="A18" s="27">
        <v>8</v>
      </c>
      <c r="B18" s="28"/>
      <c r="C18" s="28" t="s">
        <v>139</v>
      </c>
      <c r="D18" s="28"/>
      <c r="E18" s="71"/>
      <c r="F18" s="767" t="s">
        <v>208</v>
      </c>
      <c r="G18" s="768">
        <v>4</v>
      </c>
      <c r="H18" s="766">
        <v>108.8</v>
      </c>
      <c r="I18" s="769">
        <v>125</v>
      </c>
      <c r="J18" s="71"/>
      <c r="K18" t="s">
        <v>654</v>
      </c>
      <c r="L18" s="52"/>
      <c r="M18" s="60" t="s">
        <v>906</v>
      </c>
      <c r="N18" s="148">
        <v>5</v>
      </c>
      <c r="O18" s="767" t="s">
        <v>10166</v>
      </c>
      <c r="P18" s="768">
        <v>10</v>
      </c>
      <c r="Q18" s="766">
        <v>48.09</v>
      </c>
      <c r="R18" s="148">
        <v>5</v>
      </c>
      <c r="S18" s="454" t="s">
        <v>403</v>
      </c>
      <c r="T18" s="150">
        <v>65</v>
      </c>
      <c r="U18" s="151">
        <v>134.84</v>
      </c>
      <c r="V18" s="71"/>
      <c r="AB18" s="71"/>
      <c r="AC18" s="64"/>
      <c r="AD18" s="66" t="s">
        <v>617</v>
      </c>
      <c r="AE18" s="64"/>
      <c r="AF18" s="64"/>
      <c r="AG18" s="64"/>
      <c r="AH18" s="64"/>
      <c r="AI18" s="64"/>
      <c r="AJ18" s="64"/>
      <c r="AK18" s="64"/>
      <c r="AL18" s="64"/>
      <c r="AM18" s="64"/>
      <c r="AN18" s="64"/>
      <c r="AO18" s="64"/>
      <c r="AP18" s="64"/>
      <c r="AQ18" s="64"/>
      <c r="AR18" s="64"/>
      <c r="AS18" s="64"/>
      <c r="AT18" s="64"/>
      <c r="AU18" s="64"/>
      <c r="AV18" s="66" t="s">
        <v>586</v>
      </c>
      <c r="AW18" s="64"/>
      <c r="AX18" s="64"/>
      <c r="AY18" s="64"/>
      <c r="AZ18" s="66" t="s">
        <v>703</v>
      </c>
      <c r="BA18" s="64"/>
      <c r="BB18" s="64"/>
      <c r="BC18" s="64"/>
      <c r="BD18" s="64"/>
      <c r="BE18" s="64"/>
      <c r="BF18" s="64"/>
      <c r="BG18" s="64"/>
      <c r="BH18" s="64"/>
      <c r="BI18" s="64"/>
      <c r="BJ18" s="64"/>
      <c r="BK18" s="64"/>
      <c r="BL18" s="64"/>
      <c r="BP18" s="64"/>
    </row>
    <row r="19" spans="1:68" ht="16.5" x14ac:dyDescent="0.25">
      <c r="A19" s="27">
        <v>9</v>
      </c>
      <c r="B19" s="28"/>
      <c r="C19" s="28" t="s">
        <v>140</v>
      </c>
      <c r="D19" s="28"/>
      <c r="F19" s="767" t="s">
        <v>867</v>
      </c>
      <c r="G19" s="768">
        <v>4</v>
      </c>
      <c r="H19" s="766">
        <v>126.93</v>
      </c>
      <c r="I19" s="769">
        <v>125</v>
      </c>
      <c r="K19" t="s">
        <v>655</v>
      </c>
      <c r="M19" s="60" t="s">
        <v>906</v>
      </c>
      <c r="N19" s="148">
        <v>5</v>
      </c>
      <c r="O19" s="767" t="s">
        <v>10167</v>
      </c>
      <c r="P19" s="768">
        <v>9</v>
      </c>
      <c r="Q19" s="766">
        <v>56.22</v>
      </c>
      <c r="R19" s="148">
        <v>6</v>
      </c>
      <c r="S19" t="s">
        <v>394</v>
      </c>
      <c r="T19" s="52">
        <v>65</v>
      </c>
      <c r="U19" s="60">
        <v>66.400000000000006</v>
      </c>
      <c r="AC19" s="62"/>
      <c r="AD19" s="62"/>
      <c r="AE19" s="64"/>
      <c r="AF19" s="64"/>
      <c r="AG19" s="64"/>
      <c r="AH19" s="64"/>
      <c r="AI19" s="64"/>
      <c r="AJ19" s="64"/>
      <c r="AK19" s="64"/>
      <c r="AL19" s="64"/>
      <c r="AM19" s="64"/>
      <c r="AN19" s="64"/>
      <c r="AO19" s="64"/>
      <c r="AP19" s="64"/>
      <c r="AQ19" s="64"/>
      <c r="AR19" s="64"/>
      <c r="AS19" s="64"/>
      <c r="AT19" s="64"/>
      <c r="AU19" s="64"/>
      <c r="AV19" s="66" t="s">
        <v>576</v>
      </c>
      <c r="AW19" s="64"/>
      <c r="AX19" s="64"/>
      <c r="AY19" s="64"/>
      <c r="AZ19" s="64"/>
      <c r="BA19" s="64"/>
      <c r="BB19" s="64"/>
      <c r="BC19" s="64"/>
      <c r="BD19" s="64"/>
      <c r="BE19" s="64"/>
      <c r="BF19" s="64"/>
      <c r="BG19" s="64"/>
      <c r="BH19" s="64"/>
      <c r="BI19" s="64"/>
      <c r="BJ19" s="64"/>
      <c r="BK19" s="64"/>
      <c r="BL19" s="64"/>
      <c r="BP19" s="64"/>
    </row>
    <row r="20" spans="1:68" ht="16.5" x14ac:dyDescent="0.25">
      <c r="A20" s="27">
        <v>10</v>
      </c>
      <c r="B20" s="28"/>
      <c r="C20" s="28" t="s">
        <v>141</v>
      </c>
      <c r="D20" s="28"/>
      <c r="F20" s="767" t="s">
        <v>206</v>
      </c>
      <c r="G20" s="768">
        <v>5</v>
      </c>
      <c r="H20" s="766">
        <v>138.71</v>
      </c>
      <c r="I20" s="769">
        <v>125</v>
      </c>
      <c r="K20" s="96" t="s">
        <v>373</v>
      </c>
      <c r="L20" s="52">
        <v>69</v>
      </c>
      <c r="M20" s="60">
        <v>29.75</v>
      </c>
      <c r="O20" s="454" t="s">
        <v>639</v>
      </c>
      <c r="P20" s="150">
        <v>30</v>
      </c>
      <c r="Q20" s="151">
        <v>54.04</v>
      </c>
      <c r="R20" s="148">
        <v>6</v>
      </c>
      <c r="S20" s="454" t="s">
        <v>641</v>
      </c>
      <c r="T20" s="150">
        <v>65</v>
      </c>
      <c r="U20" s="151">
        <v>122.7</v>
      </c>
      <c r="W20" s="538" t="s">
        <v>788</v>
      </c>
      <c r="X20" s="539"/>
      <c r="Y20" s="539"/>
      <c r="Z20" s="539"/>
      <c r="AA20" s="540"/>
      <c r="AC20" s="62"/>
      <c r="AD20" s="62"/>
      <c r="AE20" s="64"/>
      <c r="AF20" s="64"/>
      <c r="AG20" s="64"/>
      <c r="AH20" s="64"/>
      <c r="AI20" s="64"/>
      <c r="AJ20" s="64"/>
      <c r="AK20" s="64"/>
      <c r="AL20" s="64"/>
      <c r="AM20" s="64"/>
      <c r="AN20" s="64"/>
      <c r="AO20" s="64"/>
      <c r="AP20" s="64"/>
      <c r="AQ20" s="64"/>
      <c r="AR20" s="64"/>
      <c r="AS20" s="64"/>
      <c r="AT20" s="64"/>
      <c r="AU20" s="64"/>
      <c r="AV20" s="66" t="s">
        <v>577</v>
      </c>
      <c r="AW20" s="64"/>
      <c r="AX20" s="64"/>
      <c r="AY20" s="64"/>
      <c r="AZ20" s="64"/>
      <c r="BA20" s="64"/>
      <c r="BB20" s="64"/>
      <c r="BC20" s="64"/>
      <c r="BD20" s="64"/>
      <c r="BE20" s="64"/>
      <c r="BF20" s="64"/>
      <c r="BG20" s="64"/>
      <c r="BH20" s="64"/>
      <c r="BI20" s="64"/>
      <c r="BJ20" s="64"/>
      <c r="BK20" s="64"/>
      <c r="BL20" s="64"/>
      <c r="BP20" s="64"/>
    </row>
    <row r="21" spans="1:68" ht="16.5" x14ac:dyDescent="0.25">
      <c r="A21" s="27">
        <v>11</v>
      </c>
      <c r="B21" s="28"/>
      <c r="C21" s="28" t="s">
        <v>142</v>
      </c>
      <c r="D21" s="28"/>
      <c r="F21" s="767" t="s">
        <v>868</v>
      </c>
      <c r="G21" s="768">
        <v>5</v>
      </c>
      <c r="H21" s="766">
        <v>162.88999999999999</v>
      </c>
      <c r="I21" s="769">
        <v>125</v>
      </c>
      <c r="K21" s="523" t="s">
        <v>10055</v>
      </c>
      <c r="L21" s="509">
        <v>105</v>
      </c>
      <c r="M21" s="510">
        <v>47.6</v>
      </c>
      <c r="O21" s="454" t="s">
        <v>640</v>
      </c>
      <c r="P21" s="150">
        <v>30</v>
      </c>
      <c r="Q21" s="151">
        <v>107.18</v>
      </c>
      <c r="S21" s="746" t="s">
        <v>10299</v>
      </c>
      <c r="T21" s="743">
        <v>65</v>
      </c>
      <c r="U21" s="744">
        <v>275.75</v>
      </c>
      <c r="W21" s="111" t="s">
        <v>840</v>
      </c>
      <c r="X21" s="114" t="s">
        <v>845</v>
      </c>
      <c r="Y21" s="113" t="s">
        <v>841</v>
      </c>
      <c r="Z21" s="115" t="s">
        <v>843</v>
      </c>
      <c r="AA21" s="113" t="s">
        <v>844</v>
      </c>
      <c r="AC21" s="62"/>
      <c r="AD21" s="62"/>
      <c r="AE21" s="64"/>
      <c r="AF21" s="64"/>
      <c r="AG21" s="64"/>
      <c r="AH21" s="64"/>
      <c r="AI21" s="64"/>
      <c r="AJ21" s="64"/>
      <c r="AK21" s="64"/>
      <c r="AL21" s="64"/>
      <c r="AM21" s="64"/>
      <c r="AN21" s="64"/>
      <c r="AO21" s="64"/>
      <c r="AP21" s="64"/>
      <c r="AQ21" s="64"/>
      <c r="AR21" s="64"/>
      <c r="AS21" s="64"/>
      <c r="AT21" s="64"/>
      <c r="AU21" s="64"/>
      <c r="AV21" s="66" t="s">
        <v>578</v>
      </c>
      <c r="AW21" s="64"/>
      <c r="AX21" s="64"/>
      <c r="AY21" s="64"/>
      <c r="AZ21" s="64"/>
      <c r="BA21" s="64"/>
      <c r="BB21" s="64"/>
      <c r="BC21" s="64"/>
      <c r="BD21" s="64"/>
      <c r="BE21" s="64"/>
      <c r="BF21" s="64"/>
      <c r="BG21" s="64"/>
      <c r="BH21" s="64"/>
      <c r="BI21" s="64"/>
      <c r="BJ21" s="64"/>
      <c r="BK21" s="64"/>
      <c r="BL21" s="64"/>
      <c r="BP21" s="64"/>
    </row>
    <row r="22" spans="1:68" ht="16.5" x14ac:dyDescent="0.25">
      <c r="A22" s="27">
        <v>12</v>
      </c>
      <c r="B22" s="28"/>
      <c r="C22" s="28" t="s">
        <v>143</v>
      </c>
      <c r="D22" s="28"/>
      <c r="F22" s="767" t="s">
        <v>207</v>
      </c>
      <c r="G22" s="768">
        <v>5</v>
      </c>
      <c r="H22" s="766">
        <v>138.71</v>
      </c>
      <c r="I22" s="769">
        <v>125</v>
      </c>
      <c r="K22" s="96" t="s">
        <v>378</v>
      </c>
      <c r="L22" s="52">
        <v>100</v>
      </c>
      <c r="M22" s="60">
        <v>83.19</v>
      </c>
      <c r="O22" s="663" t="s">
        <v>10220</v>
      </c>
      <c r="P22" s="145">
        <v>33</v>
      </c>
      <c r="Q22" s="146">
        <v>104.6</v>
      </c>
      <c r="W22" s="110" t="s">
        <v>754</v>
      </c>
      <c r="X22" s="114" t="s">
        <v>751</v>
      </c>
      <c r="Y22" s="113" t="s">
        <v>842</v>
      </c>
      <c r="Z22" s="115" t="s">
        <v>752</v>
      </c>
      <c r="AA22" s="113" t="s">
        <v>753</v>
      </c>
      <c r="AC22" s="62"/>
      <c r="AD22" s="62"/>
      <c r="AE22" s="64"/>
      <c r="AF22" s="64"/>
      <c r="AG22" s="64"/>
      <c r="AH22" s="64"/>
      <c r="AI22" s="64"/>
      <c r="AJ22" s="64"/>
      <c r="AK22" s="64"/>
      <c r="AL22" s="64"/>
      <c r="AM22" s="64"/>
      <c r="AN22" s="64"/>
      <c r="AO22" s="64"/>
      <c r="AP22" s="64"/>
      <c r="AQ22" s="64"/>
      <c r="AR22" s="64"/>
      <c r="AS22" s="64"/>
      <c r="AT22" s="64"/>
      <c r="AU22" s="64"/>
      <c r="AV22" s="66" t="s">
        <v>587</v>
      </c>
      <c r="AW22" s="64"/>
      <c r="AX22" s="64"/>
      <c r="AY22" s="64"/>
      <c r="AZ22" s="64"/>
      <c r="BA22" s="64"/>
      <c r="BB22" s="64"/>
      <c r="BC22" s="64"/>
      <c r="BD22" s="64"/>
      <c r="BE22" s="64"/>
      <c r="BF22" s="64"/>
      <c r="BG22" s="64"/>
      <c r="BH22" s="64"/>
      <c r="BI22" s="64"/>
      <c r="BJ22" s="64"/>
      <c r="BK22" s="64"/>
      <c r="BL22" s="64"/>
      <c r="BP22" s="64"/>
    </row>
    <row r="23" spans="1:68" s="55" customFormat="1" ht="16.5" x14ac:dyDescent="0.25">
      <c r="A23" s="27">
        <v>13</v>
      </c>
      <c r="B23" s="28"/>
      <c r="C23" s="28" t="s">
        <v>144</v>
      </c>
      <c r="D23" s="28"/>
      <c r="E23" s="71"/>
      <c r="F23" s="767" t="s">
        <v>10156</v>
      </c>
      <c r="G23" s="768">
        <v>5</v>
      </c>
      <c r="H23" s="766">
        <v>190.39</v>
      </c>
      <c r="I23" s="769">
        <v>125</v>
      </c>
      <c r="J23" s="71"/>
      <c r="K23"/>
      <c r="L23" s="52"/>
      <c r="M23" s="60"/>
      <c r="N23" s="148"/>
      <c r="O23" t="s">
        <v>653</v>
      </c>
      <c r="P23" s="52"/>
      <c r="Q23" s="60" t="s">
        <v>906</v>
      </c>
      <c r="R23" s="148"/>
      <c r="S23"/>
      <c r="T23" s="52"/>
      <c r="U23" s="60"/>
      <c r="V23" s="71"/>
      <c r="W23" s="111" t="s">
        <v>821</v>
      </c>
      <c r="X23" s="116"/>
      <c r="Y23" s="111" t="s">
        <v>822</v>
      </c>
      <c r="Z23" s="111" t="s">
        <v>823</v>
      </c>
      <c r="AA23" s="111" t="s">
        <v>824</v>
      </c>
      <c r="AB23" s="71"/>
      <c r="AC23" s="62"/>
      <c r="AD23" s="62"/>
      <c r="AE23" s="64"/>
      <c r="AF23" s="64"/>
      <c r="AG23" s="64"/>
      <c r="AH23" s="64"/>
      <c r="AI23" s="64"/>
      <c r="AJ23" s="64"/>
      <c r="AK23" s="64"/>
      <c r="AL23" s="64"/>
      <c r="AM23" s="64"/>
      <c r="AN23" s="64"/>
      <c r="AO23" s="64"/>
      <c r="AP23" s="64"/>
      <c r="AQ23" s="64"/>
      <c r="AR23" s="64"/>
      <c r="AS23" s="64"/>
      <c r="AT23" s="64"/>
      <c r="AU23" s="64"/>
      <c r="AV23" s="66" t="s">
        <v>579</v>
      </c>
      <c r="AW23" s="64"/>
      <c r="AX23" s="64"/>
      <c r="AY23" s="64"/>
      <c r="AZ23" s="64"/>
      <c r="BA23" s="64"/>
      <c r="BB23" s="64"/>
      <c r="BC23" s="64"/>
      <c r="BD23" s="64"/>
      <c r="BE23" s="64"/>
      <c r="BF23" s="64"/>
      <c r="BG23" s="64"/>
      <c r="BH23" s="64"/>
      <c r="BI23" s="64"/>
      <c r="BJ23" s="64"/>
      <c r="BK23" s="64"/>
      <c r="BL23" s="64"/>
      <c r="BP23" s="64"/>
    </row>
    <row r="24" spans="1:68" ht="16.5" x14ac:dyDescent="0.25">
      <c r="A24" s="27">
        <v>14</v>
      </c>
      <c r="B24" s="28"/>
      <c r="C24" s="28" t="s">
        <v>145</v>
      </c>
      <c r="D24" s="28"/>
      <c r="F24" s="767" t="s">
        <v>209</v>
      </c>
      <c r="G24" s="768">
        <v>4</v>
      </c>
      <c r="H24" s="766">
        <v>108.8</v>
      </c>
      <c r="I24" s="769">
        <v>125</v>
      </c>
      <c r="O24" t="s">
        <v>652</v>
      </c>
      <c r="Q24" s="60" t="s">
        <v>906</v>
      </c>
      <c r="W24" s="111" t="s">
        <v>849</v>
      </c>
      <c r="X24" s="114" t="s">
        <v>850</v>
      </c>
      <c r="Y24" s="111" t="s">
        <v>846</v>
      </c>
      <c r="Z24" s="111" t="s">
        <v>847</v>
      </c>
      <c r="AA24" s="111" t="s">
        <v>848</v>
      </c>
      <c r="AC24" s="62"/>
      <c r="AD24" s="62"/>
      <c r="AE24" s="64"/>
      <c r="AF24" s="64"/>
      <c r="AG24" s="64"/>
      <c r="AH24" s="64"/>
      <c r="AI24" s="64"/>
      <c r="AJ24" s="64"/>
      <c r="AK24" s="64"/>
      <c r="AL24" s="64"/>
      <c r="AM24" s="64"/>
      <c r="AN24" s="64"/>
      <c r="AO24" s="64"/>
      <c r="AP24" s="64"/>
      <c r="AQ24" s="64"/>
      <c r="AR24" s="64"/>
      <c r="AS24" s="64"/>
      <c r="AT24" s="64"/>
      <c r="AU24" s="64"/>
      <c r="AV24" s="66" t="s">
        <v>511</v>
      </c>
      <c r="AW24" s="64"/>
      <c r="AX24" s="64"/>
      <c r="AY24" s="64"/>
      <c r="AZ24" s="64"/>
      <c r="BA24" s="64"/>
      <c r="BB24" s="64"/>
      <c r="BC24" s="64"/>
      <c r="BD24" s="64"/>
      <c r="BE24" s="64"/>
      <c r="BF24" s="64"/>
      <c r="BG24" s="64"/>
      <c r="BH24" s="64"/>
      <c r="BI24" s="64"/>
      <c r="BJ24" s="64"/>
      <c r="BK24" s="64"/>
      <c r="BL24" s="64"/>
      <c r="BP24" s="64"/>
    </row>
    <row r="25" spans="1:68" ht="16.5" x14ac:dyDescent="0.25">
      <c r="A25" s="27">
        <v>15</v>
      </c>
      <c r="B25" s="72"/>
      <c r="C25" s="28" t="s">
        <v>146</v>
      </c>
      <c r="D25" s="72"/>
      <c r="F25" s="767" t="s">
        <v>869</v>
      </c>
      <c r="G25" s="768">
        <v>4</v>
      </c>
      <c r="H25" s="766">
        <v>126.93</v>
      </c>
      <c r="I25" s="769">
        <v>125</v>
      </c>
      <c r="O25" t="s">
        <v>757</v>
      </c>
      <c r="P25" s="52">
        <v>16</v>
      </c>
      <c r="Q25" s="60" t="str">
        <f>H17</f>
        <v>Call</v>
      </c>
      <c r="AC25" s="62"/>
      <c r="AD25" s="62"/>
      <c r="AE25" s="64"/>
      <c r="AF25" s="64"/>
      <c r="AG25" s="64"/>
      <c r="AH25" s="64"/>
      <c r="AI25" s="64"/>
      <c r="AJ25" s="64"/>
      <c r="AK25" s="64"/>
      <c r="AL25" s="64"/>
      <c r="AM25" s="64"/>
      <c r="AN25" s="64"/>
      <c r="AO25" s="64"/>
      <c r="AP25" s="64"/>
      <c r="AQ25" s="64"/>
      <c r="AR25" s="64"/>
      <c r="AS25" s="64"/>
      <c r="AT25" s="64"/>
      <c r="AU25" s="64"/>
      <c r="AV25" s="66" t="s">
        <v>588</v>
      </c>
      <c r="AW25" s="64"/>
      <c r="AX25" s="64"/>
      <c r="AY25" s="64"/>
      <c r="AZ25" s="64"/>
      <c r="BA25" s="64"/>
      <c r="BB25" s="64"/>
      <c r="BC25" s="64"/>
      <c r="BD25" s="64"/>
      <c r="BE25" s="64"/>
      <c r="BF25" s="64"/>
      <c r="BG25" s="64"/>
      <c r="BH25" s="64"/>
      <c r="BI25" s="64"/>
      <c r="BJ25" s="64"/>
      <c r="BK25" s="64"/>
      <c r="BL25" s="64"/>
      <c r="BP25" s="64"/>
    </row>
    <row r="26" spans="1:68" ht="17.25" thickBot="1" x14ac:dyDescent="0.3">
      <c r="A26" s="27">
        <v>16</v>
      </c>
      <c r="B26" s="28"/>
      <c r="C26" s="28" t="s">
        <v>147</v>
      </c>
      <c r="D26" s="28"/>
      <c r="F26" s="767" t="s">
        <v>210</v>
      </c>
      <c r="G26" s="768">
        <v>4</v>
      </c>
      <c r="H26" s="766">
        <v>126.93</v>
      </c>
      <c r="I26" s="769">
        <v>125</v>
      </c>
      <c r="O26" t="s">
        <v>758</v>
      </c>
      <c r="P26" s="52">
        <v>16</v>
      </c>
      <c r="Q26" s="60">
        <v>48.28</v>
      </c>
      <c r="AC26" s="140" t="s">
        <v>737</v>
      </c>
      <c r="AD26" s="141"/>
      <c r="AE26" s="141"/>
      <c r="AF26" s="141"/>
      <c r="AG26" s="141"/>
      <c r="AH26" s="141"/>
      <c r="AI26" s="141"/>
      <c r="AJ26" s="141"/>
      <c r="AK26" s="141"/>
      <c r="AL26" s="141"/>
      <c r="AM26" s="141"/>
      <c r="AN26" s="141"/>
      <c r="AO26" s="141"/>
      <c r="AP26" s="141"/>
      <c r="AQ26" s="141"/>
      <c r="AR26" s="141"/>
      <c r="AS26" s="141"/>
      <c r="AT26" s="141"/>
      <c r="AU26" s="141"/>
      <c r="AV26" s="141"/>
      <c r="AW26" s="141"/>
      <c r="AX26" s="141"/>
      <c r="AY26" s="141"/>
      <c r="AZ26" s="141"/>
      <c r="BA26" s="141"/>
      <c r="BB26" s="141"/>
      <c r="BC26" s="141"/>
      <c r="BD26" s="141"/>
      <c r="BE26" s="141"/>
      <c r="BF26" s="141"/>
      <c r="BG26" s="141"/>
      <c r="BH26" s="141"/>
      <c r="BI26" s="141"/>
      <c r="BJ26" s="141"/>
      <c r="BK26" s="142"/>
    </row>
    <row r="27" spans="1:68" ht="16.5" x14ac:dyDescent="0.25">
      <c r="A27" s="27">
        <v>17</v>
      </c>
      <c r="B27" s="28"/>
      <c r="C27" s="28" t="s">
        <v>148</v>
      </c>
      <c r="D27" s="28"/>
      <c r="F27" s="767" t="s">
        <v>870</v>
      </c>
      <c r="G27" s="768">
        <v>4</v>
      </c>
      <c r="H27" s="766">
        <v>141.49</v>
      </c>
      <c r="I27" s="769">
        <v>125</v>
      </c>
      <c r="O27" t="s">
        <v>383</v>
      </c>
      <c r="P27" s="52">
        <v>29.6</v>
      </c>
      <c r="Q27" s="60">
        <v>29.75</v>
      </c>
      <c r="AO27" s="54"/>
      <c r="AQ27" s="52"/>
      <c r="AR27" s="54"/>
      <c r="AY27" s="64"/>
      <c r="AZ27" s="64"/>
      <c r="BA27" s="64"/>
      <c r="BB27" s="64"/>
      <c r="BC27" s="64"/>
      <c r="BD27" s="64"/>
      <c r="BE27" s="64"/>
    </row>
    <row r="28" spans="1:68" s="55" customFormat="1" ht="16.5" x14ac:dyDescent="0.25">
      <c r="A28" s="27">
        <v>18</v>
      </c>
      <c r="B28" s="29"/>
      <c r="C28" s="29"/>
      <c r="D28" s="28"/>
      <c r="E28" s="71"/>
      <c r="F28" s="767" t="s">
        <v>10157</v>
      </c>
      <c r="G28" s="768">
        <v>4</v>
      </c>
      <c r="H28" s="766">
        <v>126.93</v>
      </c>
      <c r="I28" s="769">
        <v>125</v>
      </c>
      <c r="J28" s="71"/>
      <c r="K28"/>
      <c r="L28" s="52"/>
      <c r="M28" s="60"/>
      <c r="N28" s="148"/>
      <c r="O28" s="522" t="s">
        <v>384</v>
      </c>
      <c r="P28" s="509">
        <v>20</v>
      </c>
      <c r="Q28" s="510">
        <v>125</v>
      </c>
      <c r="R28" s="148"/>
      <c r="S28"/>
      <c r="T28" s="52"/>
      <c r="U28" s="60"/>
      <c r="V28" s="71"/>
      <c r="W28" s="111"/>
      <c r="X28" s="111"/>
      <c r="Y28" s="111"/>
      <c r="Z28" s="111"/>
      <c r="AA28" s="111"/>
      <c r="AB28" s="71"/>
      <c r="AC28"/>
      <c r="AD28"/>
      <c r="AE28"/>
      <c r="AF28"/>
      <c r="AG28"/>
      <c r="AH28" s="28" t="s">
        <v>131</v>
      </c>
      <c r="AI28"/>
      <c r="AJ28"/>
      <c r="AK28"/>
      <c r="AL28"/>
      <c r="AM28"/>
      <c r="AN28"/>
      <c r="AO28" s="54"/>
      <c r="AP28"/>
      <c r="AQ28" s="52"/>
      <c r="AR28" s="54"/>
      <c r="AS28"/>
      <c r="AT28"/>
      <c r="AU28"/>
      <c r="AV28"/>
      <c r="AW28"/>
      <c r="AX28"/>
      <c r="AY28" s="64"/>
      <c r="AZ28" s="64"/>
      <c r="BA28" s="64"/>
      <c r="BB28" s="64"/>
      <c r="BC28" s="64"/>
      <c r="BD28" s="64"/>
      <c r="BE28" s="64"/>
      <c r="BF28"/>
      <c r="BG28"/>
      <c r="BH28"/>
      <c r="BI28"/>
      <c r="BJ28"/>
      <c r="BK28"/>
      <c r="BL28"/>
      <c r="BP28"/>
    </row>
    <row r="29" spans="1:68" ht="16.5" x14ac:dyDescent="0.25">
      <c r="A29" s="27">
        <v>19</v>
      </c>
      <c r="F29" s="767" t="s">
        <v>10158</v>
      </c>
      <c r="G29" s="768">
        <v>4</v>
      </c>
      <c r="H29" s="766">
        <v>141.49</v>
      </c>
      <c r="I29" s="769">
        <v>125</v>
      </c>
      <c r="O29" s="522" t="s">
        <v>10054</v>
      </c>
      <c r="P29" s="509">
        <v>33</v>
      </c>
      <c r="Q29" s="510">
        <v>75.3</v>
      </c>
      <c r="AC29" s="501" t="s">
        <v>1256</v>
      </c>
      <c r="AH29" s="28" t="s">
        <v>132</v>
      </c>
      <c r="AY29" s="64"/>
      <c r="AZ29" s="64"/>
      <c r="BA29" s="64"/>
      <c r="BB29" s="64"/>
      <c r="BC29" s="64"/>
      <c r="BD29" s="64"/>
      <c r="BE29" s="64"/>
    </row>
    <row r="30" spans="1:68" ht="16.5" x14ac:dyDescent="0.25">
      <c r="A30" s="27">
        <v>20</v>
      </c>
      <c r="F30" s="454" t="s">
        <v>636</v>
      </c>
      <c r="G30" s="150">
        <v>3</v>
      </c>
      <c r="H30" s="151">
        <v>43.97</v>
      </c>
      <c r="I30" s="152">
        <v>0</v>
      </c>
      <c r="O30" s="522" t="s">
        <v>10053</v>
      </c>
      <c r="P30" s="509">
        <v>33</v>
      </c>
      <c r="Q30" s="510">
        <v>59.7</v>
      </c>
      <c r="W30" s="538" t="s">
        <v>789</v>
      </c>
      <c r="X30" s="539"/>
      <c r="Y30" s="539"/>
      <c r="Z30" s="539"/>
      <c r="AA30" s="540"/>
      <c r="AC30" s="501" t="s">
        <v>1257</v>
      </c>
      <c r="AH30" s="28" t="s">
        <v>133</v>
      </c>
      <c r="AY30" s="64"/>
      <c r="AZ30" s="64"/>
      <c r="BA30" s="64"/>
      <c r="BB30" s="64"/>
      <c r="BC30" s="64"/>
      <c r="BD30" s="64"/>
      <c r="BE30" s="64"/>
    </row>
    <row r="31" spans="1:68" ht="16.5" x14ac:dyDescent="0.25">
      <c r="A31" s="27">
        <v>21</v>
      </c>
      <c r="F31" s="663" t="s">
        <v>638</v>
      </c>
      <c r="G31" s="145">
        <v>4</v>
      </c>
      <c r="H31" s="146">
        <v>50.2</v>
      </c>
      <c r="I31" s="662">
        <v>0</v>
      </c>
      <c r="W31" s="111" t="s">
        <v>762</v>
      </c>
      <c r="X31" s="114" t="s">
        <v>766</v>
      </c>
      <c r="Y31" s="113" t="s">
        <v>767</v>
      </c>
      <c r="Z31" s="110" t="s">
        <v>768</v>
      </c>
      <c r="AA31" s="111" t="s">
        <v>769</v>
      </c>
      <c r="AC31" s="501" t="s">
        <v>1258</v>
      </c>
      <c r="AH31" s="28" t="s">
        <v>134</v>
      </c>
      <c r="AY31" s="64"/>
      <c r="AZ31" s="64"/>
      <c r="BA31" s="64"/>
      <c r="BB31" s="64"/>
      <c r="BC31" s="64"/>
      <c r="BD31" s="64"/>
      <c r="BE31" s="64"/>
    </row>
    <row r="32" spans="1:68" ht="16.5" x14ac:dyDescent="0.25">
      <c r="A32" s="27">
        <v>22</v>
      </c>
      <c r="F32" t="s">
        <v>642</v>
      </c>
      <c r="G32" s="52">
        <v>4</v>
      </c>
      <c r="H32" s="60" t="s">
        <v>906</v>
      </c>
      <c r="I32" s="128">
        <v>0</v>
      </c>
      <c r="W32" s="111" t="s">
        <v>825</v>
      </c>
      <c r="X32" s="114" t="s">
        <v>829</v>
      </c>
      <c r="Y32" s="111" t="s">
        <v>826</v>
      </c>
      <c r="Z32" s="111" t="s">
        <v>827</v>
      </c>
      <c r="AA32" s="111" t="s">
        <v>828</v>
      </c>
      <c r="AC32" s="501" t="s">
        <v>1259</v>
      </c>
      <c r="AH32" s="28" t="s">
        <v>135</v>
      </c>
      <c r="AY32" s="64"/>
      <c r="AZ32" s="64"/>
      <c r="BA32" s="64"/>
      <c r="BB32" s="64"/>
      <c r="BC32" s="64"/>
      <c r="BD32" s="64"/>
      <c r="BE32" s="64"/>
    </row>
    <row r="33" spans="1:57" ht="16.5" x14ac:dyDescent="0.25">
      <c r="A33" s="27">
        <v>23</v>
      </c>
      <c r="F33" t="s">
        <v>643</v>
      </c>
      <c r="G33" s="52">
        <v>5</v>
      </c>
      <c r="H33" s="60" t="s">
        <v>906</v>
      </c>
      <c r="I33" s="128">
        <v>0</v>
      </c>
      <c r="W33" s="111" t="s">
        <v>830</v>
      </c>
      <c r="X33" s="114" t="s">
        <v>834</v>
      </c>
      <c r="Y33" s="111" t="s">
        <v>831</v>
      </c>
      <c r="Z33" s="111" t="s">
        <v>832</v>
      </c>
      <c r="AA33" s="111" t="s">
        <v>833</v>
      </c>
      <c r="AC33" s="501" t="s">
        <v>1260</v>
      </c>
      <c r="AH33" s="28" t="s">
        <v>136</v>
      </c>
      <c r="AY33" s="64"/>
      <c r="AZ33" s="64"/>
      <c r="BA33" s="64"/>
      <c r="BB33" s="64"/>
      <c r="BC33" s="64"/>
      <c r="BD33" s="64"/>
      <c r="BE33" s="64"/>
    </row>
    <row r="34" spans="1:57" ht="16.5" x14ac:dyDescent="0.25">
      <c r="A34" s="27">
        <v>24</v>
      </c>
      <c r="F34" t="s">
        <v>644</v>
      </c>
      <c r="G34" s="52">
        <v>5</v>
      </c>
      <c r="H34" s="60" t="s">
        <v>906</v>
      </c>
      <c r="I34" s="128">
        <v>0</v>
      </c>
      <c r="W34" s="111" t="s">
        <v>835</v>
      </c>
      <c r="X34" s="114" t="s">
        <v>837</v>
      </c>
      <c r="Y34" s="111" t="s">
        <v>838</v>
      </c>
      <c r="Z34" s="111" t="s">
        <v>839</v>
      </c>
      <c r="AA34" s="111" t="s">
        <v>836</v>
      </c>
      <c r="AH34" s="28" t="s">
        <v>137</v>
      </c>
      <c r="AY34" s="64"/>
      <c r="AZ34" s="64"/>
      <c r="BA34" s="64"/>
      <c r="BB34" s="64"/>
      <c r="BC34" s="64"/>
      <c r="BD34" s="64"/>
      <c r="BE34" s="64"/>
    </row>
    <row r="35" spans="1:57" ht="16.5" x14ac:dyDescent="0.25">
      <c r="A35" s="27">
        <v>25</v>
      </c>
      <c r="F35" t="s">
        <v>645</v>
      </c>
      <c r="G35" s="52">
        <v>3</v>
      </c>
      <c r="H35" s="60" t="s">
        <v>906</v>
      </c>
      <c r="I35" s="128">
        <v>0</v>
      </c>
      <c r="AH35" s="28" t="s">
        <v>138</v>
      </c>
      <c r="AY35" s="64"/>
      <c r="AZ35" s="64"/>
      <c r="BA35" s="64"/>
      <c r="BB35" s="64"/>
      <c r="BC35" s="64"/>
      <c r="BD35" s="64"/>
      <c r="BE35" s="64"/>
    </row>
    <row r="36" spans="1:57" ht="16.5" x14ac:dyDescent="0.25">
      <c r="A36" s="27">
        <v>26</v>
      </c>
      <c r="C36" s="9" t="s">
        <v>364</v>
      </c>
      <c r="F36" t="s">
        <v>647</v>
      </c>
      <c r="G36" s="52">
        <v>3</v>
      </c>
      <c r="H36" s="60" t="s">
        <v>906</v>
      </c>
      <c r="I36" s="128">
        <v>0</v>
      </c>
      <c r="AH36" s="28" t="s">
        <v>392</v>
      </c>
      <c r="AZ36" s="64"/>
      <c r="BA36" s="64"/>
      <c r="BB36" s="64"/>
      <c r="BC36" s="64"/>
      <c r="BD36" s="64"/>
      <c r="BE36" s="64"/>
    </row>
    <row r="37" spans="1:57" x14ac:dyDescent="0.25">
      <c r="A37" s="27">
        <v>27</v>
      </c>
      <c r="C37" t="s">
        <v>148</v>
      </c>
      <c r="F37" t="s">
        <v>650</v>
      </c>
      <c r="G37" s="52">
        <v>5</v>
      </c>
      <c r="H37" s="60" t="s">
        <v>906</v>
      </c>
      <c r="I37" s="128">
        <v>0</v>
      </c>
      <c r="AD37" s="54"/>
      <c r="AH37" s="28" t="s">
        <v>139</v>
      </c>
    </row>
    <row r="38" spans="1:57" x14ac:dyDescent="0.25">
      <c r="A38" s="27">
        <v>28</v>
      </c>
      <c r="C38" t="s">
        <v>361</v>
      </c>
      <c r="F38" t="s">
        <v>651</v>
      </c>
      <c r="G38" s="52">
        <v>6</v>
      </c>
      <c r="H38" s="60" t="s">
        <v>906</v>
      </c>
      <c r="I38" s="128">
        <v>0</v>
      </c>
      <c r="AC38" s="28"/>
      <c r="AD38" s="54"/>
      <c r="AH38" s="28" t="s">
        <v>140</v>
      </c>
    </row>
    <row r="39" spans="1:57" x14ac:dyDescent="0.25">
      <c r="A39" s="27">
        <v>29</v>
      </c>
      <c r="C39" t="s">
        <v>143</v>
      </c>
      <c r="F39" t="s">
        <v>759</v>
      </c>
      <c r="G39" s="52">
        <v>5</v>
      </c>
      <c r="H39" s="61">
        <v>201</v>
      </c>
      <c r="I39" s="128">
        <v>600</v>
      </c>
      <c r="AC39" s="28"/>
      <c r="AH39" s="28" t="s">
        <v>141</v>
      </c>
    </row>
    <row r="40" spans="1:57" x14ac:dyDescent="0.25">
      <c r="A40" s="27">
        <v>30</v>
      </c>
      <c r="C40" t="s">
        <v>10003</v>
      </c>
      <c r="F40" t="s">
        <v>760</v>
      </c>
      <c r="G40" s="52">
        <v>5</v>
      </c>
      <c r="H40" s="61">
        <v>243.5</v>
      </c>
      <c r="I40" s="128">
        <v>300</v>
      </c>
      <c r="K40" s="119" t="s">
        <v>379</v>
      </c>
      <c r="L40" s="120">
        <v>1</v>
      </c>
      <c r="M40" s="123"/>
      <c r="O40" s="119" t="s">
        <v>388</v>
      </c>
      <c r="P40" s="120">
        <v>1</v>
      </c>
      <c r="Q40" s="123"/>
      <c r="S40" s="119" t="s">
        <v>407</v>
      </c>
      <c r="T40" s="120">
        <v>1</v>
      </c>
      <c r="U40" s="123"/>
      <c r="W40" s="538" t="s">
        <v>795</v>
      </c>
      <c r="X40" s="539"/>
      <c r="Y40" s="539"/>
      <c r="Z40" s="539"/>
      <c r="AA40" s="540"/>
      <c r="AC40" s="28"/>
      <c r="AH40" s="28" t="s">
        <v>142</v>
      </c>
    </row>
    <row r="41" spans="1:57" x14ac:dyDescent="0.25">
      <c r="A41" s="27">
        <v>31</v>
      </c>
      <c r="C41" t="s">
        <v>10095</v>
      </c>
      <c r="F41" t="s">
        <v>191</v>
      </c>
      <c r="G41" s="52">
        <v>1</v>
      </c>
      <c r="H41" s="60" t="s">
        <v>906</v>
      </c>
      <c r="I41" s="128">
        <v>300</v>
      </c>
      <c r="K41" s="767" t="s">
        <v>10328</v>
      </c>
      <c r="L41" s="768">
        <v>33.299999999999997</v>
      </c>
      <c r="M41" s="766">
        <v>55.78</v>
      </c>
      <c r="N41" s="148">
        <v>3</v>
      </c>
      <c r="O41" s="663" t="s">
        <v>10190</v>
      </c>
      <c r="P41" s="145">
        <v>10</v>
      </c>
      <c r="Q41" s="146">
        <v>4.7</v>
      </c>
      <c r="S41" s="166" t="s">
        <v>918</v>
      </c>
      <c r="T41" s="167">
        <v>500</v>
      </c>
      <c r="U41" s="168">
        <v>251.83</v>
      </c>
      <c r="W41" s="111" t="s">
        <v>813</v>
      </c>
      <c r="X41" s="114" t="s">
        <v>814</v>
      </c>
      <c r="Y41" s="111" t="s">
        <v>815</v>
      </c>
      <c r="Z41" s="111" t="s">
        <v>811</v>
      </c>
      <c r="AA41" s="111" t="s">
        <v>812</v>
      </c>
      <c r="AC41" s="28"/>
      <c r="AH41" s="28" t="s">
        <v>143</v>
      </c>
    </row>
    <row r="42" spans="1:57" x14ac:dyDescent="0.25">
      <c r="A42" s="27" t="s">
        <v>775</v>
      </c>
      <c r="C42"/>
      <c r="F42" t="s">
        <v>367</v>
      </c>
      <c r="G42" s="52">
        <v>3</v>
      </c>
      <c r="H42" s="60" t="s">
        <v>906</v>
      </c>
      <c r="I42" s="128">
        <v>0</v>
      </c>
      <c r="K42" s="767" t="s">
        <v>10329</v>
      </c>
      <c r="L42" s="768">
        <v>33.299999999999997</v>
      </c>
      <c r="M42" s="766">
        <v>65.28</v>
      </c>
      <c r="N42" s="148">
        <v>3</v>
      </c>
      <c r="O42" s="144" t="s">
        <v>10191</v>
      </c>
      <c r="P42" s="145">
        <v>10</v>
      </c>
      <c r="Q42" s="146">
        <v>8.7799999999999994</v>
      </c>
      <c r="S42" s="166" t="s">
        <v>919</v>
      </c>
      <c r="T42" s="167">
        <v>1000</v>
      </c>
      <c r="U42" s="168">
        <v>213.55</v>
      </c>
      <c r="W42" s="111" t="s">
        <v>797</v>
      </c>
      <c r="X42" s="114" t="s">
        <v>798</v>
      </c>
      <c r="Y42" s="111" t="s">
        <v>800</v>
      </c>
      <c r="Z42" s="111" t="s">
        <v>801</v>
      </c>
      <c r="AA42" s="111" t="s">
        <v>799</v>
      </c>
      <c r="AC42" s="28"/>
      <c r="AH42" s="28" t="s">
        <v>144</v>
      </c>
    </row>
    <row r="43" spans="1:57" x14ac:dyDescent="0.25">
      <c r="A43"/>
      <c r="F43" t="s">
        <v>369</v>
      </c>
      <c r="G43" s="52">
        <v>3</v>
      </c>
      <c r="H43" s="61">
        <v>28.35</v>
      </c>
      <c r="I43" s="128">
        <v>0</v>
      </c>
      <c r="K43" s="663" t="s">
        <v>747</v>
      </c>
      <c r="L43" s="145">
        <v>69</v>
      </c>
      <c r="M43" s="146">
        <v>83.55</v>
      </c>
      <c r="N43" s="148">
        <v>4</v>
      </c>
      <c r="O43" s="736" t="s">
        <v>10192</v>
      </c>
      <c r="P43" s="733">
        <v>10</v>
      </c>
      <c r="Q43" s="734">
        <v>9</v>
      </c>
      <c r="S43" s="522" t="s">
        <v>10056</v>
      </c>
      <c r="T43" s="509">
        <v>1000</v>
      </c>
      <c r="U43" s="510">
        <v>134.75</v>
      </c>
      <c r="W43" s="111" t="s">
        <v>803</v>
      </c>
      <c r="X43" s="114" t="s">
        <v>1242</v>
      </c>
      <c r="Y43" s="111" t="s">
        <v>816</v>
      </c>
      <c r="Z43" s="111" t="s">
        <v>802</v>
      </c>
      <c r="AA43" s="111" t="s">
        <v>1243</v>
      </c>
      <c r="AC43" s="28"/>
      <c r="AH43" s="28" t="s">
        <v>145</v>
      </c>
    </row>
    <row r="44" spans="1:57" x14ac:dyDescent="0.25">
      <c r="A44" s="27">
        <v>32</v>
      </c>
      <c r="C44" s="29" t="s">
        <v>10232</v>
      </c>
      <c r="F44" t="s">
        <v>368</v>
      </c>
      <c r="G44" s="52">
        <v>3</v>
      </c>
      <c r="H44" s="60" t="s">
        <v>906</v>
      </c>
      <c r="I44" s="128">
        <v>0</v>
      </c>
      <c r="O44" s="144" t="s">
        <v>10193</v>
      </c>
      <c r="P44" s="145">
        <v>10</v>
      </c>
      <c r="Q44" s="625">
        <v>12</v>
      </c>
      <c r="S44" s="522" t="s">
        <v>10058</v>
      </c>
      <c r="T44" s="509">
        <v>1000</v>
      </c>
      <c r="U44" s="510">
        <v>77.25</v>
      </c>
      <c r="W44" s="111" t="s">
        <v>808</v>
      </c>
      <c r="X44" s="114" t="s">
        <v>809</v>
      </c>
      <c r="Y44" s="111" t="s">
        <v>817</v>
      </c>
      <c r="Z44" s="111" t="s">
        <v>810</v>
      </c>
      <c r="AA44" s="111" t="s">
        <v>807</v>
      </c>
      <c r="AC44" s="28"/>
      <c r="AH44" s="28" t="s">
        <v>146</v>
      </c>
    </row>
    <row r="45" spans="1:57" x14ac:dyDescent="0.25">
      <c r="A45" s="27">
        <v>40</v>
      </c>
      <c r="C45" s="29" t="s">
        <v>10233</v>
      </c>
      <c r="F45" t="s">
        <v>370</v>
      </c>
      <c r="G45" s="52">
        <v>3</v>
      </c>
      <c r="H45" s="61">
        <v>29.75</v>
      </c>
      <c r="I45" s="128">
        <v>0</v>
      </c>
      <c r="O45" s="161" t="s">
        <v>10194</v>
      </c>
      <c r="P45" s="145">
        <v>10</v>
      </c>
      <c r="Q45" s="625">
        <v>9.56</v>
      </c>
      <c r="S45" s="739" t="s">
        <v>10289</v>
      </c>
      <c r="T45" s="733">
        <v>1000</v>
      </c>
      <c r="U45" s="734">
        <v>109.95</v>
      </c>
      <c r="W45" s="111" t="s">
        <v>796</v>
      </c>
      <c r="X45" s="114" t="s">
        <v>804</v>
      </c>
      <c r="Y45" s="111" t="s">
        <v>818</v>
      </c>
      <c r="Z45" s="111" t="s">
        <v>805</v>
      </c>
      <c r="AA45" s="111" t="s">
        <v>806</v>
      </c>
      <c r="AC45" s="28"/>
      <c r="AH45" s="28" t="s">
        <v>147</v>
      </c>
    </row>
    <row r="46" spans="1:57" x14ac:dyDescent="0.25">
      <c r="C46" s="29" t="s">
        <v>10096</v>
      </c>
      <c r="F46" s="493" t="s">
        <v>374</v>
      </c>
      <c r="G46" s="494">
        <v>3</v>
      </c>
      <c r="H46" s="495">
        <v>29.75</v>
      </c>
      <c r="I46" s="496">
        <v>0</v>
      </c>
      <c r="O46" s="161" t="s">
        <v>10195</v>
      </c>
      <c r="P46" s="145">
        <v>10</v>
      </c>
      <c r="Q46" s="625">
        <v>6.9</v>
      </c>
      <c r="S46" s="149" t="s">
        <v>411</v>
      </c>
      <c r="T46" s="150">
        <v>500</v>
      </c>
      <c r="U46" s="625">
        <v>146.34</v>
      </c>
      <c r="X46" s="114"/>
      <c r="AC46" s="28"/>
      <c r="AH46" s="28" t="s">
        <v>148</v>
      </c>
    </row>
    <row r="47" spans="1:57" x14ac:dyDescent="0.25">
      <c r="A47" s="27">
        <v>12</v>
      </c>
      <c r="C47" s="29" t="s">
        <v>10101</v>
      </c>
      <c r="F47" s="522" t="s">
        <v>10046</v>
      </c>
      <c r="G47" s="509">
        <v>3</v>
      </c>
      <c r="H47" s="510">
        <v>42.1</v>
      </c>
      <c r="I47" s="511">
        <v>0</v>
      </c>
      <c r="O47" s="161" t="s">
        <v>10196</v>
      </c>
      <c r="P47" s="145">
        <v>10</v>
      </c>
      <c r="Q47" s="625">
        <v>9.56</v>
      </c>
      <c r="S47" s="166" t="s">
        <v>952</v>
      </c>
      <c r="T47" s="167">
        <v>2000</v>
      </c>
      <c r="U47" s="168">
        <v>78.25</v>
      </c>
      <c r="X47" s="114"/>
    </row>
    <row r="48" spans="1:57" x14ac:dyDescent="0.25">
      <c r="A48" s="27">
        <v>16</v>
      </c>
      <c r="C48" s="29" t="s">
        <v>10103</v>
      </c>
      <c r="F48" s="493" t="s">
        <v>1224</v>
      </c>
      <c r="G48" s="494">
        <v>3</v>
      </c>
      <c r="H48" s="495">
        <v>41.34</v>
      </c>
      <c r="I48" s="496"/>
      <c r="O48" s="161" t="s">
        <v>10197</v>
      </c>
      <c r="P48" s="145">
        <v>10</v>
      </c>
      <c r="Q48" s="625">
        <v>9.56</v>
      </c>
      <c r="S48" s="746" t="s">
        <v>10059</v>
      </c>
      <c r="T48" s="743">
        <v>1000</v>
      </c>
      <c r="U48" s="744">
        <v>75</v>
      </c>
    </row>
    <row r="49" spans="1:63" x14ac:dyDescent="0.25">
      <c r="A49" s="27">
        <v>18</v>
      </c>
      <c r="C49" s="29" t="s">
        <v>10110</v>
      </c>
      <c r="F49" s="522" t="s">
        <v>10045</v>
      </c>
      <c r="G49" s="509">
        <v>3</v>
      </c>
      <c r="H49" s="510">
        <v>63</v>
      </c>
      <c r="I49" s="511"/>
      <c r="O49" s="161" t="s">
        <v>10198</v>
      </c>
      <c r="P49" s="145">
        <v>10</v>
      </c>
      <c r="Q49" s="625">
        <v>9.56</v>
      </c>
      <c r="S49" s="161" t="s">
        <v>916</v>
      </c>
      <c r="T49" s="145">
        <v>1000</v>
      </c>
      <c r="U49" s="146">
        <v>80.7</v>
      </c>
    </row>
    <row r="50" spans="1:63" x14ac:dyDescent="0.25">
      <c r="A50" s="27">
        <v>24</v>
      </c>
      <c r="C50" s="29" t="s">
        <v>10102</v>
      </c>
      <c r="K50" s="119" t="s">
        <v>380</v>
      </c>
      <c r="L50" s="120">
        <v>1</v>
      </c>
      <c r="M50" s="123"/>
      <c r="O50" s="119" t="s">
        <v>598</v>
      </c>
      <c r="P50" s="120">
        <v>1</v>
      </c>
      <c r="Q50" s="123"/>
      <c r="S50" s="454" t="s">
        <v>406</v>
      </c>
      <c r="T50" s="150">
        <v>1000</v>
      </c>
      <c r="U50" s="151">
        <v>72.489999999999995</v>
      </c>
      <c r="W50" s="538" t="s">
        <v>820</v>
      </c>
      <c r="X50" s="539"/>
      <c r="Y50" s="539"/>
      <c r="Z50" s="539"/>
      <c r="AA50" s="540"/>
    </row>
    <row r="51" spans="1:63" ht="17.25" thickBot="1" x14ac:dyDescent="0.3">
      <c r="C51" s="29" t="s">
        <v>503</v>
      </c>
      <c r="K51" s="767" t="s">
        <v>10330</v>
      </c>
      <c r="L51" s="768">
        <v>33.299999999999997</v>
      </c>
      <c r="M51" s="766">
        <v>55.78</v>
      </c>
      <c r="N51" s="148">
        <v>3</v>
      </c>
      <c r="O51" s="663" t="s">
        <v>10199</v>
      </c>
      <c r="P51" s="145">
        <v>10</v>
      </c>
      <c r="Q51" s="146">
        <v>4.7</v>
      </c>
      <c r="S51" t="s">
        <v>408</v>
      </c>
      <c r="T51" s="52">
        <v>1000</v>
      </c>
      <c r="U51" s="60" t="s">
        <v>906</v>
      </c>
      <c r="W51" s="111" t="s">
        <v>1020</v>
      </c>
      <c r="X51" s="114" t="s">
        <v>1027</v>
      </c>
      <c r="Y51" s="111" t="s">
        <v>1030</v>
      </c>
      <c r="Z51" s="111" t="s">
        <v>1019</v>
      </c>
      <c r="AA51" s="111" t="s">
        <v>1026</v>
      </c>
      <c r="AC51" s="1400" t="s">
        <v>736</v>
      </c>
      <c r="AD51" s="1401"/>
      <c r="AE51" s="1401"/>
      <c r="AF51" s="1401"/>
      <c r="AG51" s="1401"/>
      <c r="AH51" s="1401"/>
      <c r="AI51" s="1401"/>
      <c r="AJ51" s="1401"/>
      <c r="AK51" s="1401"/>
      <c r="AL51" s="1401"/>
      <c r="AM51" s="1401"/>
      <c r="AN51" s="1401"/>
      <c r="AO51" s="1401"/>
      <c r="AP51" s="1401"/>
      <c r="AQ51" s="1401"/>
      <c r="AR51" s="1401"/>
      <c r="AS51" s="1401"/>
      <c r="AT51" s="1401"/>
      <c r="AU51" s="1401"/>
      <c r="AV51" s="1401"/>
      <c r="AW51" s="1401"/>
      <c r="AX51" s="1401"/>
      <c r="AY51" s="1401"/>
      <c r="AZ51" s="1401"/>
      <c r="BA51" s="1401"/>
      <c r="BB51" s="1401"/>
      <c r="BC51" s="1401"/>
      <c r="BD51" s="1401"/>
      <c r="BE51" s="1401"/>
      <c r="BF51" s="1401"/>
      <c r="BG51" s="1401"/>
      <c r="BH51" s="1401"/>
      <c r="BI51" s="1401"/>
      <c r="BJ51" s="1401"/>
      <c r="BK51" s="1402"/>
    </row>
    <row r="52" spans="1:63" x14ac:dyDescent="0.25">
      <c r="A52" s="98"/>
      <c r="B52" s="99"/>
      <c r="C52" s="670" t="s">
        <v>10115</v>
      </c>
      <c r="K52" s="767" t="s">
        <v>10331</v>
      </c>
      <c r="L52" s="768">
        <v>33.299999999999997</v>
      </c>
      <c r="M52" s="766">
        <v>65.28</v>
      </c>
      <c r="N52" s="148">
        <v>3</v>
      </c>
      <c r="O52" s="144" t="s">
        <v>10215</v>
      </c>
      <c r="P52" s="145">
        <v>10</v>
      </c>
      <c r="Q52" s="146">
        <v>7.32</v>
      </c>
      <c r="S52" s="454" t="s">
        <v>409</v>
      </c>
      <c r="T52" s="150">
        <v>1000</v>
      </c>
      <c r="U52" s="151">
        <v>172.38</v>
      </c>
      <c r="W52" s="111" t="s">
        <v>1016</v>
      </c>
      <c r="X52" s="114" t="s">
        <v>1017</v>
      </c>
      <c r="Y52" s="111" t="s">
        <v>1029</v>
      </c>
      <c r="Z52" s="111" t="s">
        <v>1022</v>
      </c>
      <c r="AA52" s="111" t="s">
        <v>1021</v>
      </c>
    </row>
    <row r="53" spans="1:63" x14ac:dyDescent="0.25">
      <c r="C53" s="29" t="s">
        <v>10113</v>
      </c>
      <c r="K53" s="663" t="s">
        <v>748</v>
      </c>
      <c r="L53" s="145">
        <v>69</v>
      </c>
      <c r="M53" s="146">
        <f>M43</f>
        <v>83.55</v>
      </c>
      <c r="N53" s="148">
        <v>4</v>
      </c>
      <c r="O53" s="736" t="s">
        <v>10200</v>
      </c>
      <c r="P53" s="733">
        <v>10</v>
      </c>
      <c r="Q53" s="734">
        <v>7.5</v>
      </c>
      <c r="S53" t="s">
        <v>410</v>
      </c>
      <c r="T53" s="52">
        <v>1000</v>
      </c>
      <c r="U53" s="60" t="s">
        <v>906</v>
      </c>
      <c r="W53" s="111" t="s">
        <v>1018</v>
      </c>
      <c r="X53" s="114" t="s">
        <v>1023</v>
      </c>
      <c r="Y53" s="111" t="s">
        <v>1028</v>
      </c>
      <c r="Z53" s="111" t="s">
        <v>1024</v>
      </c>
      <c r="AA53" s="111" t="s">
        <v>1025</v>
      </c>
    </row>
    <row r="54" spans="1:63" x14ac:dyDescent="0.25">
      <c r="C54" s="29" t="s">
        <v>10109</v>
      </c>
      <c r="O54" s="144" t="s">
        <v>10201</v>
      </c>
      <c r="P54" s="145">
        <v>10</v>
      </c>
      <c r="Q54" s="625">
        <v>12</v>
      </c>
      <c r="S54" t="s">
        <v>412</v>
      </c>
      <c r="T54" s="52">
        <v>1000</v>
      </c>
      <c r="U54" s="60">
        <v>68</v>
      </c>
    </row>
    <row r="55" spans="1:63" x14ac:dyDescent="0.25">
      <c r="C55" s="29" t="s">
        <v>10106</v>
      </c>
      <c r="O55" s="161" t="s">
        <v>10202</v>
      </c>
      <c r="P55" s="145">
        <v>10</v>
      </c>
      <c r="Q55" s="625">
        <v>9.56</v>
      </c>
      <c r="S55" s="144" t="s">
        <v>917</v>
      </c>
      <c r="T55" s="145">
        <v>1000</v>
      </c>
      <c r="U55" s="146">
        <v>70.599999999999994</v>
      </c>
    </row>
    <row r="56" spans="1:63" x14ac:dyDescent="0.25">
      <c r="C56" s="29" t="s">
        <v>10108</v>
      </c>
      <c r="O56" s="161" t="s">
        <v>10203</v>
      </c>
      <c r="P56" s="145">
        <v>10</v>
      </c>
      <c r="Q56" s="625">
        <v>9.56</v>
      </c>
      <c r="S56" s="454" t="s">
        <v>405</v>
      </c>
      <c r="T56" s="150">
        <v>1000</v>
      </c>
      <c r="U56" s="151">
        <v>124.93</v>
      </c>
    </row>
    <row r="57" spans="1:63" x14ac:dyDescent="0.25">
      <c r="C57" s="29" t="s">
        <v>10105</v>
      </c>
      <c r="O57" s="161" t="s">
        <v>10204</v>
      </c>
      <c r="P57" s="145">
        <v>10</v>
      </c>
      <c r="Q57" s="625">
        <v>9.56</v>
      </c>
      <c r="S57" s="767" t="s">
        <v>1229</v>
      </c>
      <c r="T57" s="768">
        <v>1000</v>
      </c>
      <c r="U57" s="766">
        <v>150</v>
      </c>
    </row>
    <row r="58" spans="1:63" x14ac:dyDescent="0.25">
      <c r="C58" s="29" t="s">
        <v>142</v>
      </c>
      <c r="O58" s="161" t="s">
        <v>10205</v>
      </c>
      <c r="P58" s="145">
        <v>10</v>
      </c>
      <c r="Q58" s="625">
        <v>9.56</v>
      </c>
      <c r="S58" s="162" t="s">
        <v>944</v>
      </c>
      <c r="T58" s="150">
        <v>432</v>
      </c>
      <c r="U58" s="151">
        <v>50.28</v>
      </c>
    </row>
    <row r="59" spans="1:63" x14ac:dyDescent="0.25">
      <c r="C59" s="29" t="s">
        <v>10234</v>
      </c>
      <c r="O59" s="161" t="s">
        <v>10206</v>
      </c>
      <c r="P59" s="145">
        <v>10</v>
      </c>
      <c r="Q59" s="625">
        <v>9.56</v>
      </c>
      <c r="S59" s="162" t="s">
        <v>945</v>
      </c>
      <c r="T59" s="150">
        <v>216</v>
      </c>
      <c r="U59" s="151">
        <v>47.94</v>
      </c>
    </row>
    <row r="60" spans="1:63" x14ac:dyDescent="0.25">
      <c r="C60" s="29" t="s">
        <v>10235</v>
      </c>
      <c r="K60" s="119" t="s">
        <v>381</v>
      </c>
      <c r="L60" s="120">
        <v>1</v>
      </c>
      <c r="M60" s="123"/>
      <c r="O60" s="119" t="s">
        <v>389</v>
      </c>
      <c r="P60" s="120">
        <v>1</v>
      </c>
      <c r="Q60" s="123"/>
      <c r="S60" s="522" t="s">
        <v>10085</v>
      </c>
      <c r="T60" s="509">
        <v>400</v>
      </c>
      <c r="U60" s="510">
        <v>37.450000000000003</v>
      </c>
      <c r="W60" s="538" t="s">
        <v>285</v>
      </c>
      <c r="X60" s="539"/>
      <c r="Y60" s="539"/>
      <c r="Z60" s="539"/>
      <c r="AA60" s="540"/>
    </row>
    <row r="61" spans="1:63" x14ac:dyDescent="0.25">
      <c r="C61" s="29" t="s">
        <v>10112</v>
      </c>
      <c r="K61" s="767" t="s">
        <v>10332</v>
      </c>
      <c r="L61" s="768">
        <v>40</v>
      </c>
      <c r="M61" s="766">
        <v>55.78</v>
      </c>
      <c r="N61" s="148">
        <v>3</v>
      </c>
      <c r="O61" s="663" t="s">
        <v>10207</v>
      </c>
      <c r="P61" s="145">
        <v>10</v>
      </c>
      <c r="Q61" s="146">
        <v>22.42</v>
      </c>
      <c r="S61" s="522" t="s">
        <v>10057</v>
      </c>
      <c r="T61" s="509">
        <v>1000</v>
      </c>
      <c r="U61" s="510">
        <v>135</v>
      </c>
      <c r="W61" s="111" t="s">
        <v>1012</v>
      </c>
      <c r="X61" s="114" t="s">
        <v>1013</v>
      </c>
      <c r="AA61" s="111" t="s">
        <v>1014</v>
      </c>
    </row>
    <row r="62" spans="1:63" x14ac:dyDescent="0.25">
      <c r="C62" s="29" t="s">
        <v>10114</v>
      </c>
      <c r="K62" s="767" t="s">
        <v>10333</v>
      </c>
      <c r="L62" s="768">
        <v>40</v>
      </c>
      <c r="M62" s="766">
        <v>65.28</v>
      </c>
      <c r="N62" s="148">
        <v>3</v>
      </c>
      <c r="O62" s="454" t="s">
        <v>10208</v>
      </c>
      <c r="P62" s="150">
        <v>10</v>
      </c>
      <c r="Q62" s="625">
        <v>30</v>
      </c>
      <c r="S62" s="736" t="s">
        <v>10290</v>
      </c>
      <c r="T62" s="733">
        <v>1000</v>
      </c>
      <c r="U62" s="734">
        <v>65</v>
      </c>
      <c r="W62" s="111" t="s">
        <v>950</v>
      </c>
      <c r="X62" s="114" t="s">
        <v>1006</v>
      </c>
      <c r="AA62" s="111" t="s">
        <v>951</v>
      </c>
    </row>
    <row r="63" spans="1:63" x14ac:dyDescent="0.25">
      <c r="K63" s="663" t="s">
        <v>749</v>
      </c>
      <c r="L63" s="145">
        <v>69</v>
      </c>
      <c r="M63" s="146">
        <f>M43</f>
        <v>83.55</v>
      </c>
      <c r="N63" s="148">
        <v>4</v>
      </c>
      <c r="O63" s="739" t="s">
        <v>10209</v>
      </c>
      <c r="P63" s="733">
        <v>10</v>
      </c>
      <c r="Q63" s="734">
        <v>33.869999999999997</v>
      </c>
      <c r="S63" s="746" t="s">
        <v>10294</v>
      </c>
      <c r="T63" s="743"/>
      <c r="U63" s="744">
        <v>37.450000000000003</v>
      </c>
      <c r="W63" s="111" t="s">
        <v>231</v>
      </c>
      <c r="X63" s="114" t="s">
        <v>894</v>
      </c>
      <c r="AA63" s="111" t="s">
        <v>895</v>
      </c>
    </row>
    <row r="64" spans="1:63" x14ac:dyDescent="0.25">
      <c r="O64" s="454" t="s">
        <v>10291</v>
      </c>
      <c r="P64" s="150">
        <v>10</v>
      </c>
      <c r="Q64" s="625"/>
      <c r="S64" s="746" t="s">
        <v>10295</v>
      </c>
      <c r="T64" s="743"/>
      <c r="U64" s="744">
        <v>34.097999999999999</v>
      </c>
      <c r="W64" s="111" t="s">
        <v>1003</v>
      </c>
      <c r="X64" s="114" t="s">
        <v>1004</v>
      </c>
      <c r="AA64" s="111" t="s">
        <v>1005</v>
      </c>
    </row>
    <row r="65" spans="6:27" x14ac:dyDescent="0.25">
      <c r="O65" s="522" t="s">
        <v>10210</v>
      </c>
      <c r="P65" s="509">
        <v>10</v>
      </c>
      <c r="Q65" s="625">
        <v>25</v>
      </c>
      <c r="S65" s="746" t="s">
        <v>10296</v>
      </c>
      <c r="T65" s="743"/>
      <c r="U65" s="744">
        <v>23.9</v>
      </c>
      <c r="W65" s="111" t="s">
        <v>287</v>
      </c>
      <c r="X65" s="114" t="s">
        <v>892</v>
      </c>
      <c r="AA65" s="111" t="s">
        <v>897</v>
      </c>
    </row>
    <row r="66" spans="6:27" x14ac:dyDescent="0.25">
      <c r="O66" s="144" t="s">
        <v>10211</v>
      </c>
      <c r="P66" s="145">
        <v>10</v>
      </c>
      <c r="Q66" s="625">
        <v>32</v>
      </c>
      <c r="S66" s="746" t="s">
        <v>10297</v>
      </c>
      <c r="T66" s="743"/>
      <c r="U66" s="744">
        <v>40</v>
      </c>
      <c r="W66" s="111" t="s">
        <v>889</v>
      </c>
      <c r="X66" s="114" t="s">
        <v>891</v>
      </c>
      <c r="AA66" s="111" t="s">
        <v>890</v>
      </c>
    </row>
    <row r="67" spans="6:27" x14ac:dyDescent="0.25">
      <c r="O67" s="736" t="s">
        <v>10212</v>
      </c>
      <c r="P67" s="733">
        <v>10</v>
      </c>
      <c r="Q67" s="734">
        <v>38.75</v>
      </c>
      <c r="S67" s="746" t="s">
        <v>10298</v>
      </c>
      <c r="T67" s="743">
        <v>1000</v>
      </c>
      <c r="U67" s="744">
        <v>73.599999999999994</v>
      </c>
      <c r="W67" s="111" t="s">
        <v>286</v>
      </c>
      <c r="X67" s="114" t="s">
        <v>893</v>
      </c>
      <c r="AA67" s="111" t="s">
        <v>896</v>
      </c>
    </row>
    <row r="68" spans="6:27" x14ac:dyDescent="0.25">
      <c r="O68" s="144" t="s">
        <v>10213</v>
      </c>
      <c r="P68" s="145">
        <v>10</v>
      </c>
      <c r="Q68" s="625">
        <v>35.299999999999997</v>
      </c>
      <c r="W68" s="111" t="s">
        <v>10093</v>
      </c>
      <c r="X68" s="114" t="s">
        <v>10091</v>
      </c>
      <c r="AA68" s="111" t="s">
        <v>10092</v>
      </c>
    </row>
    <row r="69" spans="6:27" x14ac:dyDescent="0.25">
      <c r="O69" s="144" t="s">
        <v>10214</v>
      </c>
      <c r="P69" s="145">
        <v>10</v>
      </c>
      <c r="Q69" s="625">
        <v>41</v>
      </c>
    </row>
    <row r="70" spans="6:27" x14ac:dyDescent="0.25">
      <c r="O70" s="160" t="s">
        <v>413</v>
      </c>
      <c r="P70" s="120">
        <v>1</v>
      </c>
      <c r="Q70" s="123"/>
    </row>
    <row r="71" spans="6:27" x14ac:dyDescent="0.25">
      <c r="O71" s="161" t="s">
        <v>929</v>
      </c>
      <c r="P71" s="145">
        <v>1</v>
      </c>
      <c r="Q71" s="146">
        <v>18.98</v>
      </c>
    </row>
    <row r="72" spans="6:27" x14ac:dyDescent="0.25">
      <c r="O72" s="162" t="s">
        <v>932</v>
      </c>
      <c r="P72" s="150">
        <v>1</v>
      </c>
      <c r="Q72" s="151">
        <v>20.239999999999998</v>
      </c>
    </row>
    <row r="73" spans="6:27" x14ac:dyDescent="0.25">
      <c r="O73" s="162" t="s">
        <v>931</v>
      </c>
      <c r="P73" s="150">
        <v>1</v>
      </c>
      <c r="Q73" s="151">
        <v>24.84</v>
      </c>
    </row>
    <row r="80" spans="6:27" x14ac:dyDescent="0.25">
      <c r="F80" s="119" t="s">
        <v>956</v>
      </c>
      <c r="G80" s="120">
        <v>1</v>
      </c>
      <c r="H80" s="124">
        <v>0</v>
      </c>
      <c r="I80" s="127">
        <v>0</v>
      </c>
      <c r="K80" s="119" t="s">
        <v>946</v>
      </c>
      <c r="L80" s="120">
        <v>1</v>
      </c>
      <c r="M80" s="123"/>
      <c r="O80" s="160" t="s">
        <v>949</v>
      </c>
      <c r="P80" s="120">
        <v>1</v>
      </c>
      <c r="Q80" s="123"/>
      <c r="S80" s="160" t="s">
        <v>1015</v>
      </c>
      <c r="T80" s="120">
        <v>1</v>
      </c>
      <c r="U80" s="123"/>
      <c r="W80" s="1397" t="s">
        <v>959</v>
      </c>
      <c r="X80" s="1398"/>
      <c r="Y80" s="1398"/>
      <c r="Z80" s="1398"/>
      <c r="AA80" s="1399"/>
    </row>
    <row r="81" spans="6:27" x14ac:dyDescent="0.25">
      <c r="F81" s="454" t="s">
        <v>953</v>
      </c>
      <c r="G81" s="150">
        <v>2</v>
      </c>
      <c r="H81" s="151">
        <v>142.36000000000001</v>
      </c>
      <c r="I81" s="152">
        <v>100</v>
      </c>
      <c r="K81" s="522" t="s">
        <v>10079</v>
      </c>
      <c r="L81" s="509">
        <v>4</v>
      </c>
      <c r="M81" s="510">
        <v>20.350000000000001</v>
      </c>
      <c r="O81" s="521" t="s">
        <v>10069</v>
      </c>
      <c r="P81" s="509" t="s">
        <v>937</v>
      </c>
      <c r="Q81" s="510">
        <v>17.649999999999999</v>
      </c>
      <c r="S81" s="162" t="s">
        <v>927</v>
      </c>
      <c r="T81" s="150">
        <v>1</v>
      </c>
      <c r="U81" s="151">
        <v>11.86</v>
      </c>
      <c r="W81" s="111" t="s">
        <v>961</v>
      </c>
      <c r="AA81" s="111" t="s">
        <v>974</v>
      </c>
    </row>
    <row r="82" spans="6:27" x14ac:dyDescent="0.25">
      <c r="F82" s="454" t="s">
        <v>954</v>
      </c>
      <c r="G82" s="150">
        <v>2</v>
      </c>
      <c r="H82" s="151">
        <v>164.63</v>
      </c>
      <c r="I82" s="152">
        <v>100</v>
      </c>
      <c r="K82" s="739" t="s">
        <v>326</v>
      </c>
      <c r="L82" s="733">
        <v>200</v>
      </c>
      <c r="M82" s="734">
        <v>12.45</v>
      </c>
      <c r="O82" s="521" t="s">
        <v>10068</v>
      </c>
      <c r="P82" s="509" t="s">
        <v>937</v>
      </c>
      <c r="Q82" s="510">
        <v>3.65</v>
      </c>
      <c r="S82" s="162" t="s">
        <v>928</v>
      </c>
      <c r="T82" s="150">
        <v>1</v>
      </c>
      <c r="U82" s="151">
        <v>7.74</v>
      </c>
      <c r="W82" s="111" t="s">
        <v>200</v>
      </c>
      <c r="AA82" s="111" t="s">
        <v>973</v>
      </c>
    </row>
    <row r="83" spans="6:27" x14ac:dyDescent="0.25">
      <c r="F83" s="454" t="s">
        <v>955</v>
      </c>
      <c r="G83" s="150">
        <v>1</v>
      </c>
      <c r="H83" s="151">
        <v>179.54</v>
      </c>
      <c r="I83" s="152">
        <v>100</v>
      </c>
      <c r="K83" s="521" t="s">
        <v>327</v>
      </c>
      <c r="L83" s="509">
        <v>300</v>
      </c>
      <c r="M83" s="510">
        <v>17.25</v>
      </c>
      <c r="O83" s="521" t="s">
        <v>10067</v>
      </c>
      <c r="P83" s="509" t="s">
        <v>937</v>
      </c>
      <c r="Q83" s="510">
        <v>14.85</v>
      </c>
      <c r="S83" s="162" t="s">
        <v>930</v>
      </c>
      <c r="T83" s="150">
        <v>1</v>
      </c>
      <c r="U83" s="151">
        <v>8.31</v>
      </c>
      <c r="W83" s="111" t="s">
        <v>201</v>
      </c>
      <c r="AA83" s="111" t="s">
        <v>975</v>
      </c>
    </row>
    <row r="84" spans="6:27" x14ac:dyDescent="0.25">
      <c r="F84" s="166" t="s">
        <v>1001</v>
      </c>
      <c r="G84" s="167">
        <v>2</v>
      </c>
      <c r="H84" s="168">
        <v>71.900000000000006</v>
      </c>
      <c r="I84" s="169">
        <v>100</v>
      </c>
      <c r="K84" s="739" t="s">
        <v>925</v>
      </c>
      <c r="L84" s="733">
        <v>50</v>
      </c>
      <c r="M84" s="734">
        <v>13.05</v>
      </c>
      <c r="O84" s="521" t="s">
        <v>939</v>
      </c>
      <c r="P84" s="509" t="s">
        <v>937</v>
      </c>
      <c r="Q84" s="510">
        <v>19.88</v>
      </c>
      <c r="W84" s="111" t="s">
        <v>222</v>
      </c>
    </row>
    <row r="85" spans="6:27" x14ac:dyDescent="0.25">
      <c r="F85" s="166" t="s">
        <v>1002</v>
      </c>
      <c r="G85" s="167">
        <v>2</v>
      </c>
      <c r="H85" s="168">
        <v>78.849999999999994</v>
      </c>
      <c r="I85" s="169">
        <v>100</v>
      </c>
      <c r="K85" s="521" t="s">
        <v>924</v>
      </c>
      <c r="L85" s="509">
        <v>50</v>
      </c>
      <c r="M85" s="510">
        <v>11.75</v>
      </c>
      <c r="O85" s="521" t="s">
        <v>938</v>
      </c>
      <c r="P85" s="509" t="s">
        <v>937</v>
      </c>
      <c r="Q85" s="510">
        <v>3.95</v>
      </c>
      <c r="W85" s="111" t="s">
        <v>221</v>
      </c>
    </row>
    <row r="86" spans="6:27" x14ac:dyDescent="0.25">
      <c r="F86" s="454" t="s">
        <v>1219</v>
      </c>
      <c r="H86" s="60">
        <v>73.84</v>
      </c>
      <c r="K86" s="521" t="s">
        <v>935</v>
      </c>
      <c r="L86" s="509">
        <v>130</v>
      </c>
      <c r="M86" s="510">
        <v>107.83</v>
      </c>
      <c r="O86" s="521" t="s">
        <v>936</v>
      </c>
      <c r="P86" s="509" t="s">
        <v>937</v>
      </c>
      <c r="Q86" s="510">
        <v>16.25</v>
      </c>
      <c r="W86" s="111" t="s">
        <v>960</v>
      </c>
    </row>
    <row r="87" spans="6:27" x14ac:dyDescent="0.25">
      <c r="K87" s="521" t="s">
        <v>933</v>
      </c>
      <c r="L87" s="509">
        <v>117</v>
      </c>
      <c r="M87" s="510">
        <v>82.1</v>
      </c>
      <c r="O87" s="521" t="s">
        <v>942</v>
      </c>
      <c r="P87" s="509" t="s">
        <v>937</v>
      </c>
      <c r="Q87" s="510">
        <v>23.8</v>
      </c>
      <c r="W87" s="111" t="s">
        <v>963</v>
      </c>
    </row>
    <row r="88" spans="6:27" x14ac:dyDescent="0.25">
      <c r="K88" s="521" t="s">
        <v>10064</v>
      </c>
      <c r="L88" s="509">
        <v>4</v>
      </c>
      <c r="M88" s="510">
        <v>13.65</v>
      </c>
      <c r="O88" s="521" t="s">
        <v>941</v>
      </c>
      <c r="P88" s="509" t="s">
        <v>937</v>
      </c>
      <c r="Q88" s="510">
        <v>4.2</v>
      </c>
      <c r="W88" s="111" t="s">
        <v>219</v>
      </c>
    </row>
    <row r="89" spans="6:27" x14ac:dyDescent="0.25">
      <c r="K89" s="521" t="s">
        <v>10065</v>
      </c>
      <c r="L89" s="509">
        <v>200</v>
      </c>
      <c r="M89" s="510">
        <v>164.5</v>
      </c>
      <c r="O89" s="521" t="s">
        <v>940</v>
      </c>
      <c r="P89" s="509" t="s">
        <v>937</v>
      </c>
      <c r="Q89" s="510">
        <v>16.75</v>
      </c>
      <c r="W89" s="111" t="s">
        <v>220</v>
      </c>
    </row>
    <row r="90" spans="6:27" x14ac:dyDescent="0.25">
      <c r="K90" s="521" t="s">
        <v>10066</v>
      </c>
      <c r="L90" s="509">
        <v>400</v>
      </c>
      <c r="M90" s="510">
        <v>230</v>
      </c>
      <c r="O90" s="521" t="s">
        <v>10070</v>
      </c>
      <c r="P90" s="509" t="s">
        <v>937</v>
      </c>
      <c r="Q90" s="510">
        <v>28.3</v>
      </c>
      <c r="W90" s="111" t="s">
        <v>962</v>
      </c>
    </row>
    <row r="91" spans="6:27" x14ac:dyDescent="0.25">
      <c r="K91" s="521" t="s">
        <v>947</v>
      </c>
      <c r="L91" s="509">
        <v>1200</v>
      </c>
      <c r="M91" s="510">
        <v>210</v>
      </c>
      <c r="O91" s="521" t="s">
        <v>10071</v>
      </c>
      <c r="P91" s="509" t="s">
        <v>937</v>
      </c>
      <c r="Q91" s="510">
        <v>4.45</v>
      </c>
      <c r="W91" s="111" t="s">
        <v>964</v>
      </c>
    </row>
    <row r="92" spans="6:27" x14ac:dyDescent="0.25">
      <c r="K92" s="521" t="s">
        <v>948</v>
      </c>
      <c r="L92" s="509">
        <v>800</v>
      </c>
      <c r="M92" s="510">
        <v>185</v>
      </c>
      <c r="O92" s="521" t="s">
        <v>10072</v>
      </c>
      <c r="P92" s="509" t="s">
        <v>937</v>
      </c>
      <c r="Q92" s="510">
        <v>22.35</v>
      </c>
      <c r="W92" s="111" t="s">
        <v>965</v>
      </c>
    </row>
    <row r="93" spans="6:27" x14ac:dyDescent="0.25">
      <c r="K93" s="454" t="s">
        <v>934</v>
      </c>
      <c r="L93" s="150">
        <v>600</v>
      </c>
      <c r="M93" s="151">
        <v>110.49</v>
      </c>
      <c r="O93" s="521" t="s">
        <v>10073</v>
      </c>
      <c r="P93" s="509" t="s">
        <v>937</v>
      </c>
      <c r="Q93" s="510">
        <v>30.05</v>
      </c>
      <c r="W93" s="111" t="s">
        <v>966</v>
      </c>
    </row>
    <row r="94" spans="6:27" x14ac:dyDescent="0.25">
      <c r="K94" s="454" t="s">
        <v>926</v>
      </c>
      <c r="L94" s="150"/>
      <c r="M94" s="151">
        <v>78.47</v>
      </c>
      <c r="O94" s="521" t="s">
        <v>10074</v>
      </c>
      <c r="P94" s="509" t="s">
        <v>937</v>
      </c>
      <c r="Q94" s="510">
        <v>5.35</v>
      </c>
      <c r="W94" s="111" t="s">
        <v>967</v>
      </c>
    </row>
    <row r="95" spans="6:27" x14ac:dyDescent="0.25">
      <c r="K95" s="521" t="s">
        <v>1218</v>
      </c>
      <c r="L95" s="509">
        <v>30</v>
      </c>
      <c r="M95" s="510">
        <v>138.6</v>
      </c>
      <c r="O95" s="521" t="s">
        <v>10075</v>
      </c>
      <c r="P95" s="509" t="s">
        <v>937</v>
      </c>
      <c r="Q95" s="510">
        <v>24.05</v>
      </c>
      <c r="W95" s="111" t="s">
        <v>968</v>
      </c>
    </row>
    <row r="96" spans="6:27" x14ac:dyDescent="0.25">
      <c r="K96" s="770" t="s">
        <v>1230</v>
      </c>
      <c r="L96" s="768">
        <v>20</v>
      </c>
      <c r="M96" s="766">
        <v>80</v>
      </c>
      <c r="O96" s="521" t="s">
        <v>10076</v>
      </c>
      <c r="P96" s="509" t="s">
        <v>937</v>
      </c>
      <c r="Q96" s="510">
        <v>9.25</v>
      </c>
      <c r="W96" s="111" t="s">
        <v>969</v>
      </c>
    </row>
    <row r="97" spans="11:17" x14ac:dyDescent="0.25">
      <c r="K97" s="454" t="s">
        <v>1231</v>
      </c>
      <c r="L97" s="52">
        <v>4</v>
      </c>
      <c r="M97" s="60">
        <v>28.99</v>
      </c>
      <c r="O97" s="521" t="s">
        <v>10077</v>
      </c>
      <c r="P97" s="509" t="s">
        <v>937</v>
      </c>
      <c r="Q97" s="510">
        <v>36.4</v>
      </c>
    </row>
    <row r="98" spans="11:17" x14ac:dyDescent="0.25">
      <c r="K98" t="s">
        <v>10155</v>
      </c>
      <c r="M98" s="60">
        <v>71.77</v>
      </c>
      <c r="O98" s="521" t="s">
        <v>10078</v>
      </c>
      <c r="P98" s="509" t="s">
        <v>937</v>
      </c>
      <c r="Q98" s="510">
        <v>66.349999999999994</v>
      </c>
    </row>
    <row r="99" spans="11:17" x14ac:dyDescent="0.25">
      <c r="K99" s="522" t="s">
        <v>10080</v>
      </c>
      <c r="L99" s="509"/>
      <c r="M99" s="510">
        <v>11.35</v>
      </c>
    </row>
    <row r="100" spans="11:17" x14ac:dyDescent="0.25">
      <c r="K100" s="522" t="s">
        <v>2363</v>
      </c>
      <c r="L100" s="509"/>
      <c r="M100" s="510">
        <v>36.5</v>
      </c>
    </row>
    <row r="101" spans="11:17" x14ac:dyDescent="0.25">
      <c r="K101" s="522" t="s">
        <v>2455</v>
      </c>
      <c r="L101" s="509"/>
      <c r="M101" s="510">
        <v>228.35</v>
      </c>
    </row>
    <row r="102" spans="11:17" x14ac:dyDescent="0.25">
      <c r="K102" s="522" t="s">
        <v>2457</v>
      </c>
      <c r="L102" s="509"/>
      <c r="M102" s="510">
        <v>97.69</v>
      </c>
    </row>
    <row r="106" spans="11:17" x14ac:dyDescent="0.25">
      <c r="O106" s="770" t="s">
        <v>10327</v>
      </c>
      <c r="P106" s="768">
        <v>50</v>
      </c>
      <c r="Q106" s="766">
        <v>450</v>
      </c>
    </row>
    <row r="107" spans="11:17" x14ac:dyDescent="0.25">
      <c r="O107" s="770" t="s">
        <v>10326</v>
      </c>
      <c r="P107" s="768">
        <v>1</v>
      </c>
      <c r="Q107" s="766">
        <v>15</v>
      </c>
    </row>
  </sheetData>
  <sortState xmlns:xlrd2="http://schemas.microsoft.com/office/spreadsheetml/2017/richdata2" ref="BO1:BO83">
    <sortCondition ref="BO1:BO83"/>
  </sortState>
  <mergeCells count="7">
    <mergeCell ref="A5:D7"/>
    <mergeCell ref="AC1:BK1"/>
    <mergeCell ref="W1:AA1"/>
    <mergeCell ref="AC3:BK3"/>
    <mergeCell ref="W80:AA80"/>
    <mergeCell ref="AC51:BK51"/>
    <mergeCell ref="AC2:BK2"/>
  </mergeCells>
  <phoneticPr fontId="57" type="noConversion"/>
  <hyperlinks>
    <hyperlink ref="X5" r:id="rId1" xr:uid="{CA3B4028-D3D5-4295-9D20-E44039897502}"/>
    <hyperlink ref="X4" r:id="rId2" xr:uid="{5B91CD6B-BB53-481B-B3FC-E5E2AFDF8534}"/>
    <hyperlink ref="X31" r:id="rId3" xr:uid="{DCE4C082-0C2F-41FF-99E4-DC5131B1FB36}"/>
    <hyperlink ref="X41" r:id="rId4" xr:uid="{A57BE8CC-B56F-4E48-93C6-7AE514FC7FB9}"/>
    <hyperlink ref="X45" r:id="rId5" display="info@peakscaffold.com" xr:uid="{DFDCCF18-3A1B-443F-BDD9-44FA7DC6375B}"/>
    <hyperlink ref="X32" r:id="rId6" xr:uid="{737D7E7E-E236-4676-B740-BB378CF1A358}"/>
    <hyperlink ref="X33" r:id="rId7" xr:uid="{51B4A5B8-897B-4946-8B94-23B11F1E7ADA}"/>
    <hyperlink ref="X34" r:id="rId8" xr:uid="{FD4CE639-5E11-4E92-8A4C-DF65EDAB7D08}"/>
    <hyperlink ref="X22" r:id="rId9" xr:uid="{AE31F6E6-6AC7-416D-BEF9-6B135B22B563}"/>
    <hyperlink ref="X21" r:id="rId10" xr:uid="{C51B8BD2-BF17-4BF8-93A9-48A9B9160D72}"/>
    <hyperlink ref="X24" r:id="rId11" xr:uid="{796D76B3-B511-493B-A598-624028F9C403}"/>
    <hyperlink ref="X8" r:id="rId12" xr:uid="{6A37AA87-DD93-45E0-80E0-7229D190EB8D}"/>
    <hyperlink ref="X6" r:id="rId13" xr:uid="{14E11EA7-9AA7-4C46-91BD-DCD27E8B880E}"/>
    <hyperlink ref="X9" r:id="rId14" xr:uid="{347BDA28-91E3-4AE9-8A52-0CFA22752259}"/>
    <hyperlink ref="X13" r:id="rId15" xr:uid="{D8C05656-7022-4DB5-B120-AA754E67E6DF}"/>
    <hyperlink ref="X66" r:id="rId16" display="Dustin_MacPherson@hotmail.com" xr:uid="{EB71BE99-E8BF-4D92-B62E-AD2C3EBE245B}"/>
    <hyperlink ref="X65" r:id="rId17" display="calgaryroofing@monarchcentres.com" xr:uid="{AED4DD1B-9876-4FF4-BD47-B70094A78691}"/>
    <hyperlink ref="X67" r:id="rId18" display="orders.calgarysouth@roofmart.ca" xr:uid="{597CC75E-F345-4442-9C97-D9A6860B201B}"/>
    <hyperlink ref="X63" r:id="rId19" display="orders.calgarynorth@roofmart.ca" xr:uid="{267830BF-1E83-4778-8518-B1D11C83DA93}"/>
    <hyperlink ref="X3" r:id="rId20" xr:uid="{45F0C003-CB9A-42E0-81E7-6199620BFB11}"/>
    <hyperlink ref="X11" r:id="rId21" display="info@jaysmetal.net" xr:uid="{92A7F660-2BBF-4624-B4C0-CD9E0FC34050}"/>
    <hyperlink ref="X12" r:id="rId22" display="info@euroshieldroofing.com" xr:uid="{7F7910E1-E2B8-4E31-8374-A6E0146055AE}"/>
    <hyperlink ref="X64" r:id="rId23" xr:uid="{45922EDA-B65A-4CDB-87AA-E96A0652BD0A}"/>
    <hyperlink ref="X62" r:id="rId24" xr:uid="{9174A459-054B-4291-8A21-25839A7E7706}"/>
    <hyperlink ref="X61" r:id="rId25" xr:uid="{148E91CB-16A3-4002-8E44-66188A5D0490}"/>
    <hyperlink ref="X52" r:id="rId26" xr:uid="{158016F3-8D2D-4660-9860-FACC9140E58E}"/>
    <hyperlink ref="X53" r:id="rId27" xr:uid="{FD334540-C8F6-4ADF-AA82-5B3E81177CE6}"/>
    <hyperlink ref="X51" r:id="rId28" xr:uid="{419D3061-4860-4651-8E75-EF9E77EED8CA}"/>
    <hyperlink ref="X43" r:id="rId29" xr:uid="{2229FC6E-CAB2-4AF7-96ED-E039E29273D7}"/>
    <hyperlink ref="AC29" r:id="rId30" display="mailto:Darin.Koch@saint-gobain.com" xr:uid="{7002E96C-8DC5-4AC7-85FF-A1DAC8968D7E}"/>
    <hyperlink ref="AC30" r:id="rId31" display="mailto:Shelby.Ensign@saint-gobain.com" xr:uid="{28ECBA7D-25CD-4E74-89B4-675B533A281D}"/>
    <hyperlink ref="AC31" r:id="rId32" display="mailto:Maria.Creencia@saint-gobain.com" xr:uid="{8F9DB9C9-7D85-4EBE-A88A-9163C384C116}"/>
    <hyperlink ref="AC32" r:id="rId33" display="mailto:Thomas.DePauw@saint-gobain.com" xr:uid="{BF86D193-75F6-4A35-BCA7-35735587D6BE}"/>
    <hyperlink ref="AC33" r:id="rId34" display="mailto:orderdeskcalgary@saint-gobain.com" xr:uid="{A945454E-CD93-4A02-A295-24A0BD4EC53F}"/>
    <hyperlink ref="X68" r:id="rId35" xr:uid="{8E77D76D-98F8-4433-86EB-E597B08B7D73}"/>
    <hyperlink ref="X7" r:id="rId36" xr:uid="{9A5BC324-AF2F-4866-B2AA-9EE044C2D386}"/>
  </hyperlinks>
  <pageMargins left="0.7" right="0.7" top="0.75" bottom="0.75" header="0.3" footer="0.3"/>
  <pageSetup orientation="portrait" r:id="rId37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C93526-AD1A-4BF2-9A4F-9B8E1E5D7C77}">
  <sheetPr codeName="Sheet2">
    <tabColor theme="9" tint="0.39997558519241921"/>
    <pageSetUpPr fitToPage="1"/>
  </sheetPr>
  <dimension ref="A1:BR140"/>
  <sheetViews>
    <sheetView workbookViewId="0">
      <selection activeCell="L13" sqref="L13"/>
    </sheetView>
  </sheetViews>
  <sheetFormatPr defaultRowHeight="21" customHeight="1" x14ac:dyDescent="0.2"/>
  <cols>
    <col min="1" max="1" width="30.7109375" style="1" customWidth="1"/>
    <col min="2" max="2" width="1.42578125" style="1" customWidth="1"/>
    <col min="3" max="3" width="7.7109375" style="11" customWidth="1"/>
    <col min="4" max="4" width="7.7109375" style="12" customWidth="1"/>
    <col min="5" max="6" width="4.7109375" style="11" customWidth="1"/>
    <col min="7" max="7" width="4.7109375" style="1" customWidth="1"/>
    <col min="8" max="9" width="4.7109375" style="11" customWidth="1"/>
    <col min="10" max="10" width="4.7109375" style="1" customWidth="1"/>
    <col min="11" max="12" width="4.7109375" style="11" customWidth="1"/>
    <col min="13" max="13" width="4.7109375" style="1" customWidth="1"/>
    <col min="14" max="16" width="4.7109375" style="11" customWidth="1"/>
    <col min="17" max="17" width="4.7109375" style="1" customWidth="1"/>
    <col min="18" max="21" width="4.7109375" style="11" customWidth="1"/>
    <col min="22" max="22" width="4.7109375" style="1" customWidth="1"/>
    <col min="23" max="25" width="4.7109375" style="11" customWidth="1"/>
    <col min="26" max="26" width="4.7109375" style="1" customWidth="1"/>
    <col min="27" max="28" width="4.7109375" style="11" customWidth="1"/>
    <col min="29" max="29" width="4.7109375" style="1" customWidth="1"/>
    <col min="30" max="31" width="4.7109375" style="11" customWidth="1"/>
    <col min="32" max="32" width="4.7109375" style="1" customWidth="1"/>
    <col min="33" max="33" width="4.7109375" style="11" customWidth="1"/>
    <col min="34" max="34" width="4.7109375" style="1" customWidth="1"/>
    <col min="35" max="37" width="4.7109375" style="11" customWidth="1"/>
    <col min="38" max="38" width="4.7109375" style="1" customWidth="1"/>
    <col min="39" max="40" width="4.7109375" style="11" customWidth="1"/>
    <col min="41" max="41" width="4.7109375" style="1" customWidth="1"/>
    <col min="42" max="44" width="4.7109375" style="11" customWidth="1"/>
    <col min="45" max="45" width="4.7109375" style="1" customWidth="1"/>
    <col min="46" max="48" width="4.7109375" style="11" customWidth="1"/>
    <col min="49" max="49" width="3.85546875" style="1" customWidth="1"/>
    <col min="50" max="50" width="0.42578125" style="1" customWidth="1"/>
    <col min="51" max="51" width="5.140625" style="1" customWidth="1"/>
    <col min="52" max="53" width="6.5703125" style="1" customWidth="1"/>
    <col min="54" max="55" width="9.140625" style="1"/>
    <col min="56" max="56" width="36.7109375" style="1" customWidth="1"/>
    <col min="57" max="57" width="9.140625" style="1"/>
    <col min="58" max="58" width="5" style="1" customWidth="1"/>
    <col min="59" max="66" width="9.140625" style="1"/>
    <col min="67" max="67" width="29.28515625" style="1" customWidth="1"/>
    <col min="68" max="16384" width="9.140625" style="1"/>
  </cols>
  <sheetData>
    <row r="1" spans="1:58" s="16" customFormat="1" ht="19.5" customHeight="1" x14ac:dyDescent="0.35">
      <c r="A1" s="139">
        <f>'B 1'!U94</f>
        <v>634.4</v>
      </c>
      <c r="B1" s="1494"/>
      <c r="C1" s="1486" t="s">
        <v>120</v>
      </c>
      <c r="D1" s="1487"/>
      <c r="E1" s="456">
        <v>1</v>
      </c>
      <c r="F1" s="456">
        <v>2</v>
      </c>
      <c r="G1" s="456">
        <v>3</v>
      </c>
      <c r="H1" s="456">
        <v>4</v>
      </c>
      <c r="I1" s="456">
        <v>5</v>
      </c>
      <c r="J1" s="456">
        <v>6</v>
      </c>
      <c r="K1" s="456">
        <v>7</v>
      </c>
      <c r="L1" s="456">
        <v>8</v>
      </c>
      <c r="M1" s="456">
        <v>9</v>
      </c>
      <c r="N1" s="456">
        <v>10</v>
      </c>
      <c r="O1" s="456">
        <v>11</v>
      </c>
      <c r="P1" s="456">
        <v>12</v>
      </c>
      <c r="Q1" s="456">
        <v>13</v>
      </c>
      <c r="R1" s="456">
        <v>14</v>
      </c>
      <c r="S1" s="456">
        <v>15</v>
      </c>
      <c r="T1" s="456">
        <v>16</v>
      </c>
      <c r="U1" s="456">
        <v>17</v>
      </c>
      <c r="V1" s="456">
        <v>18</v>
      </c>
      <c r="W1" s="456">
        <v>19</v>
      </c>
      <c r="X1" s="456">
        <v>20</v>
      </c>
      <c r="Y1" s="456">
        <v>21</v>
      </c>
      <c r="Z1" s="456">
        <v>22</v>
      </c>
      <c r="AA1" s="456">
        <v>23</v>
      </c>
      <c r="AB1" s="456">
        <v>24</v>
      </c>
      <c r="AC1" s="456">
        <v>25</v>
      </c>
      <c r="AD1" s="456">
        <v>26</v>
      </c>
      <c r="AE1" s="456">
        <v>27</v>
      </c>
      <c r="AF1" s="456">
        <v>28</v>
      </c>
      <c r="AG1" s="456">
        <v>29</v>
      </c>
      <c r="AH1" s="456">
        <v>30</v>
      </c>
      <c r="AI1" s="456">
        <v>31</v>
      </c>
      <c r="AJ1" s="456">
        <v>32</v>
      </c>
      <c r="AK1" s="456">
        <v>33</v>
      </c>
      <c r="AL1" s="456">
        <v>34</v>
      </c>
      <c r="AM1" s="456">
        <v>35</v>
      </c>
      <c r="AN1" s="456">
        <v>36</v>
      </c>
      <c r="AO1" s="456">
        <v>37</v>
      </c>
      <c r="AP1" s="456">
        <v>38</v>
      </c>
      <c r="AQ1" s="456">
        <v>39</v>
      </c>
      <c r="AR1" s="456">
        <v>40</v>
      </c>
      <c r="AS1" s="456">
        <v>41</v>
      </c>
      <c r="AT1" s="456">
        <v>42</v>
      </c>
      <c r="AU1" s="1509" t="s">
        <v>909</v>
      </c>
      <c r="AV1" s="1510"/>
      <c r="AW1" s="1511"/>
      <c r="AX1" s="1506">
        <v>9.9999999999999995E-7</v>
      </c>
      <c r="AY1" s="1499" t="s">
        <v>744</v>
      </c>
      <c r="AZ1" s="1500"/>
      <c r="BA1" s="1501"/>
      <c r="BC1" s="1529" t="s">
        <v>10334</v>
      </c>
      <c r="BE1" s="1529" t="s">
        <v>10335</v>
      </c>
    </row>
    <row r="2" spans="1:58" s="17" customFormat="1" ht="12" customHeight="1" x14ac:dyDescent="0.2">
      <c r="A2" s="236" t="s">
        <v>774</v>
      </c>
      <c r="B2" s="1495"/>
      <c r="C2" s="20" t="s">
        <v>115</v>
      </c>
      <c r="D2" s="18" t="s">
        <v>117</v>
      </c>
      <c r="E2" s="1488" t="s">
        <v>118</v>
      </c>
      <c r="F2" s="1489"/>
      <c r="G2" s="1489"/>
      <c r="H2" s="1489"/>
      <c r="I2" s="1489"/>
      <c r="J2" s="1489"/>
      <c r="K2" s="1489"/>
      <c r="L2" s="1489"/>
      <c r="M2" s="1489"/>
      <c r="N2" s="1489"/>
      <c r="O2" s="1489"/>
      <c r="P2" s="1489"/>
      <c r="Q2" s="1489"/>
      <c r="R2" s="1489"/>
      <c r="S2" s="1489"/>
      <c r="T2" s="1489"/>
      <c r="U2" s="1489"/>
      <c r="V2" s="1489"/>
      <c r="W2" s="1489"/>
      <c r="X2" s="1489"/>
      <c r="Y2" s="1489"/>
      <c r="Z2" s="1489"/>
      <c r="AA2" s="1489"/>
      <c r="AB2" s="1489"/>
      <c r="AC2" s="1489"/>
      <c r="AD2" s="1489"/>
      <c r="AE2" s="1489"/>
      <c r="AF2" s="1489"/>
      <c r="AG2" s="1489"/>
      <c r="AH2" s="1489"/>
      <c r="AI2" s="1489"/>
      <c r="AJ2" s="1489"/>
      <c r="AK2" s="1489"/>
      <c r="AL2" s="1489"/>
      <c r="AM2" s="1489"/>
      <c r="AN2" s="1489"/>
      <c r="AO2" s="1489"/>
      <c r="AP2" s="1489"/>
      <c r="AQ2" s="1489"/>
      <c r="AR2" s="1521" t="s">
        <v>73</v>
      </c>
      <c r="AS2" s="1522"/>
      <c r="AT2" s="1522"/>
      <c r="AU2" s="1522"/>
      <c r="AV2" s="1523"/>
      <c r="AW2" s="203">
        <v>1</v>
      </c>
      <c r="AX2" s="1507"/>
      <c r="AY2" s="1502"/>
      <c r="AZ2" s="1503"/>
      <c r="BA2" s="1504"/>
      <c r="BC2" s="1529"/>
      <c r="BE2" s="1529"/>
    </row>
    <row r="3" spans="1:58" s="17" customFormat="1" ht="12" customHeight="1" x14ac:dyDescent="0.25">
      <c r="A3" s="17" t="s">
        <v>62</v>
      </c>
      <c r="B3" s="1495"/>
      <c r="C3" s="88">
        <f>SUM(C4:C20)+AX1</f>
        <v>9.9999999999999995E-7</v>
      </c>
      <c r="D3" s="17">
        <f>LARGE(C4:C20,1)</f>
        <v>0</v>
      </c>
      <c r="E3" s="1550" t="str">
        <f>VLOOKUP(D3,C4:D20,2,FALSE)</f>
        <v>1 12</v>
      </c>
      <c r="F3" s="1543"/>
      <c r="G3" s="1543"/>
      <c r="H3" s="1543"/>
      <c r="I3" s="1543"/>
      <c r="J3" s="1543"/>
      <c r="K3" s="1543"/>
      <c r="L3" s="1543"/>
      <c r="M3" s="1543"/>
      <c r="N3" s="1543"/>
      <c r="O3" s="1543"/>
      <c r="P3" s="1543"/>
      <c r="Q3" s="1543"/>
      <c r="R3" s="1543"/>
      <c r="S3" s="1543"/>
      <c r="T3" s="1543"/>
      <c r="U3" s="1543"/>
      <c r="V3" s="1543"/>
      <c r="W3" s="1543"/>
      <c r="X3" s="1543"/>
      <c r="Y3" s="1543"/>
      <c r="Z3" s="1543"/>
      <c r="AA3" s="1543"/>
      <c r="AB3" s="1543"/>
      <c r="AC3" s="1543"/>
      <c r="AD3" s="1543"/>
      <c r="AE3" s="1543"/>
      <c r="AF3" s="1543"/>
      <c r="AG3" s="1543"/>
      <c r="AH3" s="1543"/>
      <c r="AI3" s="1543"/>
      <c r="AJ3" s="1543"/>
      <c r="AK3" s="1543"/>
      <c r="AL3" s="1543"/>
      <c r="AM3" s="1543"/>
      <c r="AN3" s="1543"/>
      <c r="AO3" s="1543"/>
      <c r="AP3" s="1543"/>
      <c r="AQ3" s="1543"/>
      <c r="AR3" s="1534" t="s">
        <v>1126</v>
      </c>
      <c r="AS3" s="1535"/>
      <c r="AT3" s="1535"/>
      <c r="AU3" s="1535"/>
      <c r="AV3" s="1536"/>
      <c r="AW3" s="1524" t="s">
        <v>770</v>
      </c>
      <c r="AX3" s="1507"/>
      <c r="AY3" s="101"/>
      <c r="AZ3" s="101" t="s">
        <v>283</v>
      </c>
      <c r="BA3" s="102" t="s">
        <v>284</v>
      </c>
      <c r="BC3" s="1529"/>
      <c r="BE3" s="1529"/>
      <c r="BF3" s="17">
        <v>12</v>
      </c>
    </row>
    <row r="4" spans="1:58" s="17" customFormat="1" ht="12" customHeight="1" x14ac:dyDescent="0.25">
      <c r="A4" s="17" t="s">
        <v>69</v>
      </c>
      <c r="B4" s="1495"/>
      <c r="C4" s="88">
        <f>SUM(E4:AV4)</f>
        <v>0</v>
      </c>
      <c r="D4" s="23" t="s">
        <v>82</v>
      </c>
      <c r="E4" s="187"/>
      <c r="F4" s="187"/>
      <c r="G4" s="187"/>
      <c r="H4" s="187"/>
      <c r="I4" s="187"/>
      <c r="J4" s="187"/>
      <c r="K4" s="187"/>
      <c r="L4" s="187"/>
      <c r="M4" s="187"/>
      <c r="N4" s="187"/>
      <c r="O4" s="187"/>
      <c r="P4" s="187"/>
      <c r="Q4" s="187"/>
      <c r="R4" s="187"/>
      <c r="S4" s="187"/>
      <c r="T4" s="187"/>
      <c r="U4" s="187"/>
      <c r="V4" s="187"/>
      <c r="W4" s="187"/>
      <c r="X4" s="187"/>
      <c r="Y4" s="187"/>
      <c r="Z4" s="187"/>
      <c r="AA4" s="187"/>
      <c r="AB4" s="187"/>
      <c r="AC4" s="187"/>
      <c r="AD4" s="187"/>
      <c r="AE4" s="187"/>
      <c r="AF4" s="187"/>
      <c r="AG4" s="187"/>
      <c r="AH4" s="187"/>
      <c r="AI4" s="187"/>
      <c r="AJ4" s="187"/>
      <c r="AK4" s="187"/>
      <c r="AL4" s="187"/>
      <c r="AM4" s="187"/>
      <c r="AN4" s="187"/>
      <c r="AO4" s="187"/>
      <c r="AP4" s="187"/>
      <c r="AQ4" s="187"/>
      <c r="AR4" s="187"/>
      <c r="AS4" s="187"/>
      <c r="AT4" s="187"/>
      <c r="AU4" s="163">
        <f>RoofR!P$2</f>
        <v>0</v>
      </c>
      <c r="AV4" s="455">
        <f t="shared" ref="AV4:AV20" si="0">SUM(AY4*AZ4*BA4)</f>
        <v>0</v>
      </c>
      <c r="AW4" s="1525"/>
      <c r="AX4" s="1507"/>
      <c r="AY4" s="17">
        <v>1.01</v>
      </c>
      <c r="AZ4" s="100"/>
      <c r="BA4" s="100"/>
      <c r="BB4" s="23" t="s">
        <v>82</v>
      </c>
      <c r="BC4" s="774">
        <v>8.3299999999999999E-2</v>
      </c>
      <c r="BE4" s="777">
        <f>BF4/$BF$3*100</f>
        <v>8.3333333333333321</v>
      </c>
      <c r="BF4" s="17">
        <v>1</v>
      </c>
    </row>
    <row r="5" spans="1:58" s="17" customFormat="1" ht="12" customHeight="1" x14ac:dyDescent="0.25">
      <c r="A5" s="17" t="s">
        <v>70</v>
      </c>
      <c r="B5" s="1495"/>
      <c r="C5" s="88">
        <f t="shared" ref="C5:C20" si="1">SUM(E5:AV5)</f>
        <v>0</v>
      </c>
      <c r="D5" s="23" t="s">
        <v>88</v>
      </c>
      <c r="E5" s="645"/>
      <c r="F5" s="645"/>
      <c r="G5" s="645"/>
      <c r="H5" s="645"/>
      <c r="I5" s="645"/>
      <c r="J5" s="645"/>
      <c r="K5" s="645"/>
      <c r="L5" s="645"/>
      <c r="M5" s="645"/>
      <c r="N5" s="645"/>
      <c r="O5" s="645"/>
      <c r="P5" s="645"/>
      <c r="Q5" s="645"/>
      <c r="R5" s="645"/>
      <c r="S5" s="645"/>
      <c r="T5" s="645"/>
      <c r="U5" s="645"/>
      <c r="V5" s="645"/>
      <c r="W5" s="645"/>
      <c r="X5" s="645"/>
      <c r="Y5" s="645"/>
      <c r="Z5" s="645"/>
      <c r="AA5" s="645"/>
      <c r="AB5" s="645"/>
      <c r="AC5" s="645"/>
      <c r="AD5" s="645"/>
      <c r="AE5" s="645"/>
      <c r="AF5" s="645"/>
      <c r="AG5" s="645"/>
      <c r="AH5" s="645"/>
      <c r="AI5" s="645"/>
      <c r="AJ5" s="645"/>
      <c r="AK5" s="645"/>
      <c r="AL5" s="645"/>
      <c r="AM5" s="645"/>
      <c r="AN5" s="645"/>
      <c r="AO5" s="645"/>
      <c r="AP5" s="645"/>
      <c r="AQ5" s="645"/>
      <c r="AR5" s="645"/>
      <c r="AS5" s="645"/>
      <c r="AT5" s="645"/>
      <c r="AU5" s="163">
        <f>RoofR!Q$2</f>
        <v>0</v>
      </c>
      <c r="AV5" s="455">
        <f t="shared" si="0"/>
        <v>0</v>
      </c>
      <c r="AW5" s="1525"/>
      <c r="AX5" s="1507"/>
      <c r="AY5" s="17">
        <v>1.02</v>
      </c>
      <c r="AZ5" s="19"/>
      <c r="BA5" s="19"/>
      <c r="BB5" s="23" t="s">
        <v>88</v>
      </c>
      <c r="BC5" s="774">
        <v>0.16669999999999999</v>
      </c>
      <c r="BE5" s="777">
        <f t="shared" ref="BE5:BE19" si="2">BF5/$BF$3*100</f>
        <v>16.666666666666664</v>
      </c>
      <c r="BF5" s="17">
        <v>2</v>
      </c>
    </row>
    <row r="6" spans="1:58" s="17" customFormat="1" ht="12" customHeight="1" x14ac:dyDescent="0.25">
      <c r="A6" s="17" t="s">
        <v>71</v>
      </c>
      <c r="B6" s="1495"/>
      <c r="C6" s="88">
        <f t="shared" si="1"/>
        <v>0</v>
      </c>
      <c r="D6" s="23" t="s">
        <v>75</v>
      </c>
      <c r="E6" s="646"/>
      <c r="F6" s="646"/>
      <c r="G6" s="646"/>
      <c r="H6" s="646"/>
      <c r="I6" s="646"/>
      <c r="J6" s="646"/>
      <c r="K6" s="646"/>
      <c r="L6" s="646"/>
      <c r="M6" s="646"/>
      <c r="N6" s="646"/>
      <c r="O6" s="646"/>
      <c r="P6" s="646"/>
      <c r="Q6" s="646"/>
      <c r="R6" s="646"/>
      <c r="S6" s="646"/>
      <c r="T6" s="646"/>
      <c r="U6" s="646"/>
      <c r="V6" s="646"/>
      <c r="W6" s="646"/>
      <c r="X6" s="646"/>
      <c r="Y6" s="646"/>
      <c r="Z6" s="646"/>
      <c r="AA6" s="646"/>
      <c r="AB6" s="646"/>
      <c r="AC6" s="646"/>
      <c r="AD6" s="646"/>
      <c r="AE6" s="646"/>
      <c r="AF6" s="646"/>
      <c r="AG6" s="646"/>
      <c r="AH6" s="646"/>
      <c r="AI6" s="646"/>
      <c r="AJ6" s="646"/>
      <c r="AK6" s="646"/>
      <c r="AL6" s="646"/>
      <c r="AM6" s="646"/>
      <c r="AN6" s="646"/>
      <c r="AO6" s="646"/>
      <c r="AP6" s="646"/>
      <c r="AQ6" s="646"/>
      <c r="AR6" s="646"/>
      <c r="AS6" s="646"/>
      <c r="AT6" s="646"/>
      <c r="AU6" s="163">
        <f>RoofR!R$2</f>
        <v>0</v>
      </c>
      <c r="AV6" s="455">
        <f t="shared" si="0"/>
        <v>0</v>
      </c>
      <c r="AW6" s="1525"/>
      <c r="AX6" s="1507"/>
      <c r="AY6" s="17">
        <v>1.03</v>
      </c>
      <c r="AZ6" s="19"/>
      <c r="BA6" s="19"/>
      <c r="BB6" s="23" t="s">
        <v>75</v>
      </c>
      <c r="BC6" s="776">
        <v>0.25</v>
      </c>
      <c r="BE6" s="777">
        <f t="shared" si="2"/>
        <v>25</v>
      </c>
      <c r="BF6" s="17">
        <v>3</v>
      </c>
    </row>
    <row r="7" spans="1:58" s="17" customFormat="1" ht="12" customHeight="1" x14ac:dyDescent="0.25">
      <c r="A7" s="17" t="s">
        <v>74</v>
      </c>
      <c r="B7" s="1495"/>
      <c r="C7" s="88">
        <f t="shared" si="1"/>
        <v>0</v>
      </c>
      <c r="D7" s="23" t="s">
        <v>89</v>
      </c>
      <c r="E7" s="187"/>
      <c r="F7" s="187"/>
      <c r="G7" s="187"/>
      <c r="H7" s="187"/>
      <c r="I7" s="187"/>
      <c r="J7" s="187"/>
      <c r="K7" s="187"/>
      <c r="L7" s="187"/>
      <c r="M7" s="187"/>
      <c r="N7" s="187"/>
      <c r="O7" s="187"/>
      <c r="P7" s="187"/>
      <c r="Q7" s="187"/>
      <c r="R7" s="187"/>
      <c r="S7" s="187"/>
      <c r="T7" s="187"/>
      <c r="U7" s="187"/>
      <c r="V7" s="187"/>
      <c r="W7" s="187"/>
      <c r="X7" s="187"/>
      <c r="Y7" s="187"/>
      <c r="Z7" s="187"/>
      <c r="AA7" s="187"/>
      <c r="AB7" s="187"/>
      <c r="AC7" s="187"/>
      <c r="AD7" s="187"/>
      <c r="AE7" s="187"/>
      <c r="AF7" s="187"/>
      <c r="AG7" s="187"/>
      <c r="AH7" s="187"/>
      <c r="AI7" s="187"/>
      <c r="AJ7" s="187"/>
      <c r="AK7" s="187"/>
      <c r="AL7" s="187"/>
      <c r="AM7" s="187"/>
      <c r="AN7" s="187"/>
      <c r="AO7" s="187"/>
      <c r="AP7" s="187"/>
      <c r="AQ7" s="187"/>
      <c r="AR7" s="187"/>
      <c r="AS7" s="187"/>
      <c r="AT7" s="187"/>
      <c r="AU7" s="163">
        <f>RoofR!S$2</f>
        <v>0</v>
      </c>
      <c r="AV7" s="455">
        <f t="shared" si="0"/>
        <v>0</v>
      </c>
      <c r="AW7" s="1525"/>
      <c r="AX7" s="1507"/>
      <c r="AY7" s="17">
        <v>1.05</v>
      </c>
      <c r="AZ7" s="19"/>
      <c r="BA7" s="19"/>
      <c r="BB7" s="23" t="s">
        <v>89</v>
      </c>
      <c r="BC7" s="774">
        <v>0.33329999999999999</v>
      </c>
      <c r="BE7" s="777">
        <f t="shared" si="2"/>
        <v>33.333333333333329</v>
      </c>
      <c r="BF7" s="17">
        <v>4</v>
      </c>
    </row>
    <row r="8" spans="1:58" s="17" customFormat="1" ht="12" customHeight="1" x14ac:dyDescent="0.25">
      <c r="A8" s="17" t="s">
        <v>79</v>
      </c>
      <c r="B8" s="1495"/>
      <c r="C8" s="88">
        <f t="shared" si="1"/>
        <v>0</v>
      </c>
      <c r="D8" s="23" t="s">
        <v>90</v>
      </c>
      <c r="E8" s="645"/>
      <c r="F8" s="645"/>
      <c r="G8" s="645"/>
      <c r="H8" s="645"/>
      <c r="I8" s="645"/>
      <c r="J8" s="645"/>
      <c r="K8" s="645"/>
      <c r="L8" s="645"/>
      <c r="M8" s="645"/>
      <c r="N8" s="645"/>
      <c r="O8" s="645"/>
      <c r="P8" s="645"/>
      <c r="Q8" s="645"/>
      <c r="R8" s="645"/>
      <c r="S8" s="645"/>
      <c r="T8" s="645"/>
      <c r="U8" s="645"/>
      <c r="V8" s="645"/>
      <c r="W8" s="645"/>
      <c r="X8" s="645"/>
      <c r="Y8" s="645"/>
      <c r="Z8" s="645"/>
      <c r="AA8" s="645"/>
      <c r="AB8" s="645"/>
      <c r="AC8" s="645"/>
      <c r="AD8" s="645"/>
      <c r="AE8" s="645"/>
      <c r="AF8" s="645"/>
      <c r="AG8" s="645"/>
      <c r="AH8" s="645"/>
      <c r="AI8" s="645"/>
      <c r="AJ8" s="645"/>
      <c r="AK8" s="645"/>
      <c r="AL8" s="645"/>
      <c r="AM8" s="645"/>
      <c r="AN8" s="645"/>
      <c r="AO8" s="645"/>
      <c r="AP8" s="645"/>
      <c r="AQ8" s="645"/>
      <c r="AR8" s="645"/>
      <c r="AS8" s="645"/>
      <c r="AT8" s="645"/>
      <c r="AU8" s="163">
        <f>RoofR!T$2</f>
        <v>0</v>
      </c>
      <c r="AV8" s="455">
        <f t="shared" si="0"/>
        <v>0</v>
      </c>
      <c r="AW8" s="1525"/>
      <c r="AX8" s="1507"/>
      <c r="AY8" s="17">
        <v>1.08</v>
      </c>
      <c r="AZ8" s="19"/>
      <c r="BA8" s="19"/>
      <c r="BB8" s="23" t="s">
        <v>90</v>
      </c>
      <c r="BC8" s="775">
        <v>0.41699999999999998</v>
      </c>
      <c r="BE8" s="777">
        <f t="shared" si="2"/>
        <v>41.666666666666671</v>
      </c>
      <c r="BF8" s="17">
        <v>5</v>
      </c>
    </row>
    <row r="9" spans="1:58" s="17" customFormat="1" ht="12" customHeight="1" x14ac:dyDescent="0.25">
      <c r="A9" s="17" t="s">
        <v>83</v>
      </c>
      <c r="B9" s="1495"/>
      <c r="C9" s="88">
        <f t="shared" si="1"/>
        <v>0</v>
      </c>
      <c r="D9" s="23" t="s">
        <v>68</v>
      </c>
      <c r="E9" s="646"/>
      <c r="F9" s="646"/>
      <c r="G9" s="646"/>
      <c r="H9" s="646"/>
      <c r="I9" s="646"/>
      <c r="J9" s="646"/>
      <c r="K9" s="646"/>
      <c r="L9" s="646"/>
      <c r="M9" s="646"/>
      <c r="N9" s="646"/>
      <c r="O9" s="646"/>
      <c r="P9" s="646"/>
      <c r="Q9" s="646"/>
      <c r="R9" s="646"/>
      <c r="S9" s="646"/>
      <c r="T9" s="646"/>
      <c r="U9" s="646"/>
      <c r="V9" s="646"/>
      <c r="W9" s="646"/>
      <c r="X9" s="646"/>
      <c r="Y9" s="646"/>
      <c r="Z9" s="646"/>
      <c r="AA9" s="646"/>
      <c r="AB9" s="646"/>
      <c r="AC9" s="646"/>
      <c r="AD9" s="646"/>
      <c r="AE9" s="646"/>
      <c r="AF9" s="646"/>
      <c r="AG9" s="646"/>
      <c r="AH9" s="646"/>
      <c r="AI9" s="646"/>
      <c r="AJ9" s="646"/>
      <c r="AK9" s="646"/>
      <c r="AL9" s="646"/>
      <c r="AM9" s="646"/>
      <c r="AN9" s="646"/>
      <c r="AO9" s="646"/>
      <c r="AP9" s="646"/>
      <c r="AQ9" s="646"/>
      <c r="AR9" s="646"/>
      <c r="AS9" s="646"/>
      <c r="AT9" s="646"/>
      <c r="AU9" s="163">
        <f>RoofR!U$2</f>
        <v>0</v>
      </c>
      <c r="AV9" s="455">
        <f t="shared" si="0"/>
        <v>0</v>
      </c>
      <c r="AW9" s="1525"/>
      <c r="AX9" s="1507"/>
      <c r="AY9" s="17">
        <v>1.1200000000000001</v>
      </c>
      <c r="AZ9" s="19"/>
      <c r="BA9" s="19"/>
      <c r="BB9" s="23" t="s">
        <v>68</v>
      </c>
      <c r="BC9" s="776">
        <v>0.5</v>
      </c>
      <c r="BE9" s="777">
        <f t="shared" si="2"/>
        <v>50</v>
      </c>
      <c r="BF9" s="17">
        <v>6</v>
      </c>
    </row>
    <row r="10" spans="1:58" s="17" customFormat="1" ht="12" customHeight="1" x14ac:dyDescent="0.25">
      <c r="A10" s="17" t="s">
        <v>84</v>
      </c>
      <c r="B10" s="1495"/>
      <c r="C10" s="88">
        <f t="shared" si="1"/>
        <v>0</v>
      </c>
      <c r="D10" s="23" t="s">
        <v>76</v>
      </c>
      <c r="E10" s="187"/>
      <c r="F10" s="187"/>
      <c r="G10" s="187"/>
      <c r="H10" s="187"/>
      <c r="I10" s="187"/>
      <c r="J10" s="187"/>
      <c r="K10" s="187"/>
      <c r="L10" s="187"/>
      <c r="M10" s="187"/>
      <c r="N10" s="187"/>
      <c r="O10" s="187"/>
      <c r="P10" s="187"/>
      <c r="Q10" s="187"/>
      <c r="R10" s="187"/>
      <c r="S10" s="187"/>
      <c r="T10" s="187"/>
      <c r="U10" s="187"/>
      <c r="V10" s="187"/>
      <c r="W10" s="187"/>
      <c r="X10" s="187"/>
      <c r="Y10" s="187"/>
      <c r="Z10" s="187"/>
      <c r="AA10" s="187"/>
      <c r="AB10" s="187"/>
      <c r="AC10" s="187"/>
      <c r="AD10" s="187"/>
      <c r="AE10" s="187"/>
      <c r="AF10" s="187"/>
      <c r="AG10" s="187"/>
      <c r="AH10" s="187"/>
      <c r="AI10" s="187"/>
      <c r="AJ10" s="187"/>
      <c r="AK10" s="187"/>
      <c r="AL10" s="187"/>
      <c r="AM10" s="187"/>
      <c r="AN10" s="187"/>
      <c r="AO10" s="187"/>
      <c r="AP10" s="187"/>
      <c r="AQ10" s="187"/>
      <c r="AR10" s="187"/>
      <c r="AS10" s="187"/>
      <c r="AT10" s="187"/>
      <c r="AU10" s="163">
        <f>RoofR!V$2</f>
        <v>0</v>
      </c>
      <c r="AV10" s="455">
        <f t="shared" si="0"/>
        <v>0</v>
      </c>
      <c r="AW10" s="1525"/>
      <c r="AX10" s="1507"/>
      <c r="AY10" s="17">
        <v>1.1599999999999999</v>
      </c>
      <c r="AZ10" s="19"/>
      <c r="BA10" s="19"/>
      <c r="BB10" s="23" t="s">
        <v>76</v>
      </c>
      <c r="BC10" s="774">
        <v>0.58348666666666704</v>
      </c>
      <c r="BE10" s="777">
        <f t="shared" si="2"/>
        <v>58.333333333333336</v>
      </c>
      <c r="BF10" s="17">
        <v>7</v>
      </c>
    </row>
    <row r="11" spans="1:58" s="17" customFormat="1" ht="12" customHeight="1" x14ac:dyDescent="0.25">
      <c r="A11" s="17" t="s">
        <v>85</v>
      </c>
      <c r="B11" s="1495"/>
      <c r="C11" s="88">
        <f t="shared" si="1"/>
        <v>0</v>
      </c>
      <c r="D11" s="23" t="s">
        <v>77</v>
      </c>
      <c r="E11" s="645"/>
      <c r="F11" s="645"/>
      <c r="G11" s="645"/>
      <c r="H11" s="645"/>
      <c r="I11" s="645"/>
      <c r="J11" s="645"/>
      <c r="K11" s="645"/>
      <c r="L11" s="645"/>
      <c r="M11" s="645"/>
      <c r="N11" s="645"/>
      <c r="O11" s="645"/>
      <c r="P11" s="645"/>
      <c r="Q11" s="645"/>
      <c r="R11" s="645"/>
      <c r="S11" s="645"/>
      <c r="T11" s="645"/>
      <c r="U11" s="645"/>
      <c r="V11" s="645"/>
      <c r="W11" s="645"/>
      <c r="X11" s="645"/>
      <c r="Y11" s="645"/>
      <c r="Z11" s="645"/>
      <c r="AA11" s="645"/>
      <c r="AB11" s="645"/>
      <c r="AC11" s="645"/>
      <c r="AD11" s="645"/>
      <c r="AE11" s="645"/>
      <c r="AF11" s="645"/>
      <c r="AG11" s="645"/>
      <c r="AH11" s="645"/>
      <c r="AI11" s="645"/>
      <c r="AJ11" s="645"/>
      <c r="AK11" s="645"/>
      <c r="AL11" s="645"/>
      <c r="AM11" s="645"/>
      <c r="AN11" s="645"/>
      <c r="AO11" s="645"/>
      <c r="AP11" s="645"/>
      <c r="AQ11" s="645"/>
      <c r="AR11" s="645"/>
      <c r="AS11" s="645"/>
      <c r="AT11" s="645"/>
      <c r="AU11" s="163">
        <f>RoofR!W$2</f>
        <v>0</v>
      </c>
      <c r="AV11" s="455">
        <f t="shared" si="0"/>
        <v>0</v>
      </c>
      <c r="AW11" s="1525"/>
      <c r="AX11" s="1507"/>
      <c r="AY11" s="17">
        <v>1.2</v>
      </c>
      <c r="AZ11" s="19"/>
      <c r="BA11" s="19"/>
      <c r="BB11" s="23" t="s">
        <v>77</v>
      </c>
      <c r="BC11" s="774">
        <v>0.666849523809524</v>
      </c>
      <c r="BE11" s="777">
        <f t="shared" si="2"/>
        <v>66.666666666666657</v>
      </c>
      <c r="BF11" s="17">
        <v>8</v>
      </c>
    </row>
    <row r="12" spans="1:58" s="17" customFormat="1" ht="12" customHeight="1" x14ac:dyDescent="0.25">
      <c r="A12" s="17" t="s">
        <v>86</v>
      </c>
      <c r="B12" s="1495"/>
      <c r="C12" s="88">
        <f t="shared" si="1"/>
        <v>0</v>
      </c>
      <c r="D12" s="23" t="s">
        <v>78</v>
      </c>
      <c r="E12" s="646"/>
      <c r="F12" s="646"/>
      <c r="G12" s="646"/>
      <c r="H12" s="646"/>
      <c r="I12" s="646"/>
      <c r="J12" s="646"/>
      <c r="K12" s="646"/>
      <c r="L12" s="646"/>
      <c r="M12" s="646"/>
      <c r="N12" s="646"/>
      <c r="O12" s="646"/>
      <c r="P12" s="646"/>
      <c r="Q12" s="646"/>
      <c r="R12" s="646"/>
      <c r="S12" s="646"/>
      <c r="T12" s="646"/>
      <c r="U12" s="646"/>
      <c r="V12" s="646"/>
      <c r="W12" s="646"/>
      <c r="X12" s="646"/>
      <c r="Y12" s="646"/>
      <c r="Z12" s="646"/>
      <c r="AA12" s="646"/>
      <c r="AB12" s="646"/>
      <c r="AC12" s="646"/>
      <c r="AD12" s="646"/>
      <c r="AE12" s="646"/>
      <c r="AF12" s="646"/>
      <c r="AG12" s="646"/>
      <c r="AH12" s="646"/>
      <c r="AI12" s="646"/>
      <c r="AJ12" s="646"/>
      <c r="AK12" s="646"/>
      <c r="AL12" s="646"/>
      <c r="AM12" s="646"/>
      <c r="AN12" s="646"/>
      <c r="AO12" s="646"/>
      <c r="AP12" s="646"/>
      <c r="AQ12" s="646"/>
      <c r="AR12" s="646"/>
      <c r="AS12" s="646"/>
      <c r="AT12" s="646"/>
      <c r="AU12" s="163">
        <f>RoofR!X$2</f>
        <v>0</v>
      </c>
      <c r="AV12" s="455">
        <f t="shared" si="0"/>
        <v>0</v>
      </c>
      <c r="AW12" s="1525"/>
      <c r="AX12" s="1507"/>
      <c r="AY12" s="17">
        <v>1.25</v>
      </c>
      <c r="AZ12" s="19"/>
      <c r="BA12" s="19"/>
      <c r="BB12" s="23" t="s">
        <v>78</v>
      </c>
      <c r="BC12" s="776">
        <v>0.75021238095238096</v>
      </c>
      <c r="BE12" s="777">
        <f t="shared" si="2"/>
        <v>75</v>
      </c>
      <c r="BF12" s="17">
        <v>9</v>
      </c>
    </row>
    <row r="13" spans="1:58" s="17" customFormat="1" ht="12" customHeight="1" x14ac:dyDescent="0.25">
      <c r="A13" s="17" t="s">
        <v>87</v>
      </c>
      <c r="B13" s="1495"/>
      <c r="C13" s="88">
        <f t="shared" si="1"/>
        <v>0</v>
      </c>
      <c r="D13" s="23" t="s">
        <v>72</v>
      </c>
      <c r="E13" s="187"/>
      <c r="F13" s="187"/>
      <c r="G13" s="187"/>
      <c r="H13" s="187"/>
      <c r="I13" s="187"/>
      <c r="J13" s="187"/>
      <c r="K13" s="187"/>
      <c r="L13" s="187"/>
      <c r="M13" s="187"/>
      <c r="N13" s="187"/>
      <c r="O13" s="187"/>
      <c r="P13" s="187"/>
      <c r="Q13" s="187"/>
      <c r="R13" s="187"/>
      <c r="S13" s="187"/>
      <c r="T13" s="187"/>
      <c r="U13" s="187"/>
      <c r="V13" s="187"/>
      <c r="W13" s="187"/>
      <c r="X13" s="187"/>
      <c r="Y13" s="187"/>
      <c r="Z13" s="187"/>
      <c r="AA13" s="187"/>
      <c r="AB13" s="187"/>
      <c r="AC13" s="187"/>
      <c r="AD13" s="187"/>
      <c r="AE13" s="187"/>
      <c r="AF13" s="187"/>
      <c r="AG13" s="187"/>
      <c r="AH13" s="187"/>
      <c r="AI13" s="187"/>
      <c r="AJ13" s="187"/>
      <c r="AK13" s="187"/>
      <c r="AL13" s="187"/>
      <c r="AM13" s="187"/>
      <c r="AN13" s="187"/>
      <c r="AO13" s="187"/>
      <c r="AP13" s="187"/>
      <c r="AQ13" s="187"/>
      <c r="AR13" s="187"/>
      <c r="AS13" s="187"/>
      <c r="AT13" s="187"/>
      <c r="AU13" s="163">
        <f>RoofR!Y$2</f>
        <v>0</v>
      </c>
      <c r="AV13" s="455">
        <f t="shared" si="0"/>
        <v>0</v>
      </c>
      <c r="AW13" s="1525"/>
      <c r="AX13" s="1507"/>
      <c r="AY13" s="17">
        <v>1.3</v>
      </c>
      <c r="AZ13" s="19"/>
      <c r="BA13" s="19"/>
      <c r="BB13" s="23" t="s">
        <v>72</v>
      </c>
      <c r="BC13" s="774">
        <v>0.83357523809523804</v>
      </c>
      <c r="BE13" s="777">
        <f t="shared" si="2"/>
        <v>83.333333333333343</v>
      </c>
      <c r="BF13" s="17">
        <v>10</v>
      </c>
    </row>
    <row r="14" spans="1:58" s="17" customFormat="1" ht="12" customHeight="1" x14ac:dyDescent="0.25">
      <c r="A14" s="17" t="s">
        <v>91</v>
      </c>
      <c r="B14" s="1495"/>
      <c r="C14" s="88">
        <f t="shared" si="1"/>
        <v>0</v>
      </c>
      <c r="D14" s="23" t="s">
        <v>100</v>
      </c>
      <c r="E14" s="645"/>
      <c r="F14" s="645"/>
      <c r="G14" s="645"/>
      <c r="H14" s="645"/>
      <c r="I14" s="645"/>
      <c r="J14" s="645"/>
      <c r="K14" s="645"/>
      <c r="L14" s="645"/>
      <c r="M14" s="645"/>
      <c r="N14" s="645"/>
      <c r="O14" s="645"/>
      <c r="P14" s="645"/>
      <c r="Q14" s="645"/>
      <c r="R14" s="645"/>
      <c r="S14" s="645"/>
      <c r="T14" s="645"/>
      <c r="U14" s="645"/>
      <c r="V14" s="645"/>
      <c r="W14" s="645"/>
      <c r="X14" s="645"/>
      <c r="Y14" s="645"/>
      <c r="Z14" s="645"/>
      <c r="AA14" s="645"/>
      <c r="AB14" s="645"/>
      <c r="AC14" s="645"/>
      <c r="AD14" s="645"/>
      <c r="AE14" s="645"/>
      <c r="AF14" s="645"/>
      <c r="AG14" s="645"/>
      <c r="AH14" s="645"/>
      <c r="AI14" s="645"/>
      <c r="AJ14" s="645"/>
      <c r="AK14" s="645"/>
      <c r="AL14" s="645"/>
      <c r="AM14" s="645"/>
      <c r="AN14" s="645"/>
      <c r="AO14" s="645"/>
      <c r="AP14" s="645"/>
      <c r="AQ14" s="645"/>
      <c r="AR14" s="645"/>
      <c r="AS14" s="645"/>
      <c r="AT14" s="645"/>
      <c r="AU14" s="163">
        <f>RoofR!Z$2</f>
        <v>0</v>
      </c>
      <c r="AV14" s="455">
        <f t="shared" si="0"/>
        <v>0</v>
      </c>
      <c r="AW14" s="1525"/>
      <c r="AX14" s="1507"/>
      <c r="AY14" s="17">
        <v>1.36</v>
      </c>
      <c r="AZ14" s="19"/>
      <c r="BA14" s="19"/>
      <c r="BB14" s="23" t="s">
        <v>100</v>
      </c>
      <c r="BC14" s="775">
        <v>0.916938095238095</v>
      </c>
      <c r="BE14" s="777">
        <f t="shared" si="2"/>
        <v>91.666666666666657</v>
      </c>
      <c r="BF14" s="17">
        <v>11</v>
      </c>
    </row>
    <row r="15" spans="1:58" s="17" customFormat="1" ht="12" customHeight="1" x14ac:dyDescent="0.25">
      <c r="A15" s="17" t="s">
        <v>92</v>
      </c>
      <c r="B15" s="1495"/>
      <c r="C15" s="88">
        <f t="shared" si="1"/>
        <v>0</v>
      </c>
      <c r="D15" s="23" t="s">
        <v>101</v>
      </c>
      <c r="E15" s="646"/>
      <c r="F15" s="646"/>
      <c r="G15" s="646"/>
      <c r="H15" s="646"/>
      <c r="I15" s="646"/>
      <c r="J15" s="646"/>
      <c r="K15" s="646"/>
      <c r="L15" s="646"/>
      <c r="M15" s="646"/>
      <c r="N15" s="646"/>
      <c r="O15" s="646"/>
      <c r="P15" s="646"/>
      <c r="Q15" s="646"/>
      <c r="R15" s="646"/>
      <c r="S15" s="646"/>
      <c r="T15" s="646"/>
      <c r="U15" s="646"/>
      <c r="V15" s="646"/>
      <c r="W15" s="646"/>
      <c r="X15" s="646"/>
      <c r="Y15" s="646"/>
      <c r="Z15" s="646"/>
      <c r="AA15" s="646"/>
      <c r="AB15" s="646"/>
      <c r="AC15" s="646"/>
      <c r="AD15" s="646"/>
      <c r="AE15" s="646"/>
      <c r="AF15" s="646"/>
      <c r="AG15" s="646"/>
      <c r="AH15" s="646"/>
      <c r="AI15" s="646"/>
      <c r="AJ15" s="646"/>
      <c r="AK15" s="646"/>
      <c r="AL15" s="646"/>
      <c r="AM15" s="646"/>
      <c r="AN15" s="646"/>
      <c r="AO15" s="646"/>
      <c r="AP15" s="646"/>
      <c r="AQ15" s="646"/>
      <c r="AR15" s="646"/>
      <c r="AS15" s="646"/>
      <c r="AT15" s="646"/>
      <c r="AU15" s="163">
        <f>RoofR!AA$2</f>
        <v>0</v>
      </c>
      <c r="AV15" s="455">
        <f t="shared" si="0"/>
        <v>0</v>
      </c>
      <c r="AW15" s="1525"/>
      <c r="AX15" s="1507"/>
      <c r="AY15" s="17">
        <v>1.41</v>
      </c>
      <c r="AZ15" s="19"/>
      <c r="BA15" s="19"/>
      <c r="BB15" s="23" t="s">
        <v>101</v>
      </c>
      <c r="BC15" s="776">
        <v>1.0003009523809501</v>
      </c>
      <c r="BE15" s="777">
        <f t="shared" si="2"/>
        <v>100</v>
      </c>
      <c r="BF15" s="17">
        <v>12</v>
      </c>
    </row>
    <row r="16" spans="1:58" s="17" customFormat="1" ht="12" customHeight="1" x14ac:dyDescent="0.25">
      <c r="A16" s="17" t="s">
        <v>95</v>
      </c>
      <c r="B16" s="1495"/>
      <c r="C16" s="88">
        <f t="shared" si="1"/>
        <v>0</v>
      </c>
      <c r="D16" s="23" t="s">
        <v>102</v>
      </c>
      <c r="E16" s="187"/>
      <c r="F16" s="187"/>
      <c r="G16" s="187"/>
      <c r="H16" s="187"/>
      <c r="I16" s="187"/>
      <c r="J16" s="187"/>
      <c r="K16" s="187"/>
      <c r="L16" s="187"/>
      <c r="M16" s="187"/>
      <c r="N16" s="187"/>
      <c r="O16" s="187"/>
      <c r="P16" s="187"/>
      <c r="Q16" s="187"/>
      <c r="R16" s="187"/>
      <c r="S16" s="187"/>
      <c r="T16" s="187"/>
      <c r="U16" s="187"/>
      <c r="V16" s="187"/>
      <c r="W16" s="187"/>
      <c r="X16" s="187"/>
      <c r="Y16" s="187"/>
      <c r="Z16" s="187"/>
      <c r="AA16" s="187"/>
      <c r="AB16" s="187"/>
      <c r="AC16" s="187"/>
      <c r="AD16" s="187"/>
      <c r="AE16" s="187"/>
      <c r="AF16" s="187"/>
      <c r="AG16" s="187"/>
      <c r="AH16" s="187"/>
      <c r="AI16" s="187"/>
      <c r="AJ16" s="187"/>
      <c r="AK16" s="187"/>
      <c r="AL16" s="187"/>
      <c r="AM16" s="187"/>
      <c r="AN16" s="187"/>
      <c r="AO16" s="187"/>
      <c r="AP16" s="187"/>
      <c r="AQ16" s="187"/>
      <c r="AR16" s="187"/>
      <c r="AS16" s="187"/>
      <c r="AT16" s="187"/>
      <c r="AU16" s="163">
        <f>RoofR!AB$2</f>
        <v>0</v>
      </c>
      <c r="AV16" s="455">
        <f t="shared" si="0"/>
        <v>0</v>
      </c>
      <c r="AW16" s="1525"/>
      <c r="AX16" s="1507"/>
      <c r="AY16" s="17">
        <v>1.45</v>
      </c>
      <c r="AZ16" s="19"/>
      <c r="BA16" s="19"/>
      <c r="BB16" s="23" t="s">
        <v>102</v>
      </c>
      <c r="BC16" s="774">
        <v>1.08366380952381</v>
      </c>
      <c r="BE16" s="777">
        <f t="shared" si="2"/>
        <v>108.33333333333333</v>
      </c>
      <c r="BF16" s="17">
        <v>13</v>
      </c>
    </row>
    <row r="17" spans="1:58" s="17" customFormat="1" ht="12" customHeight="1" x14ac:dyDescent="0.25">
      <c r="A17" s="17" t="s">
        <v>93</v>
      </c>
      <c r="B17" s="1495"/>
      <c r="C17" s="88">
        <f t="shared" si="1"/>
        <v>0</v>
      </c>
      <c r="D17" s="23" t="s">
        <v>103</v>
      </c>
      <c r="E17" s="645"/>
      <c r="F17" s="645"/>
      <c r="G17" s="645"/>
      <c r="H17" s="645"/>
      <c r="I17" s="645"/>
      <c r="J17" s="645"/>
      <c r="K17" s="645"/>
      <c r="L17" s="645"/>
      <c r="M17" s="645"/>
      <c r="N17" s="645"/>
      <c r="O17" s="645"/>
      <c r="P17" s="645"/>
      <c r="Q17" s="645"/>
      <c r="R17" s="645"/>
      <c r="S17" s="645"/>
      <c r="T17" s="645"/>
      <c r="U17" s="645"/>
      <c r="V17" s="645"/>
      <c r="W17" s="645"/>
      <c r="X17" s="645"/>
      <c r="Y17" s="645"/>
      <c r="Z17" s="645"/>
      <c r="AA17" s="645"/>
      <c r="AB17" s="645"/>
      <c r="AC17" s="645"/>
      <c r="AD17" s="645"/>
      <c r="AE17" s="645"/>
      <c r="AF17" s="645"/>
      <c r="AG17" s="645"/>
      <c r="AH17" s="645"/>
      <c r="AI17" s="645"/>
      <c r="AJ17" s="645"/>
      <c r="AK17" s="645"/>
      <c r="AL17" s="645"/>
      <c r="AM17" s="645"/>
      <c r="AN17" s="645"/>
      <c r="AO17" s="645"/>
      <c r="AP17" s="645"/>
      <c r="AQ17" s="645"/>
      <c r="AR17" s="645"/>
      <c r="AS17" s="645"/>
      <c r="AT17" s="645"/>
      <c r="AU17" s="163">
        <f>RoofR!AC$2</f>
        <v>0</v>
      </c>
      <c r="AV17" s="455">
        <f t="shared" si="0"/>
        <v>0</v>
      </c>
      <c r="AW17" s="1525"/>
      <c r="AX17" s="1507"/>
      <c r="AY17" s="17">
        <v>1.49</v>
      </c>
      <c r="AZ17" s="19"/>
      <c r="BA17" s="19"/>
      <c r="BB17" s="23" t="s">
        <v>103</v>
      </c>
      <c r="BC17" s="774">
        <v>1.16702666666666</v>
      </c>
      <c r="BE17" s="777">
        <f t="shared" si="2"/>
        <v>116.66666666666667</v>
      </c>
      <c r="BF17" s="17">
        <v>14</v>
      </c>
    </row>
    <row r="18" spans="1:58" s="17" customFormat="1" ht="12" customHeight="1" x14ac:dyDescent="0.25">
      <c r="A18" s="17" t="s">
        <v>94</v>
      </c>
      <c r="B18" s="1495"/>
      <c r="C18" s="88">
        <f t="shared" si="1"/>
        <v>0</v>
      </c>
      <c r="D18" s="23" t="s">
        <v>104</v>
      </c>
      <c r="E18" s="646"/>
      <c r="F18" s="646"/>
      <c r="G18" s="646"/>
      <c r="H18" s="646"/>
      <c r="I18" s="646"/>
      <c r="J18" s="646"/>
      <c r="K18" s="646"/>
      <c r="L18" s="646"/>
      <c r="M18" s="646"/>
      <c r="N18" s="646"/>
      <c r="O18" s="646"/>
      <c r="P18" s="646"/>
      <c r="Q18" s="646"/>
      <c r="R18" s="646"/>
      <c r="S18" s="646"/>
      <c r="T18" s="646"/>
      <c r="U18" s="646"/>
      <c r="V18" s="646"/>
      <c r="W18" s="646"/>
      <c r="X18" s="646"/>
      <c r="Y18" s="646"/>
      <c r="Z18" s="646"/>
      <c r="AA18" s="646"/>
      <c r="AB18" s="646"/>
      <c r="AC18" s="646"/>
      <c r="AD18" s="646"/>
      <c r="AE18" s="646"/>
      <c r="AF18" s="646"/>
      <c r="AG18" s="646"/>
      <c r="AH18" s="646"/>
      <c r="AI18" s="646"/>
      <c r="AJ18" s="646"/>
      <c r="AK18" s="646"/>
      <c r="AL18" s="646"/>
      <c r="AM18" s="646"/>
      <c r="AN18" s="646"/>
      <c r="AO18" s="646"/>
      <c r="AP18" s="646"/>
      <c r="AQ18" s="646"/>
      <c r="AR18" s="646"/>
      <c r="AS18" s="646"/>
      <c r="AT18" s="646"/>
      <c r="AU18" s="163">
        <f>RoofR!AD$2</f>
        <v>0</v>
      </c>
      <c r="AV18" s="455">
        <f t="shared" si="0"/>
        <v>0</v>
      </c>
      <c r="AW18" s="1525"/>
      <c r="AX18" s="1507"/>
      <c r="AY18" s="17">
        <v>1.52</v>
      </c>
      <c r="AZ18" s="19"/>
      <c r="BA18" s="19"/>
      <c r="BB18" s="23" t="s">
        <v>104</v>
      </c>
      <c r="BC18" s="776">
        <v>1.25038952380952</v>
      </c>
      <c r="BE18" s="777">
        <f t="shared" si="2"/>
        <v>125</v>
      </c>
      <c r="BF18" s="17">
        <v>15</v>
      </c>
    </row>
    <row r="19" spans="1:58" s="17" customFormat="1" ht="12" customHeight="1" x14ac:dyDescent="0.25">
      <c r="A19" s="17" t="s">
        <v>96</v>
      </c>
      <c r="B19" s="1495"/>
      <c r="C19" s="88">
        <f t="shared" si="1"/>
        <v>0</v>
      </c>
      <c r="D19" s="23" t="s">
        <v>105</v>
      </c>
      <c r="E19" s="187"/>
      <c r="F19" s="187"/>
      <c r="G19" s="187"/>
      <c r="H19" s="187"/>
      <c r="I19" s="187"/>
      <c r="J19" s="187"/>
      <c r="K19" s="187"/>
      <c r="L19" s="187"/>
      <c r="M19" s="187"/>
      <c r="N19" s="187"/>
      <c r="O19" s="187"/>
      <c r="P19" s="187"/>
      <c r="Q19" s="187"/>
      <c r="R19" s="187"/>
      <c r="S19" s="187"/>
      <c r="T19" s="187"/>
      <c r="U19" s="187"/>
      <c r="V19" s="187"/>
      <c r="W19" s="187"/>
      <c r="X19" s="187"/>
      <c r="Y19" s="187"/>
      <c r="Z19" s="187"/>
      <c r="AA19" s="187"/>
      <c r="AB19" s="187"/>
      <c r="AC19" s="187"/>
      <c r="AD19" s="187"/>
      <c r="AE19" s="187"/>
      <c r="AF19" s="187"/>
      <c r="AG19" s="187"/>
      <c r="AH19" s="187"/>
      <c r="AI19" s="187"/>
      <c r="AJ19" s="187"/>
      <c r="AK19" s="187"/>
      <c r="AL19" s="187"/>
      <c r="AM19" s="187"/>
      <c r="AN19" s="187"/>
      <c r="AO19" s="187"/>
      <c r="AP19" s="187"/>
      <c r="AQ19" s="187"/>
      <c r="AR19" s="187"/>
      <c r="AS19" s="187"/>
      <c r="AT19" s="187"/>
      <c r="AU19" s="163">
        <f>RoofR!AE$2</f>
        <v>0</v>
      </c>
      <c r="AV19" s="455">
        <f t="shared" si="0"/>
        <v>0</v>
      </c>
      <c r="AW19" s="1525"/>
      <c r="AX19" s="1507"/>
      <c r="AY19" s="17">
        <v>1.56</v>
      </c>
      <c r="AZ19" s="19"/>
      <c r="BA19" s="19"/>
      <c r="BB19" s="23" t="s">
        <v>105</v>
      </c>
      <c r="BC19" s="774">
        <v>1.3337523809523799</v>
      </c>
      <c r="BE19" s="777">
        <f t="shared" si="2"/>
        <v>133.33333333333331</v>
      </c>
      <c r="BF19" s="17">
        <v>16</v>
      </c>
    </row>
    <row r="20" spans="1:58" s="17" customFormat="1" ht="12" customHeight="1" x14ac:dyDescent="0.25">
      <c r="A20" s="17" t="s">
        <v>121</v>
      </c>
      <c r="B20" s="1496"/>
      <c r="C20" s="88">
        <f t="shared" si="1"/>
        <v>0</v>
      </c>
      <c r="D20" s="23" t="s">
        <v>116</v>
      </c>
      <c r="E20" s="645"/>
      <c r="F20" s="645"/>
      <c r="G20" s="645"/>
      <c r="H20" s="645"/>
      <c r="I20" s="645"/>
      <c r="J20" s="645"/>
      <c r="K20" s="645"/>
      <c r="L20" s="645"/>
      <c r="M20" s="645"/>
      <c r="N20" s="645"/>
      <c r="O20" s="645"/>
      <c r="P20" s="645"/>
      <c r="Q20" s="645"/>
      <c r="R20" s="645"/>
      <c r="S20" s="645"/>
      <c r="T20" s="645"/>
      <c r="U20" s="645"/>
      <c r="V20" s="645"/>
      <c r="W20" s="645"/>
      <c r="X20" s="645"/>
      <c r="Y20" s="645"/>
      <c r="Z20" s="645"/>
      <c r="AA20" s="645"/>
      <c r="AB20" s="645"/>
      <c r="AC20" s="645"/>
      <c r="AD20" s="645"/>
      <c r="AE20" s="645"/>
      <c r="AF20" s="645"/>
      <c r="AG20" s="645"/>
      <c r="AH20" s="645"/>
      <c r="AI20" s="645"/>
      <c r="AJ20" s="645"/>
      <c r="AK20" s="645"/>
      <c r="AL20" s="645"/>
      <c r="AM20" s="645"/>
      <c r="AN20" s="645"/>
      <c r="AO20" s="645"/>
      <c r="AP20" s="645"/>
      <c r="AQ20" s="645"/>
      <c r="AR20" s="645"/>
      <c r="AS20" s="645"/>
      <c r="AT20" s="645"/>
      <c r="AU20" s="163"/>
      <c r="AV20" s="455">
        <f t="shared" si="0"/>
        <v>0</v>
      </c>
      <c r="AW20" s="1533"/>
      <c r="AX20" s="1507"/>
      <c r="AY20" s="17">
        <v>1.56050116550117</v>
      </c>
      <c r="AZ20" s="94"/>
      <c r="BA20" s="94"/>
      <c r="BB20" s="23" t="s">
        <v>116</v>
      </c>
    </row>
    <row r="21" spans="1:58" s="17" customFormat="1" ht="2.4500000000000002" customHeight="1" x14ac:dyDescent="0.25">
      <c r="A21" s="1497"/>
      <c r="B21" s="1498"/>
      <c r="C21" s="1498"/>
      <c r="D21" s="1498"/>
      <c r="E21" s="1498"/>
      <c r="F21" s="1498"/>
      <c r="G21" s="1498"/>
      <c r="H21" s="1498"/>
      <c r="I21" s="1498"/>
      <c r="J21" s="1498"/>
      <c r="K21" s="1498"/>
      <c r="L21" s="1498"/>
      <c r="M21" s="1498"/>
      <c r="N21" s="1498"/>
      <c r="O21" s="1498"/>
      <c r="P21" s="1498"/>
      <c r="Q21" s="1498"/>
      <c r="R21" s="1498"/>
      <c r="S21" s="1498"/>
      <c r="T21" s="1498"/>
      <c r="U21" s="1498"/>
      <c r="V21" s="1498"/>
      <c r="W21" s="1498"/>
      <c r="X21" s="1498"/>
      <c r="Y21" s="1498"/>
      <c r="Z21" s="1498"/>
      <c r="AA21" s="1498"/>
      <c r="AB21" s="1498"/>
      <c r="AC21" s="1498"/>
      <c r="AD21" s="1498"/>
      <c r="AE21" s="1498"/>
      <c r="AF21" s="1498"/>
      <c r="AG21" s="1498"/>
      <c r="AH21" s="1498"/>
      <c r="AI21" s="1498"/>
      <c r="AJ21" s="1498"/>
      <c r="AK21" s="1498"/>
      <c r="AL21" s="1498"/>
      <c r="AM21" s="1498"/>
      <c r="AN21" s="1498"/>
      <c r="AO21" s="1498"/>
      <c r="AP21" s="1498"/>
      <c r="AQ21" s="1498"/>
      <c r="AR21" s="1498"/>
      <c r="AS21" s="1498"/>
      <c r="AT21" s="1498"/>
      <c r="AU21" s="1498"/>
      <c r="AV21" s="1498"/>
      <c r="AW21" s="1498"/>
      <c r="AX21" s="1507"/>
      <c r="AY21" s="1436"/>
      <c r="AZ21" s="1505"/>
      <c r="BA21" s="1505"/>
    </row>
    <row r="22" spans="1:58" s="17" customFormat="1" ht="12" customHeight="1" x14ac:dyDescent="0.25">
      <c r="A22" s="17" t="s">
        <v>63</v>
      </c>
      <c r="B22" s="1490"/>
      <c r="C22" s="226">
        <v>1</v>
      </c>
      <c r="D22" s="1188"/>
      <c r="E22" s="1543" t="s">
        <v>773</v>
      </c>
      <c r="F22" s="1543"/>
      <c r="G22" s="1543"/>
      <c r="H22" s="1543"/>
      <c r="I22" s="1543"/>
      <c r="J22" s="1543"/>
      <c r="K22" s="1543"/>
      <c r="L22" s="1543"/>
      <c r="M22" s="1543"/>
      <c r="N22" s="1543"/>
      <c r="O22" s="1543"/>
      <c r="P22" s="1543"/>
      <c r="Q22" s="1543"/>
      <c r="R22" s="1543"/>
      <c r="S22" s="1543"/>
      <c r="T22" s="1543"/>
      <c r="U22" s="1543"/>
      <c r="V22" s="1543"/>
      <c r="W22" s="1543"/>
      <c r="X22" s="1543"/>
      <c r="Y22" s="1543"/>
      <c r="Z22" s="1543"/>
      <c r="AA22" s="1543"/>
      <c r="AB22" s="1543"/>
      <c r="AC22" s="1543"/>
      <c r="AD22" s="1543"/>
      <c r="AE22" s="1543"/>
      <c r="AF22" s="1543"/>
      <c r="AG22" s="1543"/>
      <c r="AH22" s="1543"/>
      <c r="AI22" s="1543"/>
      <c r="AJ22" s="1543"/>
      <c r="AK22" s="1543"/>
      <c r="AL22" s="1543"/>
      <c r="AM22" s="1543"/>
      <c r="AN22" s="1543"/>
      <c r="AO22" s="1543"/>
      <c r="AP22" s="1543"/>
      <c r="AQ22" s="1543"/>
      <c r="AR22" s="1543"/>
      <c r="AS22" s="1543"/>
      <c r="AT22" s="1543"/>
      <c r="AU22" s="1543"/>
      <c r="AV22" s="1543"/>
      <c r="AW22" s="1543"/>
      <c r="AX22" s="1507"/>
    </row>
    <row r="23" spans="1:58" s="17" customFormat="1" ht="12" customHeight="1" x14ac:dyDescent="0.25">
      <c r="A23" s="17" t="s">
        <v>64</v>
      </c>
      <c r="B23" s="1490"/>
      <c r="C23" s="21">
        <f>SUM(E23:AU23)</f>
        <v>0</v>
      </c>
      <c r="D23" s="1350"/>
      <c r="E23" s="187"/>
      <c r="F23" s="187"/>
      <c r="G23" s="187"/>
      <c r="H23" s="187"/>
      <c r="I23" s="187"/>
      <c r="J23" s="187"/>
      <c r="K23" s="187"/>
      <c r="L23" s="187"/>
      <c r="M23" s="187"/>
      <c r="N23" s="187"/>
      <c r="O23" s="187"/>
      <c r="P23" s="187"/>
      <c r="Q23" s="187"/>
      <c r="R23" s="187"/>
      <c r="S23" s="187"/>
      <c r="T23" s="187"/>
      <c r="U23" s="187"/>
      <c r="V23" s="187"/>
      <c r="W23" s="187"/>
      <c r="X23" s="187"/>
      <c r="Y23" s="187"/>
      <c r="Z23" s="187"/>
      <c r="AA23" s="187"/>
      <c r="AB23" s="187"/>
      <c r="AC23" s="187"/>
      <c r="AD23" s="187"/>
      <c r="AE23" s="187"/>
      <c r="AF23" s="187"/>
      <c r="AG23" s="187"/>
      <c r="AH23" s="187"/>
      <c r="AI23" s="187"/>
      <c r="AJ23" s="187"/>
      <c r="AK23" s="187"/>
      <c r="AL23" s="187"/>
      <c r="AM23" s="187"/>
      <c r="AN23" s="187"/>
      <c r="AO23" s="187"/>
      <c r="AP23" s="187"/>
      <c r="AQ23" s="187"/>
      <c r="AR23" s="187"/>
      <c r="AS23" s="187"/>
      <c r="AT23" s="187"/>
      <c r="AU23" s="163">
        <f>SUM(RoofR!I2:J2)</f>
        <v>0</v>
      </c>
      <c r="AV23" s="1527"/>
      <c r="AW23" s="1524" t="s">
        <v>771</v>
      </c>
      <c r="AX23" s="1507"/>
    </row>
    <row r="24" spans="1:58" s="17" customFormat="1" ht="12" customHeight="1" x14ac:dyDescent="0.25">
      <c r="A24" s="17" t="s">
        <v>65</v>
      </c>
      <c r="B24" s="1490"/>
      <c r="C24" s="21">
        <f t="shared" ref="C24:C27" si="3">SUM(E24:AU24)</f>
        <v>0</v>
      </c>
      <c r="D24" s="1350"/>
      <c r="E24" s="645"/>
      <c r="F24" s="645"/>
      <c r="G24" s="645"/>
      <c r="H24" s="645"/>
      <c r="I24" s="645"/>
      <c r="J24" s="645"/>
      <c r="K24" s="645"/>
      <c r="L24" s="645"/>
      <c r="M24" s="645"/>
      <c r="N24" s="645"/>
      <c r="O24" s="645"/>
      <c r="P24" s="645"/>
      <c r="Q24" s="645"/>
      <c r="R24" s="645"/>
      <c r="S24" s="645"/>
      <c r="T24" s="645"/>
      <c r="U24" s="645"/>
      <c r="V24" s="645"/>
      <c r="W24" s="645"/>
      <c r="X24" s="645"/>
      <c r="Y24" s="645"/>
      <c r="Z24" s="645"/>
      <c r="AA24" s="645"/>
      <c r="AB24" s="645"/>
      <c r="AC24" s="645"/>
      <c r="AD24" s="645"/>
      <c r="AE24" s="645"/>
      <c r="AF24" s="645"/>
      <c r="AG24" s="645"/>
      <c r="AH24" s="645"/>
      <c r="AI24" s="645"/>
      <c r="AJ24" s="645"/>
      <c r="AK24" s="645"/>
      <c r="AL24" s="645"/>
      <c r="AM24" s="645"/>
      <c r="AN24" s="645"/>
      <c r="AO24" s="645"/>
      <c r="AP24" s="645"/>
      <c r="AQ24" s="645"/>
      <c r="AR24" s="645"/>
      <c r="AS24" s="645"/>
      <c r="AT24" s="645"/>
      <c r="AU24" s="163">
        <f>RoofR!H2</f>
        <v>0</v>
      </c>
      <c r="AV24" s="1532"/>
      <c r="AW24" s="1525"/>
      <c r="AX24" s="1507"/>
    </row>
    <row r="25" spans="1:58" s="17" customFormat="1" ht="12" customHeight="1" x14ac:dyDescent="0.25">
      <c r="A25" s="17" t="s">
        <v>66</v>
      </c>
      <c r="B25" s="1490"/>
      <c r="C25" s="21">
        <f t="shared" si="3"/>
        <v>0</v>
      </c>
      <c r="D25" s="1350"/>
      <c r="E25" s="646"/>
      <c r="F25" s="646"/>
      <c r="G25" s="646"/>
      <c r="H25" s="646"/>
      <c r="I25" s="646"/>
      <c r="J25" s="646"/>
      <c r="K25" s="646"/>
      <c r="L25" s="646"/>
      <c r="M25" s="646"/>
      <c r="N25" s="646"/>
      <c r="O25" s="646"/>
      <c r="P25" s="646"/>
      <c r="Q25" s="646"/>
      <c r="R25" s="646"/>
      <c r="S25" s="646"/>
      <c r="T25" s="646"/>
      <c r="U25" s="646"/>
      <c r="V25" s="646"/>
      <c r="W25" s="646"/>
      <c r="X25" s="646"/>
      <c r="Y25" s="646"/>
      <c r="Z25" s="646"/>
      <c r="AA25" s="646"/>
      <c r="AB25" s="646"/>
      <c r="AC25" s="646"/>
      <c r="AD25" s="646"/>
      <c r="AE25" s="646"/>
      <c r="AF25" s="646"/>
      <c r="AG25" s="646"/>
      <c r="AH25" s="646"/>
      <c r="AI25" s="646"/>
      <c r="AJ25" s="646"/>
      <c r="AK25" s="646"/>
      <c r="AL25" s="646"/>
      <c r="AM25" s="646"/>
      <c r="AN25" s="646"/>
      <c r="AO25" s="646"/>
      <c r="AP25" s="646"/>
      <c r="AQ25" s="646"/>
      <c r="AR25" s="646"/>
      <c r="AS25" s="646"/>
      <c r="AT25" s="646"/>
      <c r="AU25" s="163">
        <f>RoofR!K2</f>
        <v>0</v>
      </c>
      <c r="AV25" s="466">
        <f>SUM(AZ4*AY4+AZ5*AY5+AY6*AZ6+AY7*AZ7+AY8*AZ8+AY9*AZ9+AY10*AZ10+AY11*AZ11+AY12*AZ12+AY13*AZ13+AY14*AZ14+AY15*AZ15+AY16*AZ16+AY17*AZ17+AY18*AZ18+AY19*AZ19+AY20*AZ20)</f>
        <v>0</v>
      </c>
      <c r="AW25" s="1525"/>
      <c r="AX25" s="1507"/>
    </row>
    <row r="26" spans="1:58" s="17" customFormat="1" ht="12" customHeight="1" x14ac:dyDescent="0.25">
      <c r="A26" s="17" t="s">
        <v>67</v>
      </c>
      <c r="B26" s="1490"/>
      <c r="C26" s="21">
        <f t="shared" si="3"/>
        <v>0</v>
      </c>
      <c r="D26" s="1350"/>
      <c r="E26" s="187"/>
      <c r="F26" s="187"/>
      <c r="G26" s="187"/>
      <c r="H26" s="187"/>
      <c r="I26" s="187"/>
      <c r="J26" s="187"/>
      <c r="K26" s="187"/>
      <c r="L26" s="187"/>
      <c r="M26" s="187"/>
      <c r="N26" s="187"/>
      <c r="O26" s="187"/>
      <c r="P26" s="187"/>
      <c r="Q26" s="187"/>
      <c r="R26" s="187"/>
      <c r="S26" s="187"/>
      <c r="T26" s="187"/>
      <c r="U26" s="187"/>
      <c r="V26" s="187"/>
      <c r="W26" s="187"/>
      <c r="X26" s="187"/>
      <c r="Y26" s="187"/>
      <c r="Z26" s="187"/>
      <c r="AA26" s="187"/>
      <c r="AB26" s="187"/>
      <c r="AC26" s="187"/>
      <c r="AD26" s="187"/>
      <c r="AE26" s="187"/>
      <c r="AF26" s="187"/>
      <c r="AG26" s="187"/>
      <c r="AH26" s="187"/>
      <c r="AI26" s="187"/>
      <c r="AJ26" s="187"/>
      <c r="AK26" s="187"/>
      <c r="AL26" s="187"/>
      <c r="AM26" s="187"/>
      <c r="AN26" s="187"/>
      <c r="AO26" s="187"/>
      <c r="AP26" s="187"/>
      <c r="AQ26" s="187"/>
      <c r="AR26" s="187"/>
      <c r="AS26" s="187"/>
      <c r="AT26" s="187"/>
      <c r="AU26" s="163">
        <f>RoofR!G2</f>
        <v>0</v>
      </c>
      <c r="AV26" s="466">
        <f>SUM(BA4:BA20)</f>
        <v>0</v>
      </c>
      <c r="AW26" s="1525"/>
      <c r="AX26" s="1507"/>
    </row>
    <row r="27" spans="1:58" s="17" customFormat="1" ht="12" customHeight="1" x14ac:dyDescent="0.25">
      <c r="A27" s="17" t="s">
        <v>328</v>
      </c>
      <c r="B27" s="1490"/>
      <c r="C27" s="21">
        <f t="shared" si="3"/>
        <v>0</v>
      </c>
      <c r="D27" s="1350"/>
      <c r="E27" s="645"/>
      <c r="F27" s="645"/>
      <c r="G27" s="645"/>
      <c r="H27" s="645"/>
      <c r="I27" s="645"/>
      <c r="J27" s="645"/>
      <c r="K27" s="645"/>
      <c r="L27" s="645"/>
      <c r="M27" s="645"/>
      <c r="N27" s="645"/>
      <c r="O27" s="645"/>
      <c r="P27" s="645"/>
      <c r="Q27" s="645"/>
      <c r="R27" s="645"/>
      <c r="S27" s="645"/>
      <c r="T27" s="645"/>
      <c r="U27" s="645"/>
      <c r="V27" s="645"/>
      <c r="W27" s="645"/>
      <c r="X27" s="645"/>
      <c r="Y27" s="645"/>
      <c r="Z27" s="645"/>
      <c r="AA27" s="645"/>
      <c r="AB27" s="645"/>
      <c r="AC27" s="645"/>
      <c r="AD27" s="645"/>
      <c r="AE27" s="645"/>
      <c r="AF27" s="645"/>
      <c r="AG27" s="645"/>
      <c r="AH27" s="645"/>
      <c r="AI27" s="645"/>
      <c r="AJ27" s="645"/>
      <c r="AK27" s="645"/>
      <c r="AL27" s="645"/>
      <c r="AM27" s="645"/>
      <c r="AN27" s="645"/>
      <c r="AO27" s="645"/>
      <c r="AP27" s="645"/>
      <c r="AQ27" s="645"/>
      <c r="AR27" s="645"/>
      <c r="AS27" s="645"/>
      <c r="AT27" s="645"/>
      <c r="AU27" s="163">
        <f>RoofR!N2</f>
        <v>0</v>
      </c>
      <c r="AV27" s="467"/>
      <c r="AW27" s="1526"/>
      <c r="AX27" s="1507"/>
    </row>
    <row r="28" spans="1:58" s="17" customFormat="1" ht="12" customHeight="1" x14ac:dyDescent="0.25">
      <c r="A28" s="17" t="s">
        <v>98</v>
      </c>
      <c r="B28" s="1490"/>
      <c r="C28" s="21">
        <f>SUM(E28:AU28)</f>
        <v>0</v>
      </c>
      <c r="D28" s="1350"/>
      <c r="E28" s="646"/>
      <c r="F28" s="646"/>
      <c r="G28" s="646"/>
      <c r="H28" s="646"/>
      <c r="I28" s="646"/>
      <c r="J28" s="646"/>
      <c r="K28" s="646"/>
      <c r="L28" s="646"/>
      <c r="M28" s="646"/>
      <c r="N28" s="646"/>
      <c r="O28" s="646"/>
      <c r="P28" s="646"/>
      <c r="Q28" s="646"/>
      <c r="R28" s="646"/>
      <c r="S28" s="646"/>
      <c r="T28" s="646"/>
      <c r="U28" s="646"/>
      <c r="V28" s="646"/>
      <c r="W28" s="646"/>
      <c r="X28" s="646"/>
      <c r="Y28" s="646"/>
      <c r="Z28" s="646"/>
      <c r="AA28" s="646"/>
      <c r="AB28" s="646"/>
      <c r="AC28" s="646"/>
      <c r="AD28" s="646"/>
      <c r="AE28" s="646"/>
      <c r="AF28" s="646"/>
      <c r="AG28" s="646"/>
      <c r="AH28" s="646"/>
      <c r="AI28" s="646"/>
      <c r="AJ28" s="646"/>
      <c r="AK28" s="646"/>
      <c r="AL28" s="646"/>
      <c r="AM28" s="646"/>
      <c r="AN28" s="646"/>
      <c r="AO28" s="646"/>
      <c r="AP28" s="646"/>
      <c r="AQ28" s="646"/>
      <c r="AR28" s="646"/>
      <c r="AS28" s="646"/>
      <c r="AT28" s="646"/>
      <c r="AU28" s="19"/>
      <c r="AV28" s="203">
        <f>SUM(AW2)</f>
        <v>1</v>
      </c>
      <c r="AW28" s="1524" t="s">
        <v>772</v>
      </c>
      <c r="AX28" s="1507"/>
    </row>
    <row r="29" spans="1:58" s="17" customFormat="1" ht="12" customHeight="1" x14ac:dyDescent="0.25">
      <c r="A29" s="17" t="s">
        <v>97</v>
      </c>
      <c r="B29" s="1490"/>
      <c r="C29" s="22">
        <f>SUM(C3)</f>
        <v>9.9999999999999995E-7</v>
      </c>
      <c r="D29" s="1350"/>
      <c r="E29" s="1544"/>
      <c r="F29" s="1545"/>
      <c r="G29" s="1545"/>
      <c r="H29" s="1545"/>
      <c r="I29" s="1545"/>
      <c r="J29" s="1545"/>
      <c r="K29" s="1545"/>
      <c r="L29" s="1545"/>
      <c r="M29" s="1545"/>
      <c r="N29" s="1545"/>
      <c r="O29" s="1545"/>
      <c r="P29" s="1545"/>
      <c r="Q29" s="1545"/>
      <c r="R29" s="1545"/>
      <c r="S29" s="1545"/>
      <c r="T29" s="1545"/>
      <c r="U29" s="1545"/>
      <c r="V29" s="1545"/>
      <c r="W29" s="1545"/>
      <c r="X29" s="1545"/>
      <c r="Y29" s="1545"/>
      <c r="Z29" s="1545"/>
      <c r="AA29" s="1545"/>
      <c r="AB29" s="1545"/>
      <c r="AC29" s="1545"/>
      <c r="AD29" s="1545"/>
      <c r="AE29" s="1545"/>
      <c r="AF29" s="1545"/>
      <c r="AG29" s="1545"/>
      <c r="AH29" s="1545"/>
      <c r="AI29" s="1545"/>
      <c r="AJ29" s="1545"/>
      <c r="AK29" s="1545"/>
      <c r="AL29" s="1545"/>
      <c r="AM29" s="1545"/>
      <c r="AN29" s="1545"/>
      <c r="AO29" s="1545"/>
      <c r="AP29" s="1545"/>
      <c r="AQ29" s="1545"/>
      <c r="AR29" s="1545"/>
      <c r="AS29" s="1545"/>
      <c r="AT29" s="1545"/>
      <c r="AU29" s="1545"/>
      <c r="AV29" s="1546"/>
      <c r="AW29" s="1525"/>
      <c r="AX29" s="1507"/>
    </row>
    <row r="30" spans="1:58" s="17" customFormat="1" ht="12" customHeight="1" x14ac:dyDescent="0.25">
      <c r="A30" s="17" t="s">
        <v>119</v>
      </c>
      <c r="B30" s="1490"/>
      <c r="C30" s="21">
        <f>SUM(E30:AU30)</f>
        <v>0</v>
      </c>
      <c r="D30" s="1350"/>
      <c r="E30" s="187"/>
      <c r="F30" s="187"/>
      <c r="G30" s="187"/>
      <c r="H30" s="187"/>
      <c r="I30" s="187"/>
      <c r="J30" s="187"/>
      <c r="K30" s="187"/>
      <c r="L30" s="187"/>
      <c r="M30" s="187"/>
      <c r="N30" s="187"/>
      <c r="O30" s="187"/>
      <c r="P30" s="187"/>
      <c r="Q30" s="187"/>
      <c r="R30" s="187"/>
      <c r="S30" s="187"/>
      <c r="T30" s="187"/>
      <c r="U30" s="187"/>
      <c r="V30" s="187"/>
      <c r="W30" s="187"/>
      <c r="X30" s="187"/>
      <c r="Y30" s="187"/>
      <c r="Z30" s="187"/>
      <c r="AA30" s="187"/>
      <c r="AB30" s="187"/>
      <c r="AC30" s="187"/>
      <c r="AD30" s="187"/>
      <c r="AE30" s="187"/>
      <c r="AF30" s="187"/>
      <c r="AG30" s="187"/>
      <c r="AH30" s="187"/>
      <c r="AI30" s="187"/>
      <c r="AJ30" s="187"/>
      <c r="AK30" s="187"/>
      <c r="AL30" s="187"/>
      <c r="AM30" s="187"/>
      <c r="AN30" s="187"/>
      <c r="AO30" s="187"/>
      <c r="AP30" s="187"/>
      <c r="AQ30" s="187"/>
      <c r="AR30" s="187"/>
      <c r="AS30" s="187"/>
      <c r="AT30" s="187"/>
      <c r="AU30" s="19"/>
      <c r="AV30" s="203">
        <f>SUM(AW2)*2</f>
        <v>2</v>
      </c>
      <c r="AW30" s="1525"/>
      <c r="AX30" s="1507"/>
    </row>
    <row r="31" spans="1:58" s="17" customFormat="1" ht="12" customHeight="1" x14ac:dyDescent="0.25">
      <c r="A31" s="17" t="s">
        <v>99</v>
      </c>
      <c r="B31" s="1490"/>
      <c r="C31" s="21">
        <f t="shared" ref="C31:C34" si="4">SUM(E31:AU31)</f>
        <v>0</v>
      </c>
      <c r="D31" s="1350"/>
      <c r="E31" s="645"/>
      <c r="F31" s="645"/>
      <c r="G31" s="645"/>
      <c r="H31" s="645"/>
      <c r="I31" s="645"/>
      <c r="J31" s="645"/>
      <c r="K31" s="645"/>
      <c r="L31" s="645"/>
      <c r="M31" s="645"/>
      <c r="N31" s="645"/>
      <c r="O31" s="645"/>
      <c r="P31" s="645"/>
      <c r="Q31" s="645"/>
      <c r="R31" s="645"/>
      <c r="S31" s="645"/>
      <c r="T31" s="645"/>
      <c r="U31" s="645"/>
      <c r="V31" s="645"/>
      <c r="W31" s="645"/>
      <c r="X31" s="645"/>
      <c r="Y31" s="645"/>
      <c r="Z31" s="645"/>
      <c r="AA31" s="645"/>
      <c r="AB31" s="645"/>
      <c r="AC31" s="645"/>
      <c r="AD31" s="645"/>
      <c r="AE31" s="645"/>
      <c r="AF31" s="645"/>
      <c r="AG31" s="645"/>
      <c r="AH31" s="645"/>
      <c r="AI31" s="645"/>
      <c r="AJ31" s="645"/>
      <c r="AK31" s="645"/>
      <c r="AL31" s="645"/>
      <c r="AM31" s="645"/>
      <c r="AN31" s="645"/>
      <c r="AO31" s="645"/>
      <c r="AP31" s="645"/>
      <c r="AQ31" s="645"/>
      <c r="AR31" s="645"/>
      <c r="AS31" s="645"/>
      <c r="AT31" s="645"/>
      <c r="AU31" s="19"/>
      <c r="AV31" s="203">
        <f>SUM(AW2)</f>
        <v>1</v>
      </c>
      <c r="AW31" s="1526"/>
      <c r="AX31" s="1507"/>
    </row>
    <row r="32" spans="1:58" s="17" customFormat="1" ht="12" customHeight="1" x14ac:dyDescent="0.25">
      <c r="A32" s="17" t="s">
        <v>41</v>
      </c>
      <c r="B32" s="1490"/>
      <c r="C32" s="21">
        <f t="shared" si="4"/>
        <v>0</v>
      </c>
      <c r="D32" s="1350"/>
      <c r="E32" s="646"/>
      <c r="F32" s="646"/>
      <c r="G32" s="646"/>
      <c r="H32" s="646"/>
      <c r="I32" s="646"/>
      <c r="J32" s="646"/>
      <c r="K32" s="646"/>
      <c r="L32" s="646"/>
      <c r="M32" s="646"/>
      <c r="N32" s="646"/>
      <c r="O32" s="646"/>
      <c r="P32" s="646"/>
      <c r="Q32" s="646"/>
      <c r="R32" s="646"/>
      <c r="S32" s="646"/>
      <c r="T32" s="646"/>
      <c r="U32" s="646"/>
      <c r="V32" s="646"/>
      <c r="W32" s="646"/>
      <c r="X32" s="646"/>
      <c r="Y32" s="646"/>
      <c r="Z32" s="646"/>
      <c r="AA32" s="646"/>
      <c r="AB32" s="646"/>
      <c r="AC32" s="646"/>
      <c r="AD32" s="646"/>
      <c r="AE32" s="646"/>
      <c r="AF32" s="646"/>
      <c r="AG32" s="646"/>
      <c r="AH32" s="646"/>
      <c r="AI32" s="646"/>
      <c r="AJ32" s="646"/>
      <c r="AK32" s="646"/>
      <c r="AL32" s="646"/>
      <c r="AM32" s="646"/>
      <c r="AN32" s="646"/>
      <c r="AO32" s="646"/>
      <c r="AP32" s="646"/>
      <c r="AQ32" s="646"/>
      <c r="AR32" s="646"/>
      <c r="AS32" s="646"/>
      <c r="AT32" s="646"/>
      <c r="AU32" s="163">
        <f>RoofR!M2</f>
        <v>0</v>
      </c>
      <c r="AV32" s="1527"/>
      <c r="AW32" s="103" t="s">
        <v>112</v>
      </c>
      <c r="AX32" s="1507"/>
    </row>
    <row r="33" spans="1:64" s="17" customFormat="1" ht="12" customHeight="1" x14ac:dyDescent="0.25">
      <c r="A33" s="17" t="s">
        <v>47</v>
      </c>
      <c r="B33" s="1490"/>
      <c r="C33" s="21">
        <f t="shared" si="4"/>
        <v>0</v>
      </c>
      <c r="D33" s="1350"/>
      <c r="E33" s="187"/>
      <c r="F33" s="187"/>
      <c r="G33" s="187"/>
      <c r="H33" s="187"/>
      <c r="I33" s="187"/>
      <c r="J33" s="187"/>
      <c r="K33" s="187"/>
      <c r="L33" s="187"/>
      <c r="M33" s="187"/>
      <c r="N33" s="187"/>
      <c r="O33" s="187"/>
      <c r="P33" s="187"/>
      <c r="Q33" s="187"/>
      <c r="R33" s="187"/>
      <c r="S33" s="187"/>
      <c r="T33" s="187"/>
      <c r="U33" s="187"/>
      <c r="V33" s="187"/>
      <c r="W33" s="187"/>
      <c r="X33" s="187"/>
      <c r="Y33" s="187"/>
      <c r="Z33" s="187"/>
      <c r="AA33" s="187"/>
      <c r="AB33" s="187"/>
      <c r="AC33" s="187"/>
      <c r="AD33" s="187"/>
      <c r="AE33" s="187"/>
      <c r="AF33" s="187"/>
      <c r="AG33" s="187"/>
      <c r="AH33" s="187"/>
      <c r="AI33" s="187"/>
      <c r="AJ33" s="187"/>
      <c r="AK33" s="187"/>
      <c r="AL33" s="187"/>
      <c r="AM33" s="187"/>
      <c r="AN33" s="187"/>
      <c r="AO33" s="187"/>
      <c r="AP33" s="187"/>
      <c r="AQ33" s="187"/>
      <c r="AR33" s="187"/>
      <c r="AS33" s="187"/>
      <c r="AT33" s="187"/>
      <c r="AU33" s="163">
        <f>RoofR!L2</f>
        <v>0</v>
      </c>
      <c r="AV33" s="1528"/>
      <c r="AW33" s="103" t="s">
        <v>112</v>
      </c>
      <c r="AX33" s="1507"/>
    </row>
    <row r="34" spans="1:64" s="17" customFormat="1" ht="12" customHeight="1" x14ac:dyDescent="0.25">
      <c r="A34" s="17" t="s">
        <v>43</v>
      </c>
      <c r="B34" s="1490"/>
      <c r="C34" s="21">
        <f t="shared" si="4"/>
        <v>0</v>
      </c>
      <c r="D34" s="1352"/>
      <c r="E34" s="645"/>
      <c r="F34" s="645"/>
      <c r="G34" s="645"/>
      <c r="H34" s="645"/>
      <c r="I34" s="645"/>
      <c r="J34" s="645"/>
      <c r="K34" s="645"/>
      <c r="L34" s="645"/>
      <c r="M34" s="645"/>
      <c r="N34" s="645"/>
      <c r="O34" s="645"/>
      <c r="P34" s="645"/>
      <c r="Q34" s="645"/>
      <c r="R34" s="645"/>
      <c r="S34" s="645"/>
      <c r="T34" s="645"/>
      <c r="U34" s="645"/>
      <c r="V34" s="645"/>
      <c r="W34" s="645"/>
      <c r="X34" s="645"/>
      <c r="Y34" s="645"/>
      <c r="Z34" s="645"/>
      <c r="AA34" s="645"/>
      <c r="AB34" s="645"/>
      <c r="AC34" s="645"/>
      <c r="AD34" s="645"/>
      <c r="AE34" s="645"/>
      <c r="AF34" s="645"/>
      <c r="AG34" s="645"/>
      <c r="AH34" s="645"/>
      <c r="AI34" s="645"/>
      <c r="AJ34" s="645"/>
      <c r="AK34" s="645"/>
      <c r="AL34" s="645"/>
      <c r="AM34" s="645"/>
      <c r="AN34" s="645"/>
      <c r="AO34" s="645"/>
      <c r="AP34" s="645"/>
      <c r="AQ34" s="645"/>
      <c r="AR34" s="645"/>
      <c r="AS34" s="645"/>
      <c r="AT34" s="645"/>
      <c r="AU34" s="19"/>
      <c r="AV34" s="203">
        <f>SUM(AW2)</f>
        <v>1</v>
      </c>
      <c r="AW34" s="103" t="s">
        <v>114</v>
      </c>
      <c r="AX34" s="1507"/>
    </row>
    <row r="35" spans="1:64" s="16" customFormat="1" ht="2.4500000000000002" customHeight="1" x14ac:dyDescent="0.2">
      <c r="A35" s="1497"/>
      <c r="B35" s="1498"/>
      <c r="C35" s="1498"/>
      <c r="D35" s="1498"/>
      <c r="E35" s="1498"/>
      <c r="F35" s="1498"/>
      <c r="G35" s="1498"/>
      <c r="H35" s="1498"/>
      <c r="I35" s="1498"/>
      <c r="J35" s="1498"/>
      <c r="K35" s="1498"/>
      <c r="L35" s="1498"/>
      <c r="M35" s="1498"/>
      <c r="N35" s="1498"/>
      <c r="O35" s="1498"/>
      <c r="P35" s="1498"/>
      <c r="Q35" s="1498"/>
      <c r="R35" s="1498"/>
      <c r="S35" s="1498"/>
      <c r="T35" s="1498"/>
      <c r="U35" s="1498"/>
      <c r="V35" s="1498"/>
      <c r="W35" s="1498"/>
      <c r="X35" s="1498"/>
      <c r="Y35" s="1498"/>
      <c r="Z35" s="1498"/>
      <c r="AA35" s="1498"/>
      <c r="AB35" s="1498"/>
      <c r="AC35" s="1498"/>
      <c r="AD35" s="1498"/>
      <c r="AE35" s="1498"/>
      <c r="AF35" s="1498"/>
      <c r="AG35" s="1498"/>
      <c r="AH35" s="1498"/>
      <c r="AI35" s="1498"/>
      <c r="AJ35" s="1498"/>
      <c r="AK35" s="1498"/>
      <c r="AL35" s="1498"/>
      <c r="AM35" s="1498"/>
      <c r="AN35" s="1498"/>
      <c r="AO35" s="1498"/>
      <c r="AP35" s="1498"/>
      <c r="AQ35" s="1498"/>
      <c r="AR35" s="1498"/>
      <c r="AS35" s="1498"/>
      <c r="AT35" s="1498"/>
      <c r="AU35" s="1498"/>
      <c r="AV35" s="1498"/>
      <c r="AW35" s="1498"/>
      <c r="AX35" s="1508"/>
      <c r="AY35" s="1456"/>
      <c r="AZ35" s="1457"/>
      <c r="BA35" s="1457"/>
      <c r="BB35" s="1457"/>
      <c r="BC35" s="1457"/>
      <c r="BD35" s="1457"/>
      <c r="BE35" s="1457"/>
      <c r="BF35" s="1457"/>
      <c r="BG35" s="1457"/>
      <c r="BH35" s="1457"/>
      <c r="BI35" s="1457"/>
      <c r="BJ35" s="1457"/>
      <c r="BK35" s="1457"/>
      <c r="BL35" s="1458"/>
    </row>
    <row r="36" spans="1:64" s="16" customFormat="1" ht="12" customHeight="1" x14ac:dyDescent="0.2">
      <c r="A36" s="243" t="s">
        <v>165</v>
      </c>
      <c r="B36" s="1491"/>
      <c r="C36" s="1556"/>
      <c r="D36" s="1557"/>
      <c r="E36" s="1557" t="s">
        <v>773</v>
      </c>
      <c r="F36" s="1557"/>
      <c r="G36" s="1557"/>
      <c r="H36" s="1557"/>
      <c r="I36" s="1557"/>
      <c r="J36" s="1557"/>
      <c r="K36" s="1557"/>
      <c r="L36" s="1557"/>
      <c r="M36" s="1557"/>
      <c r="N36" s="1557"/>
      <c r="O36" s="1557"/>
      <c r="P36" s="1557"/>
      <c r="Q36" s="1557"/>
      <c r="R36" s="1557"/>
      <c r="S36" s="1557"/>
      <c r="T36" s="1557"/>
      <c r="U36" s="1557"/>
      <c r="V36" s="1557"/>
      <c r="W36" s="1557"/>
      <c r="X36" s="1557"/>
      <c r="Y36" s="1557"/>
      <c r="Z36" s="1557"/>
      <c r="AA36" s="1557"/>
      <c r="AB36" s="1557"/>
      <c r="AC36" s="1557"/>
      <c r="AD36" s="1557"/>
      <c r="AE36" s="1557"/>
      <c r="AF36" s="1557"/>
      <c r="AG36" s="1557"/>
      <c r="AH36" s="1557"/>
      <c r="AI36" s="1557"/>
      <c r="AJ36" s="1557"/>
      <c r="AK36" s="1557"/>
      <c r="AL36" s="1557"/>
      <c r="AM36" s="1557"/>
      <c r="AN36" s="1557"/>
      <c r="AO36" s="1557"/>
      <c r="AP36" s="1557"/>
      <c r="AQ36" s="1557"/>
      <c r="AR36" s="1557"/>
      <c r="AS36" s="1557"/>
      <c r="AT36" s="1557"/>
      <c r="AU36" s="1557"/>
      <c r="AV36" s="1557"/>
      <c r="AW36" s="1557"/>
      <c r="AX36" s="1537"/>
      <c r="AY36" s="253" t="s">
        <v>1049</v>
      </c>
      <c r="AZ36" s="241" t="s">
        <v>372</v>
      </c>
      <c r="BA36" s="242"/>
      <c r="BB36" s="1480" t="s">
        <v>1136</v>
      </c>
      <c r="BC36" s="1482"/>
      <c r="BD36" s="241" t="s">
        <v>1128</v>
      </c>
      <c r="BE36" s="241" t="s">
        <v>372</v>
      </c>
      <c r="BF36" s="241" t="s">
        <v>1049</v>
      </c>
      <c r="BG36" s="1480"/>
      <c r="BH36" s="1481"/>
      <c r="BI36" s="1481"/>
      <c r="BJ36" s="1481"/>
      <c r="BK36" s="1481"/>
      <c r="BL36" s="1482"/>
    </row>
    <row r="37" spans="1:64" s="16" customFormat="1" ht="12" customHeight="1" x14ac:dyDescent="0.2">
      <c r="A37" s="17" t="s">
        <v>149</v>
      </c>
      <c r="B37" s="1492"/>
      <c r="C37" s="24">
        <f>SUM(C26)</f>
        <v>0</v>
      </c>
      <c r="D37" s="1553"/>
      <c r="E37" s="256">
        <f>E1</f>
        <v>1</v>
      </c>
      <c r="F37" s="256">
        <f t="shared" ref="F37:AT37" si="5">F1</f>
        <v>2</v>
      </c>
      <c r="G37" s="256">
        <f t="shared" si="5"/>
        <v>3</v>
      </c>
      <c r="H37" s="256">
        <f t="shared" si="5"/>
        <v>4</v>
      </c>
      <c r="I37" s="256">
        <f t="shared" si="5"/>
        <v>5</v>
      </c>
      <c r="J37" s="256">
        <f t="shared" si="5"/>
        <v>6</v>
      </c>
      <c r="K37" s="256">
        <f t="shared" si="5"/>
        <v>7</v>
      </c>
      <c r="L37" s="256">
        <f t="shared" si="5"/>
        <v>8</v>
      </c>
      <c r="M37" s="256">
        <f t="shared" si="5"/>
        <v>9</v>
      </c>
      <c r="N37" s="256">
        <f t="shared" si="5"/>
        <v>10</v>
      </c>
      <c r="O37" s="256">
        <f t="shared" si="5"/>
        <v>11</v>
      </c>
      <c r="P37" s="256">
        <f t="shared" si="5"/>
        <v>12</v>
      </c>
      <c r="Q37" s="256">
        <f t="shared" si="5"/>
        <v>13</v>
      </c>
      <c r="R37" s="256">
        <f t="shared" si="5"/>
        <v>14</v>
      </c>
      <c r="S37" s="256">
        <f t="shared" ref="S37" si="6">S1</f>
        <v>15</v>
      </c>
      <c r="T37" s="256">
        <f t="shared" si="5"/>
        <v>16</v>
      </c>
      <c r="U37" s="256">
        <f t="shared" ref="U37:AE37" si="7">U1</f>
        <v>17</v>
      </c>
      <c r="V37" s="256">
        <f t="shared" si="7"/>
        <v>18</v>
      </c>
      <c r="W37" s="256">
        <f t="shared" si="7"/>
        <v>19</v>
      </c>
      <c r="X37" s="256">
        <f t="shared" si="7"/>
        <v>20</v>
      </c>
      <c r="Y37" s="256">
        <f t="shared" si="7"/>
        <v>21</v>
      </c>
      <c r="Z37" s="256">
        <f t="shared" si="7"/>
        <v>22</v>
      </c>
      <c r="AA37" s="256">
        <f t="shared" si="7"/>
        <v>23</v>
      </c>
      <c r="AB37" s="256">
        <f t="shared" si="7"/>
        <v>24</v>
      </c>
      <c r="AC37" s="256">
        <f t="shared" si="7"/>
        <v>25</v>
      </c>
      <c r="AD37" s="256">
        <f t="shared" si="7"/>
        <v>26</v>
      </c>
      <c r="AE37" s="256">
        <f t="shared" si="7"/>
        <v>27</v>
      </c>
      <c r="AF37" s="256">
        <f t="shared" si="5"/>
        <v>28</v>
      </c>
      <c r="AG37" s="256">
        <f t="shared" si="5"/>
        <v>29</v>
      </c>
      <c r="AH37" s="256">
        <f t="shared" si="5"/>
        <v>30</v>
      </c>
      <c r="AI37" s="256">
        <f t="shared" si="5"/>
        <v>31</v>
      </c>
      <c r="AJ37" s="256">
        <f t="shared" si="5"/>
        <v>32</v>
      </c>
      <c r="AK37" s="256">
        <f t="shared" si="5"/>
        <v>33</v>
      </c>
      <c r="AL37" s="256">
        <f t="shared" si="5"/>
        <v>34</v>
      </c>
      <c r="AM37" s="256">
        <f t="shared" si="5"/>
        <v>35</v>
      </c>
      <c r="AN37" s="256">
        <f t="shared" si="5"/>
        <v>36</v>
      </c>
      <c r="AO37" s="256">
        <f t="shared" si="5"/>
        <v>37</v>
      </c>
      <c r="AP37" s="256">
        <f t="shared" si="5"/>
        <v>38</v>
      </c>
      <c r="AQ37" s="256">
        <f t="shared" si="5"/>
        <v>39</v>
      </c>
      <c r="AR37" s="256">
        <f t="shared" si="5"/>
        <v>40</v>
      </c>
      <c r="AS37" s="256">
        <f t="shared" si="5"/>
        <v>41</v>
      </c>
      <c r="AT37" s="256">
        <f t="shared" si="5"/>
        <v>42</v>
      </c>
      <c r="AU37" s="1540" t="s">
        <v>1121</v>
      </c>
      <c r="AV37" s="1541"/>
      <c r="AW37" s="1542"/>
      <c r="AX37" s="1538"/>
      <c r="AY37" s="1484"/>
      <c r="AZ37" s="1484"/>
      <c r="BA37" s="1484"/>
      <c r="BB37" s="1484"/>
      <c r="BC37" s="1484"/>
      <c r="BD37" s="255" t="s">
        <v>1127</v>
      </c>
      <c r="BE37" s="251">
        <v>0</v>
      </c>
      <c r="BF37" s="252"/>
      <c r="BG37" s="1483"/>
      <c r="BH37" s="1484"/>
      <c r="BI37" s="1484"/>
      <c r="BJ37" s="1484"/>
      <c r="BK37" s="1484"/>
      <c r="BL37" s="1485"/>
    </row>
    <row r="38" spans="1:64" s="16" customFormat="1" ht="12" customHeight="1" x14ac:dyDescent="0.25">
      <c r="A38" s="17" t="s">
        <v>150</v>
      </c>
      <c r="B38" s="1492"/>
      <c r="C38" s="24">
        <f>C25</f>
        <v>0</v>
      </c>
      <c r="D38" s="1517"/>
      <c r="E38" s="1188"/>
      <c r="F38" s="1188"/>
      <c r="G38" s="1188"/>
      <c r="H38" s="1188"/>
      <c r="I38" s="1188"/>
      <c r="J38" s="1188"/>
      <c r="K38" s="1188"/>
      <c r="L38" s="1188"/>
      <c r="M38" s="1188"/>
      <c r="N38" s="1188"/>
      <c r="O38" s="1188"/>
      <c r="P38" s="1188"/>
      <c r="Q38" s="1188"/>
      <c r="R38" s="1188"/>
      <c r="S38" s="1188"/>
      <c r="T38" s="1188"/>
      <c r="U38" s="1188"/>
      <c r="V38" s="1188"/>
      <c r="W38" s="1188"/>
      <c r="X38" s="1188"/>
      <c r="Y38" s="1188"/>
      <c r="Z38" s="1188"/>
      <c r="AA38" s="1188"/>
      <c r="AB38" s="1188"/>
      <c r="AC38" s="1188"/>
      <c r="AD38" s="1188"/>
      <c r="AE38" s="1188"/>
      <c r="AF38" s="1188"/>
      <c r="AG38" s="1188"/>
      <c r="AH38" s="1188"/>
      <c r="AI38" s="1188"/>
      <c r="AJ38" s="1188"/>
      <c r="AK38" s="1188"/>
      <c r="AL38" s="1188"/>
      <c r="AM38" s="1188"/>
      <c r="AN38" s="1188"/>
      <c r="AO38" s="1188"/>
      <c r="AP38" s="1188"/>
      <c r="AQ38" s="1188"/>
      <c r="AR38" s="1188"/>
      <c r="AS38" s="1188"/>
      <c r="AT38" s="1188"/>
      <c r="AU38" s="1188"/>
      <c r="AV38" s="1188"/>
      <c r="AW38" s="1349"/>
      <c r="AX38" s="1538"/>
      <c r="BB38" s="1350" t="s">
        <v>1129</v>
      </c>
      <c r="BC38" s="1350"/>
      <c r="BD38" s="527" t="s">
        <v>10082</v>
      </c>
      <c r="BE38" s="641">
        <v>8.8800000000000008</v>
      </c>
      <c r="BF38" s="528">
        <v>30</v>
      </c>
      <c r="BG38" s="505" t="s">
        <v>3327</v>
      </c>
      <c r="BH38" s="212"/>
      <c r="BJ38" s="212"/>
      <c r="BK38" s="516">
        <v>37.770000000000003</v>
      </c>
      <c r="BL38" s="505" t="s">
        <v>2466</v>
      </c>
    </row>
    <row r="39" spans="1:64" s="16" customFormat="1" ht="12" customHeight="1" x14ac:dyDescent="0.25">
      <c r="A39" s="17" t="s">
        <v>151</v>
      </c>
      <c r="B39" s="1492"/>
      <c r="C39" s="24">
        <f>C26</f>
        <v>0</v>
      </c>
      <c r="D39" s="1517"/>
      <c r="E39" s="1350"/>
      <c r="F39" s="1350"/>
      <c r="G39" s="1350"/>
      <c r="H39" s="1350"/>
      <c r="I39" s="1350"/>
      <c r="J39" s="1350"/>
      <c r="K39" s="1350"/>
      <c r="L39" s="1350"/>
      <c r="M39" s="1350"/>
      <c r="N39" s="1350"/>
      <c r="O39" s="1350"/>
      <c r="P39" s="1350"/>
      <c r="Q39" s="1350"/>
      <c r="R39" s="1350"/>
      <c r="S39" s="1350"/>
      <c r="T39" s="1350"/>
      <c r="U39" s="1350"/>
      <c r="V39" s="1350"/>
      <c r="W39" s="1350"/>
      <c r="X39" s="1350"/>
      <c r="Y39" s="1350"/>
      <c r="Z39" s="1350"/>
      <c r="AA39" s="1350"/>
      <c r="AB39" s="1350"/>
      <c r="AC39" s="1350"/>
      <c r="AD39" s="1350"/>
      <c r="AE39" s="1350"/>
      <c r="AF39" s="1350"/>
      <c r="AG39" s="1350"/>
      <c r="AH39" s="1350"/>
      <c r="AI39" s="1350"/>
      <c r="AJ39" s="1350"/>
      <c r="AK39" s="1350"/>
      <c r="AL39" s="1350"/>
      <c r="AM39" s="1350"/>
      <c r="AN39" s="1350"/>
      <c r="AO39" s="1350"/>
      <c r="AP39" s="1350"/>
      <c r="AQ39" s="1350"/>
      <c r="AR39" s="1350"/>
      <c r="AS39" s="1350"/>
      <c r="AT39" s="1350"/>
      <c r="AU39" s="1350"/>
      <c r="AV39" s="1350"/>
      <c r="AW39" s="1351"/>
      <c r="AX39" s="1538"/>
      <c r="BB39" s="1350" t="s">
        <v>1129</v>
      </c>
      <c r="BC39" s="1350"/>
      <c r="BD39" s="527" t="s">
        <v>10083</v>
      </c>
      <c r="BE39" s="641">
        <v>12.29</v>
      </c>
      <c r="BF39" s="528">
        <v>20</v>
      </c>
      <c r="BG39" s="505" t="s">
        <v>3329</v>
      </c>
      <c r="BH39" s="212"/>
      <c r="BJ39" s="212"/>
      <c r="BK39" s="516">
        <v>56.92</v>
      </c>
      <c r="BL39" s="505" t="s">
        <v>2466</v>
      </c>
    </row>
    <row r="40" spans="1:64" s="16" customFormat="1" ht="12" customHeight="1" x14ac:dyDescent="0.2">
      <c r="A40" s="17" t="s">
        <v>152</v>
      </c>
      <c r="B40" s="1492"/>
      <c r="C40" s="24">
        <f>SUM(C39/1.75)</f>
        <v>0</v>
      </c>
      <c r="D40" s="1517"/>
      <c r="E40" s="1350"/>
      <c r="F40" s="1350"/>
      <c r="G40" s="1350"/>
      <c r="H40" s="1350"/>
      <c r="I40" s="1350"/>
      <c r="J40" s="1350"/>
      <c r="K40" s="1350"/>
      <c r="L40" s="1350"/>
      <c r="M40" s="1350"/>
      <c r="N40" s="1350"/>
      <c r="O40" s="1350"/>
      <c r="P40" s="1350"/>
      <c r="Q40" s="1350"/>
      <c r="R40" s="1350"/>
      <c r="S40" s="1350"/>
      <c r="T40" s="1350"/>
      <c r="U40" s="1350"/>
      <c r="V40" s="1350"/>
      <c r="W40" s="1350"/>
      <c r="X40" s="1350"/>
      <c r="Y40" s="1350"/>
      <c r="Z40" s="1350"/>
      <c r="AA40" s="1350"/>
      <c r="AB40" s="1350"/>
      <c r="AC40" s="1350"/>
      <c r="AD40" s="1350"/>
      <c r="AE40" s="1350"/>
      <c r="AF40" s="1350"/>
      <c r="AG40" s="1350"/>
      <c r="AH40" s="1350"/>
      <c r="AI40" s="1350"/>
      <c r="AJ40" s="1350"/>
      <c r="AK40" s="1350"/>
      <c r="AL40" s="1350"/>
      <c r="AM40" s="1350"/>
      <c r="AN40" s="1350"/>
      <c r="AO40" s="1350"/>
      <c r="AP40" s="1350"/>
      <c r="AQ40" s="1350"/>
      <c r="AR40" s="1350"/>
      <c r="AS40" s="1350"/>
      <c r="AT40" s="1350"/>
      <c r="AU40" s="1350"/>
      <c r="AV40" s="1350"/>
      <c r="AW40" s="1351"/>
      <c r="AX40" s="1538"/>
      <c r="BB40" s="1350" t="s">
        <v>1129</v>
      </c>
      <c r="BC40" s="1350"/>
      <c r="BD40" s="527" t="s">
        <v>10081</v>
      </c>
      <c r="BE40" s="641">
        <v>14.27</v>
      </c>
      <c r="BF40" s="528">
        <v>20</v>
      </c>
      <c r="BG40" s="35"/>
      <c r="BH40" s="212"/>
      <c r="BJ40" s="212"/>
      <c r="BL40" s="249"/>
    </row>
    <row r="41" spans="1:64" s="16" customFormat="1" ht="12" customHeight="1" x14ac:dyDescent="0.2">
      <c r="A41" s="17" t="s">
        <v>153</v>
      </c>
      <c r="B41" s="1492"/>
      <c r="C41" s="21">
        <f>SUM(E46:AW51)*AW2*2</f>
        <v>0</v>
      </c>
      <c r="D41" s="1517"/>
      <c r="E41" s="1350"/>
      <c r="F41" s="1350"/>
      <c r="G41" s="1350"/>
      <c r="H41" s="1350"/>
      <c r="I41" s="1350"/>
      <c r="J41" s="1350"/>
      <c r="K41" s="1350"/>
      <c r="L41" s="1350"/>
      <c r="M41" s="1350"/>
      <c r="N41" s="1350"/>
      <c r="O41" s="1350"/>
      <c r="P41" s="1350"/>
      <c r="Q41" s="1350"/>
      <c r="R41" s="1350"/>
      <c r="S41" s="1350"/>
      <c r="T41" s="1350"/>
      <c r="U41" s="1350"/>
      <c r="V41" s="1350"/>
      <c r="W41" s="1350"/>
      <c r="X41" s="1350"/>
      <c r="Y41" s="1350"/>
      <c r="Z41" s="1350"/>
      <c r="AA41" s="1350"/>
      <c r="AB41" s="1350"/>
      <c r="AC41" s="1350"/>
      <c r="AD41" s="1350"/>
      <c r="AE41" s="1350"/>
      <c r="AF41" s="1350"/>
      <c r="AG41" s="1350"/>
      <c r="AH41" s="1350"/>
      <c r="AI41" s="1350"/>
      <c r="AJ41" s="1350"/>
      <c r="AK41" s="1350"/>
      <c r="AL41" s="1350"/>
      <c r="AM41" s="1350"/>
      <c r="AN41" s="1350"/>
      <c r="AO41" s="1350"/>
      <c r="AP41" s="1350"/>
      <c r="AQ41" s="1350"/>
      <c r="AR41" s="1350"/>
      <c r="AS41" s="1350"/>
      <c r="AT41" s="1350"/>
      <c r="AU41" s="1350"/>
      <c r="AV41" s="1350"/>
      <c r="AW41" s="1351"/>
      <c r="AX41" s="1538"/>
      <c r="BB41" s="1350" t="s">
        <v>1129</v>
      </c>
      <c r="BC41" s="1350"/>
      <c r="BD41" s="35" t="s">
        <v>1131</v>
      </c>
      <c r="BE41" s="212">
        <v>32.54</v>
      </c>
      <c r="BF41" s="215">
        <v>20</v>
      </c>
      <c r="BG41" s="35"/>
      <c r="BH41" s="212"/>
      <c r="BJ41" s="212"/>
      <c r="BL41" s="249"/>
    </row>
    <row r="42" spans="1:64" s="16" customFormat="1" ht="12" customHeight="1" x14ac:dyDescent="0.2">
      <c r="A42" s="17" t="s">
        <v>154</v>
      </c>
      <c r="B42" s="1492"/>
      <c r="C42" s="21">
        <f>SUM(E42:AW42)*AW2</f>
        <v>0</v>
      </c>
      <c r="D42" s="1517"/>
      <c r="E42" s="239"/>
      <c r="F42" s="239"/>
      <c r="G42" s="239"/>
      <c r="H42" s="239"/>
      <c r="I42" s="239"/>
      <c r="J42" s="239"/>
      <c r="K42" s="239"/>
      <c r="L42" s="239"/>
      <c r="M42" s="239"/>
      <c r="N42" s="239"/>
      <c r="O42" s="239"/>
      <c r="P42" s="239"/>
      <c r="Q42" s="239"/>
      <c r="R42" s="239"/>
      <c r="S42" s="239"/>
      <c r="T42" s="239"/>
      <c r="U42" s="239"/>
      <c r="V42" s="239"/>
      <c r="W42" s="239"/>
      <c r="X42" s="239"/>
      <c r="Y42" s="239"/>
      <c r="Z42" s="239"/>
      <c r="AA42" s="239"/>
      <c r="AB42" s="239"/>
      <c r="AC42" s="239"/>
      <c r="AD42" s="239"/>
      <c r="AE42" s="239"/>
      <c r="AF42" s="239"/>
      <c r="AG42" s="239"/>
      <c r="AH42" s="239"/>
      <c r="AI42" s="239"/>
      <c r="AJ42" s="239"/>
      <c r="AK42" s="239"/>
      <c r="AL42" s="239"/>
      <c r="AM42" s="239"/>
      <c r="AN42" s="239"/>
      <c r="AO42" s="239"/>
      <c r="AP42" s="239"/>
      <c r="AQ42" s="239"/>
      <c r="AR42" s="239"/>
      <c r="AS42" s="239"/>
      <c r="AT42" s="239"/>
      <c r="AU42" s="239"/>
      <c r="AV42" s="239"/>
      <c r="AW42" s="239"/>
      <c r="AX42" s="1538"/>
      <c r="BB42" s="1350"/>
      <c r="BC42" s="1350"/>
      <c r="BD42" s="1530" t="s">
        <v>1130</v>
      </c>
      <c r="BE42" s="1531"/>
      <c r="BF42" s="1531"/>
      <c r="BG42" s="255" t="s">
        <v>1139</v>
      </c>
      <c r="BH42" s="257"/>
      <c r="BI42" s="257" t="s">
        <v>152</v>
      </c>
      <c r="BJ42" s="257"/>
      <c r="BK42" s="257" t="s">
        <v>1143</v>
      </c>
      <c r="BL42" s="258"/>
    </row>
    <row r="43" spans="1:64" s="16" customFormat="1" ht="12" customHeight="1" x14ac:dyDescent="0.25">
      <c r="A43" s="17" t="s">
        <v>155</v>
      </c>
      <c r="B43" s="1492"/>
      <c r="C43" s="24">
        <f>SUM((C41)/10+(C42)/5+C45/5)</f>
        <v>0</v>
      </c>
      <c r="D43" s="1517"/>
      <c r="E43" s="1551"/>
      <c r="F43" s="1551"/>
      <c r="G43" s="1551"/>
      <c r="H43" s="1551"/>
      <c r="I43" s="1551"/>
      <c r="J43" s="1551"/>
      <c r="K43" s="1551"/>
      <c r="L43" s="1551"/>
      <c r="M43" s="1551"/>
      <c r="N43" s="1551"/>
      <c r="O43" s="1551"/>
      <c r="P43" s="1551"/>
      <c r="Q43" s="1551"/>
      <c r="R43" s="1551"/>
      <c r="S43" s="1551"/>
      <c r="T43" s="1551"/>
      <c r="U43" s="1551"/>
      <c r="V43" s="1551"/>
      <c r="W43" s="1551"/>
      <c r="X43" s="1551"/>
      <c r="Y43" s="1551"/>
      <c r="Z43" s="1551"/>
      <c r="AA43" s="1551"/>
      <c r="AB43" s="1551"/>
      <c r="AC43" s="1551"/>
      <c r="AD43" s="1551"/>
      <c r="AE43" s="1551"/>
      <c r="AF43" s="1551"/>
      <c r="AG43" s="1551"/>
      <c r="AH43" s="1551"/>
      <c r="AI43" s="1551"/>
      <c r="AJ43" s="1551"/>
      <c r="AK43" s="1551"/>
      <c r="AL43" s="1551"/>
      <c r="AM43" s="1551"/>
      <c r="AN43" s="1551"/>
      <c r="AO43" s="1551"/>
      <c r="AP43" s="1551"/>
      <c r="AQ43" s="1551"/>
      <c r="AR43" s="1551"/>
      <c r="AS43" s="1551"/>
      <c r="AT43" s="1551"/>
      <c r="AU43" s="1551"/>
      <c r="AV43" s="1551"/>
      <c r="AW43" s="1558"/>
      <c r="AX43" s="1538"/>
      <c r="BB43" s="1350"/>
      <c r="BC43" s="1350"/>
      <c r="BD43" s="188" t="s">
        <v>742</v>
      </c>
      <c r="BE43" s="212">
        <v>2.25</v>
      </c>
      <c r="BF43" s="217"/>
      <c r="BG43" s="527" t="s">
        <v>1140</v>
      </c>
      <c r="BH43" s="641">
        <v>0.63</v>
      </c>
      <c r="BI43" s="16" t="s">
        <v>1141</v>
      </c>
      <c r="BJ43" s="212">
        <v>0.41</v>
      </c>
      <c r="BK43" s="16" t="s">
        <v>1164</v>
      </c>
      <c r="BL43" s="249">
        <v>21.4</v>
      </c>
    </row>
    <row r="44" spans="1:64" s="16" customFormat="1" ht="12" customHeight="1" x14ac:dyDescent="0.25">
      <c r="A44" s="17" t="s">
        <v>156</v>
      </c>
      <c r="B44" s="1492"/>
      <c r="C44" s="24">
        <f>SUM(C39)/100</f>
        <v>0</v>
      </c>
      <c r="D44" s="1517"/>
      <c r="E44" s="1517"/>
      <c r="F44" s="1517"/>
      <c r="G44" s="1517"/>
      <c r="H44" s="1517"/>
      <c r="I44" s="1517"/>
      <c r="J44" s="1517"/>
      <c r="K44" s="1517"/>
      <c r="L44" s="1517"/>
      <c r="M44" s="1517"/>
      <c r="N44" s="1517"/>
      <c r="O44" s="1517"/>
      <c r="P44" s="1517"/>
      <c r="Q44" s="1517"/>
      <c r="R44" s="1517"/>
      <c r="S44" s="1517"/>
      <c r="T44" s="1517"/>
      <c r="U44" s="1517"/>
      <c r="V44" s="1517"/>
      <c r="W44" s="1517"/>
      <c r="X44" s="1517"/>
      <c r="Y44" s="1517"/>
      <c r="Z44" s="1517"/>
      <c r="AA44" s="1517"/>
      <c r="AB44" s="1517"/>
      <c r="AC44" s="1517"/>
      <c r="AD44" s="1517"/>
      <c r="AE44" s="1517"/>
      <c r="AF44" s="1517"/>
      <c r="AG44" s="1517"/>
      <c r="AH44" s="1517"/>
      <c r="AI44" s="1517"/>
      <c r="AJ44" s="1517"/>
      <c r="AK44" s="1517"/>
      <c r="AL44" s="1517"/>
      <c r="AM44" s="1517"/>
      <c r="AN44" s="1517"/>
      <c r="AO44" s="1517"/>
      <c r="AP44" s="1517"/>
      <c r="AQ44" s="1517"/>
      <c r="AR44" s="1517"/>
      <c r="AS44" s="1517"/>
      <c r="AT44" s="1517"/>
      <c r="AU44" s="1517"/>
      <c r="AV44" s="1517"/>
      <c r="AW44" s="1518"/>
      <c r="AX44" s="1538"/>
      <c r="BB44" s="1350"/>
      <c r="BC44" s="1350"/>
      <c r="BD44" s="188" t="s">
        <v>743</v>
      </c>
      <c r="BE44" s="212">
        <v>2.5</v>
      </c>
      <c r="BF44" s="217"/>
      <c r="BG44" s="35" t="s">
        <v>1145</v>
      </c>
      <c r="BH44" s="212">
        <v>3.52</v>
      </c>
      <c r="BI44" s="16" t="s">
        <v>1146</v>
      </c>
      <c r="BJ44" s="212">
        <v>0.77</v>
      </c>
      <c r="BK44" s="16" t="s">
        <v>1165</v>
      </c>
      <c r="BL44" s="249">
        <v>23.3</v>
      </c>
    </row>
    <row r="45" spans="1:64" s="16" customFormat="1" ht="12" customHeight="1" x14ac:dyDescent="0.25">
      <c r="A45" s="17" t="s">
        <v>157</v>
      </c>
      <c r="B45" s="1492"/>
      <c r="C45" s="24">
        <f>SUM(E46:AW51)</f>
        <v>0</v>
      </c>
      <c r="D45" s="1517"/>
      <c r="E45" s="1519"/>
      <c r="F45" s="1519"/>
      <c r="G45" s="1519"/>
      <c r="H45" s="1519"/>
      <c r="I45" s="1519"/>
      <c r="J45" s="1519"/>
      <c r="K45" s="1519"/>
      <c r="L45" s="1519"/>
      <c r="M45" s="1519"/>
      <c r="N45" s="1519"/>
      <c r="O45" s="1519"/>
      <c r="P45" s="1519"/>
      <c r="Q45" s="1519"/>
      <c r="R45" s="1519"/>
      <c r="S45" s="1519"/>
      <c r="T45" s="1519"/>
      <c r="U45" s="1519"/>
      <c r="V45" s="1519"/>
      <c r="W45" s="1519"/>
      <c r="X45" s="1519"/>
      <c r="Y45" s="1519"/>
      <c r="Z45" s="1519"/>
      <c r="AA45" s="1519"/>
      <c r="AB45" s="1519"/>
      <c r="AC45" s="1519"/>
      <c r="AD45" s="1519"/>
      <c r="AE45" s="1519"/>
      <c r="AF45" s="1519"/>
      <c r="AG45" s="1519"/>
      <c r="AH45" s="1519"/>
      <c r="AI45" s="1519"/>
      <c r="AJ45" s="1519"/>
      <c r="AK45" s="1519"/>
      <c r="AL45" s="1519"/>
      <c r="AM45" s="1519"/>
      <c r="AN45" s="1519"/>
      <c r="AO45" s="1519"/>
      <c r="AP45" s="1519"/>
      <c r="AQ45" s="1519"/>
      <c r="AR45" s="1519"/>
      <c r="AS45" s="1519"/>
      <c r="AT45" s="1519"/>
      <c r="AU45" s="1519"/>
      <c r="AV45" s="1519"/>
      <c r="AW45" s="1520"/>
      <c r="AX45" s="1538"/>
      <c r="BB45" s="1350"/>
      <c r="BC45" s="1350"/>
      <c r="BD45" s="188" t="s">
        <v>1132</v>
      </c>
      <c r="BE45" s="212">
        <v>0</v>
      </c>
      <c r="BF45" s="217"/>
      <c r="BG45" s="35" t="s">
        <v>1162</v>
      </c>
      <c r="BI45" s="16" t="s">
        <v>1163</v>
      </c>
      <c r="BK45" s="16" t="s">
        <v>1143</v>
      </c>
      <c r="BL45" s="129"/>
    </row>
    <row r="46" spans="1:64" s="16" customFormat="1" ht="12" customHeight="1" x14ac:dyDescent="0.2">
      <c r="A46" s="17" t="s">
        <v>158</v>
      </c>
      <c r="B46" s="1492"/>
      <c r="C46" s="24" cm="1">
        <f t="array" ref="C46">SUM((E46:AW46)*D46)</f>
        <v>0</v>
      </c>
      <c r="D46" s="232">
        <v>2</v>
      </c>
      <c r="E46" s="187"/>
      <c r="F46" s="187"/>
      <c r="G46" s="187"/>
      <c r="H46" s="187"/>
      <c r="I46" s="187"/>
      <c r="J46" s="187"/>
      <c r="K46" s="187"/>
      <c r="L46" s="187"/>
      <c r="M46" s="187"/>
      <c r="N46" s="187"/>
      <c r="O46" s="187"/>
      <c r="P46" s="187"/>
      <c r="Q46" s="187"/>
      <c r="R46" s="187"/>
      <c r="S46" s="187"/>
      <c r="T46" s="187"/>
      <c r="U46" s="187"/>
      <c r="V46" s="187"/>
      <c r="W46" s="187"/>
      <c r="X46" s="187"/>
      <c r="Y46" s="187"/>
      <c r="Z46" s="187"/>
      <c r="AA46" s="187"/>
      <c r="AB46" s="187"/>
      <c r="AC46" s="187"/>
      <c r="AD46" s="187"/>
      <c r="AE46" s="187"/>
      <c r="AF46" s="187"/>
      <c r="AG46" s="187"/>
      <c r="AH46" s="187"/>
      <c r="AI46" s="187"/>
      <c r="AJ46" s="187"/>
      <c r="AK46" s="187"/>
      <c r="AL46" s="187"/>
      <c r="AM46" s="187"/>
      <c r="AN46" s="187"/>
      <c r="AO46" s="187"/>
      <c r="AP46" s="187"/>
      <c r="AQ46" s="187"/>
      <c r="AR46" s="187"/>
      <c r="AS46" s="187"/>
      <c r="AT46" s="187"/>
      <c r="AU46" s="187"/>
      <c r="AV46" s="187"/>
      <c r="AW46" s="187"/>
      <c r="AX46" s="1538"/>
      <c r="BB46" s="1350"/>
      <c r="BC46" s="1350"/>
      <c r="BD46" s="1530" t="s">
        <v>1133</v>
      </c>
      <c r="BE46" s="1531"/>
      <c r="BF46" s="1531"/>
      <c r="BG46" s="255" t="s">
        <v>1152</v>
      </c>
      <c r="BH46" s="257"/>
      <c r="BI46" s="257" t="s">
        <v>1161</v>
      </c>
      <c r="BJ46" s="257"/>
      <c r="BK46" s="257" t="s">
        <v>1142</v>
      </c>
      <c r="BL46" s="258"/>
    </row>
    <row r="47" spans="1:64" s="16" customFormat="1" ht="12" customHeight="1" x14ac:dyDescent="0.2">
      <c r="A47" s="17" t="s">
        <v>159</v>
      </c>
      <c r="B47" s="1492"/>
      <c r="C47" s="24" cm="1">
        <f t="array" ref="C47">SUM((E47:AW47)*D47)</f>
        <v>0</v>
      </c>
      <c r="D47" s="232">
        <v>3</v>
      </c>
      <c r="E47" s="645"/>
      <c r="F47" s="645"/>
      <c r="G47" s="645"/>
      <c r="H47" s="645"/>
      <c r="I47" s="645"/>
      <c r="J47" s="645"/>
      <c r="K47" s="645"/>
      <c r="L47" s="645"/>
      <c r="M47" s="645"/>
      <c r="N47" s="645"/>
      <c r="O47" s="645"/>
      <c r="P47" s="645"/>
      <c r="Q47" s="645"/>
      <c r="R47" s="645"/>
      <c r="S47" s="645"/>
      <c r="T47" s="645"/>
      <c r="U47" s="645"/>
      <c r="V47" s="645"/>
      <c r="W47" s="645"/>
      <c r="X47" s="645"/>
      <c r="Y47" s="645"/>
      <c r="Z47" s="645"/>
      <c r="AA47" s="645"/>
      <c r="AB47" s="645"/>
      <c r="AC47" s="645"/>
      <c r="AD47" s="645"/>
      <c r="AE47" s="645"/>
      <c r="AF47" s="645"/>
      <c r="AG47" s="645"/>
      <c r="AH47" s="645"/>
      <c r="AI47" s="645"/>
      <c r="AJ47" s="645"/>
      <c r="AK47" s="645"/>
      <c r="AL47" s="645"/>
      <c r="AM47" s="645"/>
      <c r="AN47" s="645"/>
      <c r="AO47" s="645"/>
      <c r="AP47" s="645"/>
      <c r="AQ47" s="645"/>
      <c r="AR47" s="645"/>
      <c r="AS47" s="645"/>
      <c r="AT47" s="645"/>
      <c r="AU47" s="645"/>
      <c r="AV47" s="645"/>
      <c r="AW47" s="645"/>
      <c r="AX47" s="1538"/>
      <c r="BB47" s="1350" t="s">
        <v>1129</v>
      </c>
      <c r="BC47" s="1350"/>
      <c r="BD47" s="527" t="s">
        <v>1137</v>
      </c>
      <c r="BE47" s="641">
        <v>11.1</v>
      </c>
      <c r="BF47" s="528">
        <v>12</v>
      </c>
      <c r="BG47" s="529" t="s">
        <v>1138</v>
      </c>
      <c r="BH47" s="640">
        <v>1.34</v>
      </c>
      <c r="BI47" s="245" t="s">
        <v>1174</v>
      </c>
      <c r="BJ47" s="244">
        <v>0.42</v>
      </c>
      <c r="BK47" s="245" t="s">
        <v>1167</v>
      </c>
      <c r="BL47" s="246">
        <v>2.0699999999999998</v>
      </c>
    </row>
    <row r="48" spans="1:64" s="16" customFormat="1" ht="12" customHeight="1" x14ac:dyDescent="0.2">
      <c r="A48" s="17" t="s">
        <v>160</v>
      </c>
      <c r="B48" s="1492"/>
      <c r="C48" s="24" cm="1">
        <f t="array" ref="C48">SUM((E48:AW48)*D48)</f>
        <v>0</v>
      </c>
      <c r="D48" s="232">
        <v>4</v>
      </c>
      <c r="E48" s="646"/>
      <c r="F48" s="646"/>
      <c r="G48" s="646"/>
      <c r="H48" s="646"/>
      <c r="I48" s="646"/>
      <c r="J48" s="646"/>
      <c r="K48" s="646"/>
      <c r="L48" s="646"/>
      <c r="M48" s="646"/>
      <c r="N48" s="646"/>
      <c r="O48" s="646"/>
      <c r="P48" s="646"/>
      <c r="Q48" s="646"/>
      <c r="R48" s="646"/>
      <c r="S48" s="646"/>
      <c r="T48" s="646"/>
      <c r="U48" s="646"/>
      <c r="V48" s="646"/>
      <c r="W48" s="646"/>
      <c r="X48" s="646"/>
      <c r="Y48" s="646"/>
      <c r="Z48" s="646"/>
      <c r="AA48" s="646"/>
      <c r="AB48" s="646"/>
      <c r="AC48" s="646"/>
      <c r="AD48" s="646"/>
      <c r="AE48" s="646"/>
      <c r="AF48" s="646"/>
      <c r="AG48" s="646"/>
      <c r="AH48" s="646"/>
      <c r="AI48" s="646"/>
      <c r="AJ48" s="646"/>
      <c r="AK48" s="646"/>
      <c r="AL48" s="646"/>
      <c r="AM48" s="646"/>
      <c r="AN48" s="646"/>
      <c r="AO48" s="646"/>
      <c r="AP48" s="646"/>
      <c r="AQ48" s="646"/>
      <c r="AR48" s="646"/>
      <c r="AS48" s="646"/>
      <c r="AT48" s="646"/>
      <c r="AU48" s="646"/>
      <c r="AV48" s="646"/>
      <c r="AW48" s="646"/>
      <c r="AX48" s="1538"/>
      <c r="BB48" s="1350" t="s">
        <v>1144</v>
      </c>
      <c r="BC48" s="1350"/>
      <c r="BD48" s="35" t="s">
        <v>1148</v>
      </c>
      <c r="BE48" s="212">
        <v>15.72</v>
      </c>
      <c r="BF48" s="215">
        <v>10</v>
      </c>
      <c r="BG48" s="35" t="s">
        <v>1147</v>
      </c>
      <c r="BH48" s="212">
        <v>2.27</v>
      </c>
      <c r="BI48" s="16" t="s">
        <v>1172</v>
      </c>
      <c r="BJ48" s="212">
        <v>1.33</v>
      </c>
      <c r="BK48" s="16" t="s">
        <v>1168</v>
      </c>
      <c r="BL48" s="249">
        <v>2.5499999999999998</v>
      </c>
    </row>
    <row r="49" spans="1:67" s="16" customFormat="1" ht="12" customHeight="1" x14ac:dyDescent="0.2">
      <c r="A49" s="17" t="s">
        <v>161</v>
      </c>
      <c r="B49" s="1492"/>
      <c r="C49" s="24" cm="1">
        <f t="array" ref="C49">SUM((E49:AW49)*D49)</f>
        <v>0</v>
      </c>
      <c r="D49" s="232">
        <v>5</v>
      </c>
      <c r="E49" s="187"/>
      <c r="F49" s="187"/>
      <c r="G49" s="187"/>
      <c r="H49" s="187"/>
      <c r="I49" s="187"/>
      <c r="J49" s="187"/>
      <c r="K49" s="187"/>
      <c r="L49" s="187"/>
      <c r="M49" s="187"/>
      <c r="N49" s="187"/>
      <c r="O49" s="187"/>
      <c r="P49" s="187"/>
      <c r="Q49" s="187"/>
      <c r="R49" s="187"/>
      <c r="S49" s="187"/>
      <c r="T49" s="187"/>
      <c r="U49" s="187"/>
      <c r="V49" s="187"/>
      <c r="W49" s="187"/>
      <c r="X49" s="187"/>
      <c r="Y49" s="187"/>
      <c r="Z49" s="187"/>
      <c r="AA49" s="187"/>
      <c r="AB49" s="187"/>
      <c r="AC49" s="187"/>
      <c r="AD49" s="187"/>
      <c r="AE49" s="187"/>
      <c r="AF49" s="187"/>
      <c r="AG49" s="187"/>
      <c r="AH49" s="187"/>
      <c r="AI49" s="187"/>
      <c r="AJ49" s="187"/>
      <c r="AK49" s="187"/>
      <c r="AL49" s="187"/>
      <c r="AM49" s="187"/>
      <c r="AN49" s="187"/>
      <c r="AO49" s="187"/>
      <c r="AP49" s="187"/>
      <c r="AQ49" s="187"/>
      <c r="AR49" s="187"/>
      <c r="AS49" s="187"/>
      <c r="AT49" s="187"/>
      <c r="AU49" s="187"/>
      <c r="AV49" s="187"/>
      <c r="AW49" s="187"/>
      <c r="AX49" s="1538"/>
      <c r="BB49" s="1350" t="s">
        <v>1144</v>
      </c>
      <c r="BC49" s="1350"/>
      <c r="BD49" s="35" t="s">
        <v>1149</v>
      </c>
      <c r="BE49" s="212">
        <v>36.36</v>
      </c>
      <c r="BF49" s="215">
        <v>6</v>
      </c>
      <c r="BG49" s="35" t="s">
        <v>1150</v>
      </c>
      <c r="BH49" s="212">
        <v>9.1999999999999993</v>
      </c>
      <c r="BI49" s="16" t="s">
        <v>1173</v>
      </c>
      <c r="BJ49" s="212">
        <v>1.33</v>
      </c>
      <c r="BK49" s="16" t="s">
        <v>1169</v>
      </c>
      <c r="BL49" s="249">
        <v>2.88</v>
      </c>
    </row>
    <row r="50" spans="1:67" s="16" customFormat="1" ht="12" customHeight="1" x14ac:dyDescent="0.2">
      <c r="A50" s="17" t="s">
        <v>162</v>
      </c>
      <c r="B50" s="1492"/>
      <c r="C50" s="24" cm="1">
        <f t="array" ref="C50">SUM((E50:AW50)*D50)</f>
        <v>0</v>
      </c>
      <c r="D50" s="232">
        <v>6</v>
      </c>
      <c r="E50" s="645"/>
      <c r="F50" s="645"/>
      <c r="G50" s="645"/>
      <c r="H50" s="645"/>
      <c r="I50" s="645"/>
      <c r="J50" s="645"/>
      <c r="K50" s="645"/>
      <c r="L50" s="645"/>
      <c r="M50" s="645"/>
      <c r="N50" s="645"/>
      <c r="O50" s="645"/>
      <c r="P50" s="645"/>
      <c r="Q50" s="645"/>
      <c r="R50" s="645"/>
      <c r="S50" s="645"/>
      <c r="T50" s="645"/>
      <c r="U50" s="645"/>
      <c r="V50" s="645"/>
      <c r="W50" s="645"/>
      <c r="X50" s="645"/>
      <c r="Y50" s="645"/>
      <c r="Z50" s="645"/>
      <c r="AA50" s="645"/>
      <c r="AB50" s="645"/>
      <c r="AC50" s="645"/>
      <c r="AD50" s="645"/>
      <c r="AE50" s="645"/>
      <c r="AF50" s="645"/>
      <c r="AG50" s="645"/>
      <c r="AH50" s="645"/>
      <c r="AI50" s="645"/>
      <c r="AJ50" s="645"/>
      <c r="AK50" s="645"/>
      <c r="AL50" s="645"/>
      <c r="AM50" s="645"/>
      <c r="AN50" s="645"/>
      <c r="AO50" s="645"/>
      <c r="AP50" s="645"/>
      <c r="AQ50" s="645"/>
      <c r="AR50" s="645"/>
      <c r="AS50" s="645"/>
      <c r="AT50" s="645"/>
      <c r="AU50" s="645"/>
      <c r="AV50" s="645"/>
      <c r="AW50" s="645"/>
      <c r="AX50" s="1538"/>
      <c r="BB50" s="1350" t="s">
        <v>1144</v>
      </c>
      <c r="BC50" s="1350"/>
      <c r="BD50" s="35" t="s">
        <v>1153</v>
      </c>
      <c r="BE50" s="212">
        <v>42.98</v>
      </c>
      <c r="BF50" s="215">
        <v>6</v>
      </c>
      <c r="BG50" s="35" t="s">
        <v>1150</v>
      </c>
      <c r="BH50" s="212">
        <v>9.92</v>
      </c>
      <c r="BI50" s="16" t="s">
        <v>1173</v>
      </c>
      <c r="BJ50" s="212">
        <v>1.33</v>
      </c>
      <c r="BK50" s="16" t="s">
        <v>1169</v>
      </c>
      <c r="BL50" s="249">
        <v>2.88</v>
      </c>
    </row>
    <row r="51" spans="1:67" s="16" customFormat="1" ht="12" customHeight="1" x14ac:dyDescent="0.2">
      <c r="A51" s="17" t="s">
        <v>163</v>
      </c>
      <c r="B51" s="1492"/>
      <c r="C51" s="24" cm="1">
        <f t="array" ref="C51">SUM((E51:AW51)*D51)</f>
        <v>0</v>
      </c>
      <c r="D51" s="232">
        <v>7</v>
      </c>
      <c r="E51" s="187"/>
      <c r="F51" s="187"/>
      <c r="G51" s="187"/>
      <c r="H51" s="187"/>
      <c r="I51" s="187"/>
      <c r="J51" s="187"/>
      <c r="K51" s="187"/>
      <c r="L51" s="187"/>
      <c r="M51" s="187"/>
      <c r="N51" s="187"/>
      <c r="O51" s="187"/>
      <c r="P51" s="187"/>
      <c r="Q51" s="187"/>
      <c r="R51" s="187"/>
      <c r="S51" s="187"/>
      <c r="T51" s="187"/>
      <c r="U51" s="187"/>
      <c r="V51" s="187"/>
      <c r="W51" s="187"/>
      <c r="X51" s="187"/>
      <c r="Y51" s="187"/>
      <c r="Z51" s="187"/>
      <c r="AA51" s="187"/>
      <c r="AB51" s="187"/>
      <c r="AC51" s="187"/>
      <c r="AD51" s="187"/>
      <c r="AE51" s="187"/>
      <c r="AF51" s="187"/>
      <c r="AG51" s="187"/>
      <c r="AH51" s="187"/>
      <c r="AI51" s="187"/>
      <c r="AJ51" s="187"/>
      <c r="AK51" s="187"/>
      <c r="AL51" s="187"/>
      <c r="AM51" s="187"/>
      <c r="AN51" s="187"/>
      <c r="AO51" s="187"/>
      <c r="AP51" s="187"/>
      <c r="AQ51" s="187"/>
      <c r="AR51" s="187"/>
      <c r="AS51" s="187"/>
      <c r="AT51" s="187"/>
      <c r="AU51" s="187"/>
      <c r="AV51" s="187"/>
      <c r="AW51" s="187"/>
      <c r="AX51" s="1538"/>
      <c r="BB51" s="1350" t="s">
        <v>1154</v>
      </c>
      <c r="BC51" s="1350"/>
      <c r="BD51" s="35" t="s">
        <v>1156</v>
      </c>
      <c r="BE51" s="212">
        <v>65</v>
      </c>
      <c r="BF51" s="215" t="s">
        <v>1155</v>
      </c>
      <c r="BG51" s="35" t="s">
        <v>1157</v>
      </c>
      <c r="BH51" s="212">
        <v>21</v>
      </c>
      <c r="BI51" s="16" t="s">
        <v>1171</v>
      </c>
      <c r="BJ51" s="212">
        <v>1.95</v>
      </c>
      <c r="BK51" s="16" t="s">
        <v>1170</v>
      </c>
      <c r="BL51" s="249">
        <v>6.5</v>
      </c>
    </row>
    <row r="52" spans="1:67" s="16" customFormat="1" ht="12" customHeight="1" x14ac:dyDescent="0.2">
      <c r="A52" s="17" t="s">
        <v>166</v>
      </c>
      <c r="B52" s="1492"/>
      <c r="C52" s="24">
        <f>SUM(E46:AW51)*G52+L52</f>
        <v>0</v>
      </c>
      <c r="D52" s="1514" t="s">
        <v>1074</v>
      </c>
      <c r="E52" s="1515"/>
      <c r="F52" s="1516"/>
      <c r="G52" s="204">
        <v>3</v>
      </c>
      <c r="H52" s="207" t="s">
        <v>1079</v>
      </c>
      <c r="I52" s="101"/>
      <c r="J52" s="102"/>
      <c r="K52" s="208"/>
      <c r="L52" s="204"/>
      <c r="M52" s="1548"/>
      <c r="N52" s="1548"/>
      <c r="O52" s="1548"/>
      <c r="P52" s="1548"/>
      <c r="Q52" s="1548"/>
      <c r="R52" s="1548"/>
      <c r="S52" s="1548"/>
      <c r="T52" s="1548"/>
      <c r="U52" s="1548"/>
      <c r="V52" s="1548"/>
      <c r="W52" s="1548"/>
      <c r="X52" s="1548"/>
      <c r="Y52" s="1548"/>
      <c r="Z52" s="1548"/>
      <c r="AA52" s="1548"/>
      <c r="AB52" s="1548"/>
      <c r="AC52" s="1548"/>
      <c r="AD52" s="1548"/>
      <c r="AE52" s="1548"/>
      <c r="AF52" s="1548"/>
      <c r="AG52" s="1548"/>
      <c r="AH52" s="1548"/>
      <c r="AI52" s="1548"/>
      <c r="AJ52" s="1548"/>
      <c r="AK52" s="1548"/>
      <c r="AL52" s="1548"/>
      <c r="AM52" s="1548"/>
      <c r="AN52" s="1548"/>
      <c r="AO52" s="1548"/>
      <c r="AP52" s="1548"/>
      <c r="AQ52" s="1548"/>
      <c r="AR52" s="1548"/>
      <c r="AS52" s="1548"/>
      <c r="AT52" s="1548"/>
      <c r="AU52" s="1548"/>
      <c r="AV52" s="1548"/>
      <c r="AW52" s="1548"/>
      <c r="AX52" s="1538"/>
      <c r="BB52" s="1350"/>
      <c r="BC52" s="1350"/>
      <c r="BD52" s="35" t="s">
        <v>1151</v>
      </c>
      <c r="BF52" s="129"/>
      <c r="BG52" s="35" t="s">
        <v>1158</v>
      </c>
      <c r="BH52" s="212"/>
      <c r="BI52" s="16" t="s">
        <v>1159</v>
      </c>
      <c r="BJ52" s="212"/>
      <c r="BK52" s="16" t="s">
        <v>1160</v>
      </c>
      <c r="BL52" s="249"/>
    </row>
    <row r="53" spans="1:67" s="16" customFormat="1" ht="12" customHeight="1" x14ac:dyDescent="0.2">
      <c r="A53" s="17" t="s">
        <v>167</v>
      </c>
      <c r="B53" s="1492"/>
      <c r="C53" s="24">
        <f>SUM(((C37+C38)*(G53/12))+C54+C55)</f>
        <v>0</v>
      </c>
      <c r="D53" s="1514" t="s">
        <v>169</v>
      </c>
      <c r="E53" s="1515"/>
      <c r="F53" s="1516"/>
      <c r="G53" s="204">
        <v>24</v>
      </c>
      <c r="H53" s="1547"/>
      <c r="I53" s="1548"/>
      <c r="J53" s="1548"/>
      <c r="K53" s="1548"/>
      <c r="L53" s="1548"/>
      <c r="M53" s="1549"/>
      <c r="N53" s="1549"/>
      <c r="O53" s="1549"/>
      <c r="P53" s="1549"/>
      <c r="Q53" s="1549"/>
      <c r="R53" s="1549"/>
      <c r="S53" s="1549"/>
      <c r="T53" s="1549"/>
      <c r="U53" s="1549"/>
      <c r="V53" s="1549"/>
      <c r="W53" s="1549"/>
      <c r="X53" s="1549"/>
      <c r="Y53" s="1549"/>
      <c r="Z53" s="1549"/>
      <c r="AA53" s="1549"/>
      <c r="AB53" s="1549"/>
      <c r="AC53" s="1549"/>
      <c r="AD53" s="1549"/>
      <c r="AE53" s="1549"/>
      <c r="AF53" s="1549"/>
      <c r="AG53" s="1549"/>
      <c r="AH53" s="1549"/>
      <c r="AI53" s="1549"/>
      <c r="AJ53" s="1549"/>
      <c r="AK53" s="1549"/>
      <c r="AL53" s="1549"/>
      <c r="AM53" s="1549"/>
      <c r="AN53" s="1549"/>
      <c r="AO53" s="1549"/>
      <c r="AP53" s="1549"/>
      <c r="AQ53" s="1549"/>
      <c r="AR53" s="1549"/>
      <c r="AS53" s="1549"/>
      <c r="AT53" s="1549"/>
      <c r="AU53" s="1549"/>
      <c r="AV53" s="1549"/>
      <c r="AW53" s="1549"/>
      <c r="AX53" s="1538"/>
      <c r="BB53" s="1350"/>
      <c r="BC53" s="1350"/>
      <c r="BD53" s="35"/>
      <c r="BF53" s="129"/>
      <c r="BG53" s="35"/>
      <c r="BH53" s="212"/>
      <c r="BJ53" s="212"/>
      <c r="BL53" s="249"/>
    </row>
    <row r="54" spans="1:67" s="16" customFormat="1" ht="12" customHeight="1" x14ac:dyDescent="0.2">
      <c r="A54" s="17" t="s">
        <v>745</v>
      </c>
      <c r="B54" s="1492"/>
      <c r="C54" s="95">
        <f>SUM(I54+N54+T54+Y54+AD54+AI54+AN54+AS54)</f>
        <v>0</v>
      </c>
      <c r="D54" s="1512" t="s">
        <v>170</v>
      </c>
      <c r="E54" s="197"/>
      <c r="F54" s="198" t="s">
        <v>238</v>
      </c>
      <c r="G54" s="30"/>
      <c r="H54" s="198" t="s">
        <v>168</v>
      </c>
      <c r="I54" s="16">
        <f>SUM(E54*G54)</f>
        <v>0</v>
      </c>
      <c r="J54" s="30"/>
      <c r="K54" s="198" t="s">
        <v>238</v>
      </c>
      <c r="L54" s="30"/>
      <c r="M54" s="198" t="s">
        <v>168</v>
      </c>
      <c r="N54" s="16">
        <f>SUM(J54*L54)</f>
        <v>0</v>
      </c>
      <c r="O54" s="30"/>
      <c r="P54" s="198" t="s">
        <v>238</v>
      </c>
      <c r="Q54" s="30"/>
      <c r="R54" s="198" t="s">
        <v>168</v>
      </c>
      <c r="S54" s="16" t="e">
        <f>SUM(N54*P54)</f>
        <v>#VALUE!</v>
      </c>
      <c r="T54" s="16">
        <f>SUM(O54*Q54)</f>
        <v>0</v>
      </c>
      <c r="U54" s="30"/>
      <c r="V54" s="198" t="s">
        <v>238</v>
      </c>
      <c r="W54" s="30"/>
      <c r="X54" s="198" t="s">
        <v>168</v>
      </c>
      <c r="Y54" s="16">
        <f>SUM(U54*W54)</f>
        <v>0</v>
      </c>
      <c r="Z54" s="30"/>
      <c r="AA54" s="198" t="s">
        <v>238</v>
      </c>
      <c r="AB54" s="30"/>
      <c r="AC54" s="198" t="s">
        <v>168</v>
      </c>
      <c r="AD54" s="16">
        <f>SUM(Z54*AB54)</f>
        <v>0</v>
      </c>
      <c r="AE54" s="30"/>
      <c r="AF54" s="198" t="s">
        <v>238</v>
      </c>
      <c r="AG54" s="30"/>
      <c r="AH54" s="198" t="s">
        <v>168</v>
      </c>
      <c r="AI54" s="16">
        <f>SUM(AE54*AG54)</f>
        <v>0</v>
      </c>
      <c r="AJ54" s="30"/>
      <c r="AK54" s="198" t="s">
        <v>238</v>
      </c>
      <c r="AL54" s="30"/>
      <c r="AM54" s="198" t="s">
        <v>168</v>
      </c>
      <c r="AN54" s="16">
        <f>SUM(AJ54*AL54)</f>
        <v>0</v>
      </c>
      <c r="AO54" s="30"/>
      <c r="AP54" s="198" t="s">
        <v>238</v>
      </c>
      <c r="AQ54" s="30"/>
      <c r="AR54" s="198" t="s">
        <v>168</v>
      </c>
      <c r="AS54" s="16">
        <f>SUM(AO54*AQ54)</f>
        <v>0</v>
      </c>
      <c r="AT54" s="1517"/>
      <c r="AU54" s="1517"/>
      <c r="AV54" s="1517"/>
      <c r="AW54" s="1518"/>
      <c r="AX54" s="1538"/>
      <c r="BB54" s="1350"/>
      <c r="BC54" s="1350"/>
      <c r="BD54" s="35"/>
      <c r="BF54" s="129"/>
      <c r="BG54" s="35"/>
      <c r="BH54" s="212"/>
      <c r="BJ54" s="212"/>
      <c r="BL54" s="249"/>
    </row>
    <row r="55" spans="1:67" s="16" customFormat="1" ht="12" customHeight="1" x14ac:dyDescent="0.2">
      <c r="A55" s="17" t="s">
        <v>164</v>
      </c>
      <c r="B55" s="1493"/>
      <c r="C55" s="95">
        <f>SUM(I55+N55+T55+Y55+AD55+AI55+AN55+AS55)</f>
        <v>0</v>
      </c>
      <c r="D55" s="1513"/>
      <c r="E55" s="32"/>
      <c r="F55" s="198" t="s">
        <v>238</v>
      </c>
      <c r="G55" s="32"/>
      <c r="H55" s="198" t="s">
        <v>168</v>
      </c>
      <c r="I55" s="16">
        <f>SUM(E55+G55)</f>
        <v>0</v>
      </c>
      <c r="J55" s="32"/>
      <c r="K55" s="198" t="s">
        <v>238</v>
      </c>
      <c r="L55" s="32"/>
      <c r="M55" s="198" t="s">
        <v>168</v>
      </c>
      <c r="N55" s="16">
        <f>SUM(J55+L55)</f>
        <v>0</v>
      </c>
      <c r="O55" s="32"/>
      <c r="P55" s="198" t="s">
        <v>238</v>
      </c>
      <c r="Q55" s="32"/>
      <c r="R55" s="198" t="s">
        <v>168</v>
      </c>
      <c r="S55" s="16" t="e">
        <f>SUM(N55+P55)</f>
        <v>#VALUE!</v>
      </c>
      <c r="T55" s="16">
        <f>SUM(O55+Q55)</f>
        <v>0</v>
      </c>
      <c r="U55" s="32"/>
      <c r="V55" s="198" t="s">
        <v>238</v>
      </c>
      <c r="W55" s="32"/>
      <c r="X55" s="198" t="s">
        <v>168</v>
      </c>
      <c r="Y55" s="16">
        <f>SUM(U55+W55)</f>
        <v>0</v>
      </c>
      <c r="Z55" s="32"/>
      <c r="AA55" s="198" t="s">
        <v>238</v>
      </c>
      <c r="AB55" s="32"/>
      <c r="AC55" s="198" t="s">
        <v>168</v>
      </c>
      <c r="AD55" s="16">
        <f>SUM(Z55+AB55)</f>
        <v>0</v>
      </c>
      <c r="AE55" s="32"/>
      <c r="AF55" s="198" t="s">
        <v>238</v>
      </c>
      <c r="AG55" s="32"/>
      <c r="AH55" s="198" t="s">
        <v>168</v>
      </c>
      <c r="AI55" s="16">
        <f>SUM(AE55+AG55)</f>
        <v>0</v>
      </c>
      <c r="AJ55" s="32"/>
      <c r="AK55" s="198" t="s">
        <v>238</v>
      </c>
      <c r="AL55" s="32"/>
      <c r="AM55" s="198" t="s">
        <v>168</v>
      </c>
      <c r="AN55" s="16">
        <f>SUM(AJ55+AL55)</f>
        <v>0</v>
      </c>
      <c r="AO55" s="32"/>
      <c r="AP55" s="198" t="s">
        <v>238</v>
      </c>
      <c r="AQ55" s="32"/>
      <c r="AR55" s="198" t="s">
        <v>168</v>
      </c>
      <c r="AS55" s="16">
        <f>SUM(AO55+AQ55)</f>
        <v>0</v>
      </c>
      <c r="AT55" s="1519"/>
      <c r="AU55" s="1519"/>
      <c r="AV55" s="1519"/>
      <c r="AW55" s="1520"/>
      <c r="AX55" s="1538"/>
      <c r="BB55" s="1350"/>
      <c r="BC55" s="1350"/>
      <c r="BD55" s="35"/>
      <c r="BF55" s="129"/>
      <c r="BG55" s="247"/>
      <c r="BH55" s="248"/>
      <c r="BI55" s="248"/>
      <c r="BJ55" s="214"/>
      <c r="BK55" s="248"/>
      <c r="BL55" s="250"/>
    </row>
    <row r="56" spans="1:67" s="16" customFormat="1" ht="2.4500000000000002" customHeight="1" x14ac:dyDescent="0.2">
      <c r="A56" s="1497"/>
      <c r="B56" s="1498"/>
      <c r="C56" s="1498"/>
      <c r="D56" s="1498"/>
      <c r="E56" s="1498"/>
      <c r="F56" s="1498"/>
      <c r="G56" s="1498"/>
      <c r="H56" s="1498"/>
      <c r="I56" s="1498"/>
      <c r="J56" s="1498"/>
      <c r="K56" s="1498"/>
      <c r="L56" s="1498"/>
      <c r="M56" s="1498"/>
      <c r="N56" s="1498"/>
      <c r="O56" s="1498"/>
      <c r="P56" s="1498"/>
      <c r="Q56" s="1498"/>
      <c r="R56" s="1498"/>
      <c r="S56" s="1498"/>
      <c r="T56" s="1498"/>
      <c r="U56" s="1498"/>
      <c r="V56" s="1498"/>
      <c r="W56" s="1498"/>
      <c r="X56" s="1498"/>
      <c r="Y56" s="1498"/>
      <c r="Z56" s="1498"/>
      <c r="AA56" s="1498"/>
      <c r="AB56" s="1498"/>
      <c r="AC56" s="1498"/>
      <c r="AD56" s="1498"/>
      <c r="AE56" s="1498"/>
      <c r="AF56" s="1498"/>
      <c r="AG56" s="1498"/>
      <c r="AH56" s="1498"/>
      <c r="AI56" s="1498"/>
      <c r="AJ56" s="1498"/>
      <c r="AK56" s="1498"/>
      <c r="AL56" s="1498"/>
      <c r="AM56" s="1498"/>
      <c r="AN56" s="1498"/>
      <c r="AO56" s="1498"/>
      <c r="AP56" s="1498"/>
      <c r="AQ56" s="1498"/>
      <c r="AR56" s="1498"/>
      <c r="AS56" s="1498"/>
      <c r="AT56" s="1498"/>
      <c r="AU56" s="1498"/>
      <c r="AV56" s="1498"/>
      <c r="AW56" s="1498"/>
      <c r="AX56" s="1539"/>
      <c r="AY56" s="1456"/>
      <c r="AZ56" s="1457"/>
      <c r="BA56" s="1457"/>
      <c r="BB56" s="1457"/>
      <c r="BC56" s="1457"/>
      <c r="BD56" s="1457"/>
      <c r="BE56" s="1457"/>
      <c r="BF56" s="1457"/>
      <c r="BG56" s="1457"/>
      <c r="BH56" s="1457"/>
      <c r="BI56" s="1457"/>
      <c r="BJ56" s="1457"/>
      <c r="BK56" s="1457"/>
      <c r="BL56" s="1458"/>
    </row>
    <row r="57" spans="1:67" s="16" customFormat="1" ht="12" customHeight="1" x14ac:dyDescent="0.2">
      <c r="A57" s="240" t="s">
        <v>253</v>
      </c>
      <c r="B57" s="1554"/>
      <c r="C57" s="1556"/>
      <c r="D57" s="1557"/>
      <c r="E57" s="1557" t="s">
        <v>773</v>
      </c>
      <c r="F57" s="1557"/>
      <c r="G57" s="1557"/>
      <c r="H57" s="1557"/>
      <c r="I57" s="1557"/>
      <c r="J57" s="1557"/>
      <c r="K57" s="1557"/>
      <c r="L57" s="1557"/>
      <c r="M57" s="1557"/>
      <c r="N57" s="1557"/>
      <c r="O57" s="1557"/>
      <c r="P57" s="1557"/>
      <c r="Q57" s="1557"/>
      <c r="R57" s="1557"/>
      <c r="S57" s="1557"/>
      <c r="T57" s="1557"/>
      <c r="U57" s="1557"/>
      <c r="V57" s="1557"/>
      <c r="W57" s="1557"/>
      <c r="X57" s="1557"/>
      <c r="Y57" s="1557"/>
      <c r="Z57" s="1557"/>
      <c r="AA57" s="1557"/>
      <c r="AB57" s="1557"/>
      <c r="AC57" s="1557"/>
      <c r="AD57" s="1557"/>
      <c r="AE57" s="1557"/>
      <c r="AF57" s="1557"/>
      <c r="AG57" s="1557"/>
      <c r="AH57" s="1557"/>
      <c r="AI57" s="1557"/>
      <c r="AJ57" s="1557"/>
      <c r="AK57" s="1557"/>
      <c r="AL57" s="1557"/>
      <c r="AM57" s="1557"/>
      <c r="AN57" s="1557"/>
      <c r="AO57" s="1557"/>
      <c r="AP57" s="1557"/>
      <c r="AQ57" s="1557"/>
      <c r="AR57" s="1557"/>
      <c r="AS57" s="1557"/>
      <c r="AT57" s="1557"/>
      <c r="AU57" s="1557"/>
      <c r="AV57" s="1557"/>
      <c r="AW57" s="1557"/>
      <c r="AX57" s="468"/>
      <c r="AY57" s="470" t="s">
        <v>1049</v>
      </c>
      <c r="AZ57" s="254" t="s">
        <v>372</v>
      </c>
      <c r="BA57" s="1453"/>
      <c r="BB57" s="1454"/>
      <c r="BC57" s="1455"/>
      <c r="BD57" s="254" t="s">
        <v>1083</v>
      </c>
      <c r="BE57" s="254" t="s">
        <v>372</v>
      </c>
      <c r="BF57" s="254" t="s">
        <v>1049</v>
      </c>
    </row>
    <row r="58" spans="1:67" s="16" customFormat="1" ht="12" customHeight="1" x14ac:dyDescent="0.2">
      <c r="A58" s="35" t="s">
        <v>253</v>
      </c>
      <c r="B58" s="1555"/>
      <c r="C58" s="16">
        <f>SUM(E58:AW58)</f>
        <v>0</v>
      </c>
      <c r="D58" s="1553"/>
      <c r="E58" s="187"/>
      <c r="F58" s="187"/>
      <c r="G58" s="187"/>
      <c r="H58" s="187"/>
      <c r="I58" s="187"/>
      <c r="J58" s="187"/>
      <c r="K58" s="187"/>
      <c r="L58" s="187"/>
      <c r="M58" s="187"/>
      <c r="N58" s="187"/>
      <c r="O58" s="187"/>
      <c r="P58" s="187"/>
      <c r="Q58" s="187"/>
      <c r="R58" s="187"/>
      <c r="S58" s="187"/>
      <c r="T58" s="187"/>
      <c r="U58" s="187"/>
      <c r="V58" s="187"/>
      <c r="W58" s="187"/>
      <c r="X58" s="187"/>
      <c r="Y58" s="187"/>
      <c r="Z58" s="187"/>
      <c r="AA58" s="187"/>
      <c r="AB58" s="187"/>
      <c r="AC58" s="187"/>
      <c r="AD58" s="187"/>
      <c r="AE58" s="187"/>
      <c r="AF58" s="187"/>
      <c r="AG58" s="187"/>
      <c r="AH58" s="187"/>
      <c r="AI58" s="187"/>
      <c r="AJ58" s="187"/>
      <c r="AK58" s="187"/>
      <c r="AL58" s="187"/>
      <c r="AM58" s="187"/>
      <c r="AN58" s="187"/>
      <c r="AO58" s="187"/>
      <c r="AP58" s="187"/>
      <c r="AQ58" s="187"/>
      <c r="AR58" s="187"/>
      <c r="AS58" s="187"/>
      <c r="AT58" s="187"/>
      <c r="AU58" s="187"/>
      <c r="AV58" s="187"/>
      <c r="AW58" s="187"/>
      <c r="AX58" s="469"/>
      <c r="BD58" s="228" t="s">
        <v>1084</v>
      </c>
      <c r="BE58" s="229">
        <v>0</v>
      </c>
      <c r="BF58" s="230"/>
      <c r="BO58" s="33" t="s">
        <v>254</v>
      </c>
    </row>
    <row r="59" spans="1:67" s="16" customFormat="1" ht="12" customHeight="1" x14ac:dyDescent="0.2">
      <c r="A59" s="35" t="s">
        <v>271</v>
      </c>
      <c r="B59" s="1555"/>
      <c r="C59" s="16">
        <f t="shared" ref="C59:C65" si="8">SUM(E59:AW59)</f>
        <v>0</v>
      </c>
      <c r="D59" s="1517"/>
      <c r="E59" s="645"/>
      <c r="F59" s="645"/>
      <c r="G59" s="645"/>
      <c r="H59" s="645"/>
      <c r="I59" s="645"/>
      <c r="J59" s="645"/>
      <c r="K59" s="645"/>
      <c r="L59" s="645"/>
      <c r="M59" s="645"/>
      <c r="N59" s="645"/>
      <c r="O59" s="645"/>
      <c r="P59" s="645"/>
      <c r="Q59" s="645"/>
      <c r="R59" s="645"/>
      <c r="S59" s="645"/>
      <c r="T59" s="645"/>
      <c r="U59" s="645"/>
      <c r="V59" s="645"/>
      <c r="W59" s="645"/>
      <c r="X59" s="645"/>
      <c r="Y59" s="645"/>
      <c r="Z59" s="645"/>
      <c r="AA59" s="645"/>
      <c r="AB59" s="645"/>
      <c r="AC59" s="645"/>
      <c r="AD59" s="645"/>
      <c r="AE59" s="645"/>
      <c r="AF59" s="645"/>
      <c r="AG59" s="645"/>
      <c r="AH59" s="645"/>
      <c r="AI59" s="645"/>
      <c r="AJ59" s="645"/>
      <c r="AK59" s="645"/>
      <c r="AL59" s="645"/>
      <c r="AM59" s="645"/>
      <c r="AN59" s="645"/>
      <c r="AO59" s="645"/>
      <c r="AP59" s="645"/>
      <c r="AQ59" s="645"/>
      <c r="AR59" s="645"/>
      <c r="AS59" s="645"/>
      <c r="AT59" s="645"/>
      <c r="AU59" s="645"/>
      <c r="AV59" s="645"/>
      <c r="AW59" s="645"/>
      <c r="AX59" s="469"/>
      <c r="BD59" s="16" t="s">
        <v>10180</v>
      </c>
      <c r="BE59" s="641">
        <v>103</v>
      </c>
      <c r="BF59" s="215">
        <v>900</v>
      </c>
      <c r="BO59" s="33" t="s">
        <v>255</v>
      </c>
    </row>
    <row r="60" spans="1:67" s="16" customFormat="1" ht="12" customHeight="1" x14ac:dyDescent="0.2">
      <c r="A60" s="35" t="s">
        <v>272</v>
      </c>
      <c r="B60" s="1555"/>
      <c r="C60" s="16">
        <f>SUM(E60:AW60)</f>
        <v>0</v>
      </c>
      <c r="D60" s="1517"/>
      <c r="E60" s="646"/>
      <c r="F60" s="646"/>
      <c r="G60" s="646"/>
      <c r="H60" s="646"/>
      <c r="I60" s="646"/>
      <c r="J60" s="646"/>
      <c r="K60" s="646"/>
      <c r="L60" s="646"/>
      <c r="M60" s="646"/>
      <c r="N60" s="646"/>
      <c r="O60" s="646"/>
      <c r="P60" s="646"/>
      <c r="Q60" s="646"/>
      <c r="R60" s="646"/>
      <c r="S60" s="646"/>
      <c r="T60" s="646"/>
      <c r="U60" s="646"/>
      <c r="V60" s="646"/>
      <c r="W60" s="646"/>
      <c r="X60" s="646"/>
      <c r="Y60" s="646"/>
      <c r="Z60" s="646"/>
      <c r="AA60" s="646"/>
      <c r="AB60" s="646"/>
      <c r="AC60" s="646"/>
      <c r="AD60" s="646"/>
      <c r="AE60" s="646"/>
      <c r="AF60" s="646"/>
      <c r="AG60" s="646"/>
      <c r="AH60" s="646"/>
      <c r="AI60" s="646"/>
      <c r="AJ60" s="646"/>
      <c r="AK60" s="646"/>
      <c r="AL60" s="646"/>
      <c r="AM60" s="646"/>
      <c r="AN60" s="646"/>
      <c r="AO60" s="646"/>
      <c r="AP60" s="646"/>
      <c r="AQ60" s="646"/>
      <c r="AR60" s="646"/>
      <c r="AS60" s="646"/>
      <c r="AT60" s="646"/>
      <c r="AU60" s="646"/>
      <c r="AV60" s="646"/>
      <c r="AW60" s="646"/>
      <c r="AX60" s="469"/>
      <c r="BD60" s="16" t="s">
        <v>1085</v>
      </c>
      <c r="BE60" s="212">
        <v>157.19999999999999</v>
      </c>
      <c r="BF60" s="215">
        <v>900</v>
      </c>
      <c r="BO60" s="33" t="s">
        <v>256</v>
      </c>
    </row>
    <row r="61" spans="1:67" s="16" customFormat="1" ht="12" customHeight="1" x14ac:dyDescent="0.2">
      <c r="A61" s="35" t="s">
        <v>273</v>
      </c>
      <c r="B61" s="1555"/>
      <c r="C61" s="16">
        <f t="shared" si="8"/>
        <v>0</v>
      </c>
      <c r="D61" s="1517"/>
      <c r="E61" s="187"/>
      <c r="F61" s="187"/>
      <c r="G61" s="187"/>
      <c r="H61" s="187"/>
      <c r="I61" s="187"/>
      <c r="J61" s="187"/>
      <c r="K61" s="187"/>
      <c r="L61" s="187"/>
      <c r="M61" s="187"/>
      <c r="N61" s="187"/>
      <c r="O61" s="187"/>
      <c r="P61" s="187"/>
      <c r="Q61" s="187"/>
      <c r="R61" s="187"/>
      <c r="S61" s="187"/>
      <c r="T61" s="187"/>
      <c r="U61" s="187"/>
      <c r="V61" s="187"/>
      <c r="W61" s="187"/>
      <c r="X61" s="187"/>
      <c r="Y61" s="187"/>
      <c r="Z61" s="187"/>
      <c r="AA61" s="187"/>
      <c r="AB61" s="187"/>
      <c r="AC61" s="187"/>
      <c r="AD61" s="187"/>
      <c r="AE61" s="187"/>
      <c r="AF61" s="187"/>
      <c r="AG61" s="187"/>
      <c r="AH61" s="187"/>
      <c r="AI61" s="187"/>
      <c r="AJ61" s="187"/>
      <c r="AK61" s="187"/>
      <c r="AL61" s="187"/>
      <c r="AM61" s="187"/>
      <c r="AN61" s="187"/>
      <c r="AO61" s="187"/>
      <c r="AP61" s="187"/>
      <c r="AQ61" s="187"/>
      <c r="AR61" s="187"/>
      <c r="AS61" s="187"/>
      <c r="AT61" s="187"/>
      <c r="AU61" s="187"/>
      <c r="AV61" s="187"/>
      <c r="AW61" s="187"/>
      <c r="AX61" s="469"/>
      <c r="BD61" s="16" t="s">
        <v>1086</v>
      </c>
      <c r="BE61" s="212">
        <v>137.1</v>
      </c>
      <c r="BF61" s="215">
        <v>900</v>
      </c>
      <c r="BO61" s="33" t="s">
        <v>257</v>
      </c>
    </row>
    <row r="62" spans="1:67" s="16" customFormat="1" ht="12" customHeight="1" x14ac:dyDescent="0.2">
      <c r="A62" s="35" t="s">
        <v>274</v>
      </c>
      <c r="B62" s="1555"/>
      <c r="C62" s="16">
        <f t="shared" si="8"/>
        <v>0</v>
      </c>
      <c r="D62" s="1517"/>
      <c r="E62" s="645"/>
      <c r="F62" s="645"/>
      <c r="G62" s="645"/>
      <c r="H62" s="645"/>
      <c r="I62" s="645"/>
      <c r="J62" s="645"/>
      <c r="K62" s="645"/>
      <c r="L62" s="645"/>
      <c r="M62" s="645"/>
      <c r="N62" s="645"/>
      <c r="O62" s="645"/>
      <c r="P62" s="645"/>
      <c r="Q62" s="645"/>
      <c r="R62" s="645"/>
      <c r="S62" s="645"/>
      <c r="T62" s="645"/>
      <c r="U62" s="645"/>
      <c r="V62" s="645"/>
      <c r="W62" s="645"/>
      <c r="X62" s="645"/>
      <c r="Y62" s="645"/>
      <c r="Z62" s="645"/>
      <c r="AA62" s="645"/>
      <c r="AB62" s="645"/>
      <c r="AC62" s="645"/>
      <c r="AD62" s="645"/>
      <c r="AE62" s="645"/>
      <c r="AF62" s="645"/>
      <c r="AG62" s="645"/>
      <c r="AH62" s="645"/>
      <c r="AI62" s="645"/>
      <c r="AJ62" s="645"/>
      <c r="AK62" s="645"/>
      <c r="AL62" s="645"/>
      <c r="AM62" s="645"/>
      <c r="AN62" s="645"/>
      <c r="AO62" s="645"/>
      <c r="AP62" s="645"/>
      <c r="AQ62" s="645"/>
      <c r="AR62" s="645"/>
      <c r="AS62" s="645"/>
      <c r="AT62" s="645"/>
      <c r="AU62" s="645"/>
      <c r="AV62" s="645"/>
      <c r="AW62" s="645"/>
      <c r="AX62" s="469"/>
      <c r="BD62" s="16" t="s">
        <v>1087</v>
      </c>
      <c r="BE62" s="641">
        <v>58.35</v>
      </c>
      <c r="BF62" s="215">
        <v>900</v>
      </c>
      <c r="BO62" s="33" t="s">
        <v>258</v>
      </c>
    </row>
    <row r="63" spans="1:67" s="16" customFormat="1" ht="12" customHeight="1" x14ac:dyDescent="0.2">
      <c r="A63" s="35" t="s">
        <v>275</v>
      </c>
      <c r="B63" s="1555"/>
      <c r="C63" s="16">
        <f t="shared" si="8"/>
        <v>0</v>
      </c>
      <c r="D63" s="1517"/>
      <c r="E63" s="187"/>
      <c r="F63" s="187"/>
      <c r="G63" s="187"/>
      <c r="H63" s="187"/>
      <c r="I63" s="187"/>
      <c r="J63" s="187"/>
      <c r="K63" s="187"/>
      <c r="L63" s="187"/>
      <c r="M63" s="187"/>
      <c r="N63" s="187"/>
      <c r="O63" s="187"/>
      <c r="P63" s="187"/>
      <c r="Q63" s="187"/>
      <c r="R63" s="187"/>
      <c r="S63" s="187"/>
      <c r="T63" s="187"/>
      <c r="U63" s="187"/>
      <c r="V63" s="187"/>
      <c r="W63" s="187"/>
      <c r="X63" s="187"/>
      <c r="Y63" s="187"/>
      <c r="Z63" s="187"/>
      <c r="AA63" s="187"/>
      <c r="AB63" s="187"/>
      <c r="AC63" s="187"/>
      <c r="AD63" s="187"/>
      <c r="AE63" s="187"/>
      <c r="AF63" s="187"/>
      <c r="AG63" s="187"/>
      <c r="AH63" s="187"/>
      <c r="AI63" s="187"/>
      <c r="AJ63" s="187"/>
      <c r="AK63" s="187"/>
      <c r="AL63" s="187"/>
      <c r="AM63" s="187"/>
      <c r="AN63" s="187"/>
      <c r="AO63" s="187"/>
      <c r="AP63" s="187"/>
      <c r="AQ63" s="187"/>
      <c r="AR63" s="187"/>
      <c r="AS63" s="187"/>
      <c r="AT63" s="187"/>
      <c r="AU63" s="187"/>
      <c r="AV63" s="187"/>
      <c r="AW63" s="187"/>
      <c r="AX63" s="469"/>
      <c r="BD63" s="556" t="s">
        <v>10151</v>
      </c>
      <c r="BE63" s="641">
        <v>22.5</v>
      </c>
      <c r="BF63" s="557"/>
      <c r="BO63" s="33" t="s">
        <v>259</v>
      </c>
    </row>
    <row r="64" spans="1:67" s="16" customFormat="1" ht="12" customHeight="1" x14ac:dyDescent="0.2">
      <c r="A64" s="35" t="s">
        <v>276</v>
      </c>
      <c r="B64" s="1555"/>
      <c r="C64" s="16">
        <f t="shared" si="8"/>
        <v>0</v>
      </c>
      <c r="D64" s="1517"/>
      <c r="E64" s="187"/>
      <c r="F64" s="187"/>
      <c r="G64" s="187"/>
      <c r="H64" s="187"/>
      <c r="I64" s="187"/>
      <c r="J64" s="187"/>
      <c r="K64" s="187"/>
      <c r="L64" s="187"/>
      <c r="M64" s="187"/>
      <c r="N64" s="187"/>
      <c r="O64" s="187"/>
      <c r="P64" s="187"/>
      <c r="Q64" s="187"/>
      <c r="R64" s="187"/>
      <c r="S64" s="187"/>
      <c r="T64" s="187"/>
      <c r="U64" s="187"/>
      <c r="V64" s="187"/>
      <c r="W64" s="187"/>
      <c r="X64" s="187"/>
      <c r="Y64" s="187"/>
      <c r="Z64" s="187"/>
      <c r="AA64" s="187"/>
      <c r="AB64" s="187"/>
      <c r="AC64" s="187"/>
      <c r="AD64" s="187"/>
      <c r="AE64" s="187"/>
      <c r="AF64" s="187"/>
      <c r="AG64" s="187"/>
      <c r="AH64" s="187"/>
      <c r="AI64" s="187"/>
      <c r="AJ64" s="187"/>
      <c r="AK64" s="187"/>
      <c r="AL64" s="187"/>
      <c r="AM64" s="187"/>
      <c r="AN64" s="187"/>
      <c r="AO64" s="187"/>
      <c r="AP64" s="187"/>
      <c r="AQ64" s="187"/>
      <c r="AR64" s="187"/>
      <c r="AS64" s="187"/>
      <c r="AT64" s="187"/>
      <c r="AU64" s="187"/>
      <c r="AV64" s="187"/>
      <c r="AW64" s="187"/>
      <c r="AX64" s="469"/>
      <c r="BD64" s="556" t="s">
        <v>10152</v>
      </c>
      <c r="BE64" s="542">
        <v>32</v>
      </c>
      <c r="BF64" s="557"/>
      <c r="BO64" s="33" t="s">
        <v>260</v>
      </c>
    </row>
    <row r="65" spans="1:70" s="16" customFormat="1" ht="12" customHeight="1" x14ac:dyDescent="0.2">
      <c r="A65" s="35" t="s">
        <v>260</v>
      </c>
      <c r="B65" s="1555"/>
      <c r="C65" s="16">
        <f t="shared" si="8"/>
        <v>0</v>
      </c>
      <c r="D65" s="1517"/>
      <c r="E65" s="645"/>
      <c r="F65" s="645"/>
      <c r="G65" s="645"/>
      <c r="H65" s="645"/>
      <c r="I65" s="645"/>
      <c r="J65" s="645"/>
      <c r="K65" s="645"/>
      <c r="L65" s="645"/>
      <c r="M65" s="645"/>
      <c r="N65" s="645"/>
      <c r="O65" s="645"/>
      <c r="P65" s="645"/>
      <c r="Q65" s="645"/>
      <c r="R65" s="645"/>
      <c r="S65" s="645"/>
      <c r="T65" s="645"/>
      <c r="U65" s="645"/>
      <c r="V65" s="645"/>
      <c r="W65" s="645"/>
      <c r="X65" s="645"/>
      <c r="Y65" s="645"/>
      <c r="Z65" s="645"/>
      <c r="AA65" s="645"/>
      <c r="AB65" s="645"/>
      <c r="AC65" s="645"/>
      <c r="AD65" s="645"/>
      <c r="AE65" s="645"/>
      <c r="AF65" s="645"/>
      <c r="AG65" s="645"/>
      <c r="AH65" s="645"/>
      <c r="AI65" s="645"/>
      <c r="AJ65" s="645"/>
      <c r="AK65" s="645"/>
      <c r="AL65" s="645"/>
      <c r="AM65" s="645"/>
      <c r="AN65" s="645"/>
      <c r="AO65" s="645"/>
      <c r="AP65" s="645"/>
      <c r="AQ65" s="645"/>
      <c r="AR65" s="645"/>
      <c r="AS65" s="645"/>
      <c r="AT65" s="645"/>
      <c r="AU65" s="645"/>
      <c r="AV65" s="645"/>
      <c r="AW65" s="645"/>
      <c r="AX65" s="469"/>
      <c r="BD65" s="228" t="s">
        <v>10134</v>
      </c>
      <c r="BE65" s="229"/>
      <c r="BF65" s="230"/>
      <c r="BO65" s="33" t="s">
        <v>261</v>
      </c>
    </row>
    <row r="66" spans="1:70" s="16" customFormat="1" ht="12" customHeight="1" x14ac:dyDescent="0.2">
      <c r="A66" s="35" t="s">
        <v>304</v>
      </c>
      <c r="B66" s="1555"/>
      <c r="C66" s="16">
        <f>SUM(E66:AW66)</f>
        <v>0</v>
      </c>
      <c r="D66" s="1517"/>
      <c r="E66" s="646"/>
      <c r="F66" s="646"/>
      <c r="G66" s="646"/>
      <c r="H66" s="646"/>
      <c r="I66" s="646"/>
      <c r="J66" s="646"/>
      <c r="K66" s="646"/>
      <c r="L66" s="646"/>
      <c r="M66" s="646"/>
      <c r="N66" s="646"/>
      <c r="O66" s="646"/>
      <c r="P66" s="646"/>
      <c r="Q66" s="646"/>
      <c r="R66" s="646"/>
      <c r="S66" s="646"/>
      <c r="T66" s="646"/>
      <c r="U66" s="646"/>
      <c r="V66" s="646"/>
      <c r="W66" s="646"/>
      <c r="X66" s="646"/>
      <c r="Y66" s="646"/>
      <c r="Z66" s="646"/>
      <c r="AA66" s="646"/>
      <c r="AB66" s="646"/>
      <c r="AC66" s="646"/>
      <c r="AD66" s="646"/>
      <c r="AE66" s="646"/>
      <c r="AF66" s="646"/>
      <c r="AG66" s="646"/>
      <c r="AH66" s="646"/>
      <c r="AI66" s="646"/>
      <c r="AJ66" s="646"/>
      <c r="AK66" s="646"/>
      <c r="AL66" s="646"/>
      <c r="AM66" s="646"/>
      <c r="AN66" s="646"/>
      <c r="AO66" s="646"/>
      <c r="AP66" s="646"/>
      <c r="AQ66" s="646"/>
      <c r="AR66" s="646"/>
      <c r="AS66" s="646"/>
      <c r="AT66" s="646"/>
      <c r="AU66" s="646"/>
      <c r="AV66" s="646"/>
      <c r="AW66" s="646"/>
      <c r="AX66" s="469"/>
      <c r="BD66" s="16" t="s">
        <v>10181</v>
      </c>
      <c r="BE66" s="641">
        <v>22.15</v>
      </c>
      <c r="BF66" s="215">
        <v>75</v>
      </c>
      <c r="BO66" s="33" t="s">
        <v>262</v>
      </c>
    </row>
    <row r="67" spans="1:70" s="16" customFormat="1" ht="12" customHeight="1" x14ac:dyDescent="0.2">
      <c r="A67" s="35" t="s">
        <v>278</v>
      </c>
      <c r="B67" s="1555"/>
      <c r="C67" s="16">
        <f>C66</f>
        <v>0</v>
      </c>
      <c r="D67" s="1517"/>
      <c r="E67" s="235">
        <f t="shared" ref="E67:AT67" si="9">E1</f>
        <v>1</v>
      </c>
      <c r="F67" s="235">
        <f t="shared" si="9"/>
        <v>2</v>
      </c>
      <c r="G67" s="235">
        <f t="shared" si="9"/>
        <v>3</v>
      </c>
      <c r="H67" s="235">
        <f t="shared" si="9"/>
        <v>4</v>
      </c>
      <c r="I67" s="235">
        <f t="shared" si="9"/>
        <v>5</v>
      </c>
      <c r="J67" s="235">
        <f t="shared" si="9"/>
        <v>6</v>
      </c>
      <c r="K67" s="235">
        <f t="shared" si="9"/>
        <v>7</v>
      </c>
      <c r="L67" s="235">
        <f t="shared" si="9"/>
        <v>8</v>
      </c>
      <c r="M67" s="235">
        <f t="shared" si="9"/>
        <v>9</v>
      </c>
      <c r="N67" s="235">
        <f t="shared" si="9"/>
        <v>10</v>
      </c>
      <c r="O67" s="235">
        <f t="shared" si="9"/>
        <v>11</v>
      </c>
      <c r="P67" s="235">
        <f t="shared" si="9"/>
        <v>12</v>
      </c>
      <c r="Q67" s="235">
        <f t="shared" si="9"/>
        <v>13</v>
      </c>
      <c r="R67" s="235">
        <f t="shared" si="9"/>
        <v>14</v>
      </c>
      <c r="S67" s="235">
        <f t="shared" ref="S67" si="10">S1</f>
        <v>15</v>
      </c>
      <c r="T67" s="235">
        <f t="shared" si="9"/>
        <v>16</v>
      </c>
      <c r="U67" s="235">
        <f t="shared" si="9"/>
        <v>17</v>
      </c>
      <c r="V67" s="235">
        <f t="shared" si="9"/>
        <v>18</v>
      </c>
      <c r="W67" s="235">
        <f t="shared" si="9"/>
        <v>19</v>
      </c>
      <c r="X67" s="235">
        <f t="shared" si="9"/>
        <v>20</v>
      </c>
      <c r="Y67" s="235">
        <f t="shared" si="9"/>
        <v>21</v>
      </c>
      <c r="Z67" s="235">
        <f t="shared" si="9"/>
        <v>22</v>
      </c>
      <c r="AA67" s="235">
        <f t="shared" si="9"/>
        <v>23</v>
      </c>
      <c r="AB67" s="235">
        <f t="shared" si="9"/>
        <v>24</v>
      </c>
      <c r="AC67" s="235">
        <f t="shared" si="9"/>
        <v>25</v>
      </c>
      <c r="AD67" s="235">
        <f t="shared" si="9"/>
        <v>26</v>
      </c>
      <c r="AE67" s="235">
        <f t="shared" si="9"/>
        <v>27</v>
      </c>
      <c r="AF67" s="235">
        <f t="shared" si="9"/>
        <v>28</v>
      </c>
      <c r="AG67" s="235">
        <f t="shared" si="9"/>
        <v>29</v>
      </c>
      <c r="AH67" s="235">
        <f t="shared" si="9"/>
        <v>30</v>
      </c>
      <c r="AI67" s="235">
        <f t="shared" si="9"/>
        <v>31</v>
      </c>
      <c r="AJ67" s="235">
        <f t="shared" si="9"/>
        <v>32</v>
      </c>
      <c r="AK67" s="235">
        <f t="shared" si="9"/>
        <v>33</v>
      </c>
      <c r="AL67" s="235">
        <f t="shared" si="9"/>
        <v>34</v>
      </c>
      <c r="AM67" s="235">
        <f t="shared" si="9"/>
        <v>35</v>
      </c>
      <c r="AN67" s="235">
        <f t="shared" si="9"/>
        <v>36</v>
      </c>
      <c r="AO67" s="235">
        <f t="shared" si="9"/>
        <v>37</v>
      </c>
      <c r="AP67" s="235">
        <f t="shared" si="9"/>
        <v>38</v>
      </c>
      <c r="AQ67" s="235">
        <f t="shared" si="9"/>
        <v>39</v>
      </c>
      <c r="AR67" s="235">
        <f t="shared" si="9"/>
        <v>40</v>
      </c>
      <c r="AS67" s="235">
        <f t="shared" si="9"/>
        <v>41</v>
      </c>
      <c r="AT67" s="235">
        <f t="shared" si="9"/>
        <v>42</v>
      </c>
      <c r="AU67" s="1409" t="s">
        <v>1121</v>
      </c>
      <c r="AV67" s="1410"/>
      <c r="AW67" s="1410"/>
      <c r="AX67" s="469"/>
      <c r="BD67" s="16" t="s">
        <v>1088</v>
      </c>
      <c r="BE67" s="212">
        <v>26.64</v>
      </c>
      <c r="BF67" s="215">
        <v>75</v>
      </c>
      <c r="BO67" s="33" t="s">
        <v>262</v>
      </c>
    </row>
    <row r="68" spans="1:70" s="16" customFormat="1" ht="12" customHeight="1" x14ac:dyDescent="0.2">
      <c r="A68" s="35" t="s">
        <v>277</v>
      </c>
      <c r="B68" s="1555"/>
      <c r="C68" s="16">
        <f>C60</f>
        <v>0</v>
      </c>
      <c r="D68" s="1517"/>
      <c r="E68" s="1551"/>
      <c r="F68" s="1551"/>
      <c r="G68" s="1551"/>
      <c r="H68" s="1551"/>
      <c r="I68" s="1551"/>
      <c r="J68" s="1551"/>
      <c r="K68" s="1551"/>
      <c r="L68" s="1551"/>
      <c r="M68" s="1551"/>
      <c r="N68" s="1551"/>
      <c r="O68" s="1551"/>
      <c r="P68" s="1551"/>
      <c r="Q68" s="1551"/>
      <c r="R68" s="1551"/>
      <c r="S68" s="1551"/>
      <c r="T68" s="1551"/>
      <c r="U68" s="1551"/>
      <c r="V68" s="1551"/>
      <c r="W68" s="1551"/>
      <c r="X68" s="1551"/>
      <c r="Y68" s="1551"/>
      <c r="Z68" s="1551"/>
      <c r="AA68" s="1551"/>
      <c r="AB68" s="1551"/>
      <c r="AC68" s="1551"/>
      <c r="AD68" s="1551"/>
      <c r="AE68" s="1551"/>
      <c r="AF68" s="1551"/>
      <c r="AG68" s="1551"/>
      <c r="AH68" s="1551"/>
      <c r="AI68" s="1551"/>
      <c r="AJ68" s="1551"/>
      <c r="AK68" s="1551"/>
      <c r="AL68" s="1551"/>
      <c r="AM68" s="1551"/>
      <c r="AN68" s="1551"/>
      <c r="AO68" s="1551"/>
      <c r="AP68" s="1551"/>
      <c r="AQ68" s="1551"/>
      <c r="AR68" s="1551"/>
      <c r="AS68" s="1551"/>
      <c r="AT68" s="1551"/>
      <c r="AU68" s="1551"/>
      <c r="AV68" s="1551"/>
      <c r="AW68" s="1551"/>
      <c r="AX68" s="469"/>
      <c r="BD68" s="16" t="s">
        <v>1089</v>
      </c>
      <c r="BE68" s="212">
        <v>39.96</v>
      </c>
      <c r="BF68" s="215">
        <v>75</v>
      </c>
      <c r="BO68" s="33" t="s">
        <v>263</v>
      </c>
    </row>
    <row r="69" spans="1:70" s="16" customFormat="1" ht="12" customHeight="1" x14ac:dyDescent="0.2">
      <c r="A69" s="227" t="s">
        <v>1084</v>
      </c>
      <c r="B69" s="1555"/>
      <c r="C69" s="16">
        <f>SUM(C58)</f>
        <v>0</v>
      </c>
      <c r="D69" s="1517"/>
      <c r="E69" s="1517"/>
      <c r="F69" s="1517"/>
      <c r="G69" s="1517"/>
      <c r="H69" s="1517"/>
      <c r="I69" s="1517"/>
      <c r="J69" s="1517"/>
      <c r="K69" s="1517"/>
      <c r="L69" s="1517"/>
      <c r="M69" s="1517"/>
      <c r="N69" s="1517"/>
      <c r="O69" s="1517"/>
      <c r="P69" s="1517"/>
      <c r="Q69" s="1517"/>
      <c r="R69" s="1517"/>
      <c r="S69" s="1517"/>
      <c r="T69" s="1517"/>
      <c r="U69" s="1517"/>
      <c r="V69" s="1517"/>
      <c r="W69" s="1517"/>
      <c r="X69" s="1517"/>
      <c r="Y69" s="1517"/>
      <c r="Z69" s="1517"/>
      <c r="AA69" s="1517"/>
      <c r="AB69" s="1517"/>
      <c r="AC69" s="1517"/>
      <c r="AD69" s="1517"/>
      <c r="AE69" s="1517"/>
      <c r="AF69" s="1517"/>
      <c r="AG69" s="1517"/>
      <c r="AH69" s="1517"/>
      <c r="AI69" s="1517"/>
      <c r="AJ69" s="1517"/>
      <c r="AK69" s="1517"/>
      <c r="AL69" s="1517"/>
      <c r="AM69" s="1517"/>
      <c r="AN69" s="1517"/>
      <c r="AO69" s="1517"/>
      <c r="AP69" s="1517"/>
      <c r="AQ69" s="1517"/>
      <c r="AR69" s="1517"/>
      <c r="AS69" s="1517"/>
      <c r="AT69" s="1517"/>
      <c r="AU69" s="1517"/>
      <c r="AV69" s="1517"/>
      <c r="AW69" s="1517"/>
      <c r="AX69" s="469"/>
      <c r="BD69" s="16" t="s">
        <v>1090</v>
      </c>
      <c r="BE69" s="212">
        <v>60.09</v>
      </c>
      <c r="BF69" s="215">
        <v>75</v>
      </c>
      <c r="BO69" s="33" t="s">
        <v>264</v>
      </c>
    </row>
    <row r="70" spans="1:70" s="16" customFormat="1" ht="12" customHeight="1" x14ac:dyDescent="0.2">
      <c r="A70" s="227" t="s">
        <v>10134</v>
      </c>
      <c r="B70" s="1555"/>
      <c r="C70" s="16">
        <f>SUM(C65:C68)+(C72+C73+C74+C75)*2</f>
        <v>0</v>
      </c>
      <c r="D70" s="1517"/>
      <c r="E70" s="1517"/>
      <c r="F70" s="1517"/>
      <c r="G70" s="1517"/>
      <c r="H70" s="1517"/>
      <c r="I70" s="1517"/>
      <c r="J70" s="1517"/>
      <c r="K70" s="1517"/>
      <c r="L70" s="1517"/>
      <c r="M70" s="1517"/>
      <c r="N70" s="1517"/>
      <c r="O70" s="1517"/>
      <c r="P70" s="1517"/>
      <c r="Q70" s="1517"/>
      <c r="R70" s="1517"/>
      <c r="S70" s="1517"/>
      <c r="T70" s="1517"/>
      <c r="U70" s="1517"/>
      <c r="V70" s="1517"/>
      <c r="W70" s="1517"/>
      <c r="X70" s="1517"/>
      <c r="Y70" s="1517"/>
      <c r="Z70" s="1517"/>
      <c r="AA70" s="1517"/>
      <c r="AB70" s="1517"/>
      <c r="AC70" s="1517"/>
      <c r="AD70" s="1517"/>
      <c r="AE70" s="1517"/>
      <c r="AF70" s="1517"/>
      <c r="AG70" s="1517"/>
      <c r="AH70" s="1517"/>
      <c r="AI70" s="1517"/>
      <c r="AJ70" s="1517"/>
      <c r="AK70" s="1517"/>
      <c r="AL70" s="1517"/>
      <c r="AM70" s="1517"/>
      <c r="AN70" s="1517"/>
      <c r="AO70" s="1517"/>
      <c r="AP70" s="1517"/>
      <c r="AQ70" s="1517"/>
      <c r="AR70" s="1517"/>
      <c r="AS70" s="1517"/>
      <c r="AT70" s="1517"/>
      <c r="AU70" s="1517"/>
      <c r="AV70" s="1517"/>
      <c r="AW70" s="1517"/>
      <c r="AX70" s="469"/>
      <c r="BD70" s="16" t="s">
        <v>1094</v>
      </c>
      <c r="BE70" s="542">
        <v>270.47000000000003</v>
      </c>
      <c r="BF70" s="215">
        <v>75</v>
      </c>
      <c r="BO70" s="33" t="s">
        <v>265</v>
      </c>
    </row>
    <row r="71" spans="1:70" s="16" customFormat="1" ht="12" customHeight="1" x14ac:dyDescent="0.2">
      <c r="A71" s="35" t="s">
        <v>265</v>
      </c>
      <c r="B71" s="1555"/>
      <c r="C71" s="16">
        <f>SUM(C69)/1000</f>
        <v>0</v>
      </c>
      <c r="D71" s="1517"/>
      <c r="E71" s="1552"/>
      <c r="F71" s="1552"/>
      <c r="G71" s="1552"/>
      <c r="H71" s="1552"/>
      <c r="I71" s="1552"/>
      <c r="J71" s="1552"/>
      <c r="K71" s="1552"/>
      <c r="L71" s="1552"/>
      <c r="M71" s="1552"/>
      <c r="N71" s="1552"/>
      <c r="O71" s="1552"/>
      <c r="P71" s="1552"/>
      <c r="Q71" s="1552"/>
      <c r="R71" s="1552"/>
      <c r="S71" s="1552"/>
      <c r="T71" s="1552"/>
      <c r="U71" s="1552"/>
      <c r="V71" s="1552"/>
      <c r="W71" s="1552"/>
      <c r="X71" s="1552"/>
      <c r="Y71" s="1552"/>
      <c r="Z71" s="1552"/>
      <c r="AA71" s="1552"/>
      <c r="AB71" s="1552"/>
      <c r="AC71" s="1552"/>
      <c r="AD71" s="1552"/>
      <c r="AE71" s="1552"/>
      <c r="AF71" s="1552"/>
      <c r="AG71" s="1552"/>
      <c r="AH71" s="1552"/>
      <c r="AI71" s="1552"/>
      <c r="AJ71" s="1552"/>
      <c r="AK71" s="1552"/>
      <c r="AL71" s="1552"/>
      <c r="AM71" s="1552"/>
      <c r="AN71" s="1552"/>
      <c r="AO71" s="1552"/>
      <c r="AP71" s="1552"/>
      <c r="AQ71" s="1552"/>
      <c r="AR71" s="1552"/>
      <c r="AS71" s="1552"/>
      <c r="AT71" s="1552"/>
      <c r="AU71" s="1552"/>
      <c r="AV71" s="1552"/>
      <c r="AW71" s="1552"/>
      <c r="AX71" s="469"/>
      <c r="BD71" s="16" t="s">
        <v>1091</v>
      </c>
      <c r="BE71" s="542">
        <v>30.05</v>
      </c>
      <c r="BF71" s="215">
        <v>75</v>
      </c>
      <c r="BO71" s="33" t="s">
        <v>266</v>
      </c>
    </row>
    <row r="72" spans="1:70" ht="12" customHeight="1" x14ac:dyDescent="0.2">
      <c r="A72" s="35" t="s">
        <v>266</v>
      </c>
      <c r="B72" s="1555"/>
      <c r="C72" s="16">
        <f>SUM(E72:AW72)</f>
        <v>0</v>
      </c>
      <c r="D72" s="1517"/>
      <c r="E72" s="187"/>
      <c r="F72" s="187"/>
      <c r="G72" s="187"/>
      <c r="H72" s="187"/>
      <c r="I72" s="187"/>
      <c r="J72" s="187"/>
      <c r="K72" s="187"/>
      <c r="L72" s="187"/>
      <c r="M72" s="187"/>
      <c r="N72" s="187"/>
      <c r="O72" s="187"/>
      <c r="P72" s="187"/>
      <c r="Q72" s="187"/>
      <c r="R72" s="187"/>
      <c r="S72" s="187"/>
      <c r="T72" s="187"/>
      <c r="U72" s="187"/>
      <c r="V72" s="187"/>
      <c r="W72" s="187"/>
      <c r="X72" s="187"/>
      <c r="Y72" s="187"/>
      <c r="Z72" s="187"/>
      <c r="AA72" s="187"/>
      <c r="AB72" s="187"/>
      <c r="AC72" s="187"/>
      <c r="AD72" s="187"/>
      <c r="AE72" s="187"/>
      <c r="AF72" s="187"/>
      <c r="AG72" s="187"/>
      <c r="AH72" s="187"/>
      <c r="AI72" s="187"/>
      <c r="AJ72" s="187"/>
      <c r="AK72" s="187"/>
      <c r="AL72" s="187"/>
      <c r="AM72" s="187"/>
      <c r="AN72" s="187"/>
      <c r="AO72" s="187"/>
      <c r="AP72" s="187"/>
      <c r="AQ72" s="187"/>
      <c r="AR72" s="187"/>
      <c r="AS72" s="187"/>
      <c r="AT72" s="187"/>
      <c r="AU72" s="187"/>
      <c r="AV72" s="187"/>
      <c r="AW72" s="187"/>
      <c r="AX72" s="469"/>
      <c r="BD72" s="16" t="s">
        <v>1092</v>
      </c>
      <c r="BE72" s="542">
        <v>45.1</v>
      </c>
      <c r="BF72" s="215">
        <v>75</v>
      </c>
      <c r="BO72" s="33" t="s">
        <v>267</v>
      </c>
    </row>
    <row r="73" spans="1:70" ht="12" customHeight="1" x14ac:dyDescent="0.2">
      <c r="A73" s="35" t="s">
        <v>267</v>
      </c>
      <c r="B73" s="1555"/>
      <c r="C73" s="16">
        <f>SUM(E73:AW73)</f>
        <v>0</v>
      </c>
      <c r="D73" s="1517"/>
      <c r="E73" s="645"/>
      <c r="F73" s="645"/>
      <c r="G73" s="645"/>
      <c r="H73" s="645"/>
      <c r="I73" s="645"/>
      <c r="J73" s="645"/>
      <c r="K73" s="645"/>
      <c r="L73" s="645"/>
      <c r="M73" s="645"/>
      <c r="N73" s="645"/>
      <c r="O73" s="645"/>
      <c r="P73" s="645"/>
      <c r="Q73" s="645"/>
      <c r="R73" s="645"/>
      <c r="S73" s="645"/>
      <c r="T73" s="645"/>
      <c r="U73" s="645"/>
      <c r="V73" s="645"/>
      <c r="W73" s="645"/>
      <c r="X73" s="645"/>
      <c r="Y73" s="645"/>
      <c r="Z73" s="645"/>
      <c r="AA73" s="645"/>
      <c r="AB73" s="645"/>
      <c r="AC73" s="645"/>
      <c r="AD73" s="645"/>
      <c r="AE73" s="645"/>
      <c r="AF73" s="645"/>
      <c r="AG73" s="645"/>
      <c r="AH73" s="645"/>
      <c r="AI73" s="645"/>
      <c r="AJ73" s="645"/>
      <c r="AK73" s="645"/>
      <c r="AL73" s="645"/>
      <c r="AM73" s="645"/>
      <c r="AN73" s="645"/>
      <c r="AO73" s="645"/>
      <c r="AP73" s="645"/>
      <c r="AQ73" s="645"/>
      <c r="AR73" s="645"/>
      <c r="AS73" s="645"/>
      <c r="AT73" s="645"/>
      <c r="AU73" s="645"/>
      <c r="AV73" s="645"/>
      <c r="AW73" s="645"/>
      <c r="AX73" s="469"/>
      <c r="BD73" s="16" t="s">
        <v>10150</v>
      </c>
      <c r="BE73" s="542">
        <v>135.26</v>
      </c>
      <c r="BF73" s="215">
        <v>75</v>
      </c>
      <c r="BO73" s="33" t="s">
        <v>268</v>
      </c>
    </row>
    <row r="74" spans="1:70" ht="12" customHeight="1" x14ac:dyDescent="0.2">
      <c r="A74" s="35" t="s">
        <v>268</v>
      </c>
      <c r="B74" s="1555"/>
      <c r="C74" s="16">
        <f>SUM(E74:AW74)</f>
        <v>0</v>
      </c>
      <c r="D74" s="1517"/>
      <c r="E74" s="646"/>
      <c r="F74" s="646"/>
      <c r="G74" s="646"/>
      <c r="H74" s="646"/>
      <c r="I74" s="646"/>
      <c r="J74" s="646"/>
      <c r="K74" s="646"/>
      <c r="L74" s="646"/>
      <c r="M74" s="646"/>
      <c r="N74" s="646"/>
      <c r="O74" s="646"/>
      <c r="P74" s="646"/>
      <c r="Q74" s="646"/>
      <c r="R74" s="646"/>
      <c r="S74" s="646"/>
      <c r="T74" s="646"/>
      <c r="U74" s="646"/>
      <c r="V74" s="646"/>
      <c r="W74" s="646"/>
      <c r="X74" s="646"/>
      <c r="Y74" s="646"/>
      <c r="Z74" s="646"/>
      <c r="AA74" s="646"/>
      <c r="AB74" s="646"/>
      <c r="AC74" s="646"/>
      <c r="AD74" s="646"/>
      <c r="AE74" s="646"/>
      <c r="AF74" s="646"/>
      <c r="AG74" s="646"/>
      <c r="AH74" s="646"/>
      <c r="AI74" s="646"/>
      <c r="AJ74" s="646"/>
      <c r="AK74" s="646"/>
      <c r="AL74" s="646"/>
      <c r="AM74" s="646"/>
      <c r="AN74" s="646"/>
      <c r="AO74" s="646"/>
      <c r="AP74" s="646"/>
      <c r="AQ74" s="646"/>
      <c r="AR74" s="646"/>
      <c r="AS74" s="646"/>
      <c r="AT74" s="646"/>
      <c r="AU74" s="646"/>
      <c r="AV74" s="646"/>
      <c r="AW74" s="646"/>
      <c r="AX74" s="469"/>
      <c r="BD74" s="16" t="s">
        <v>1093</v>
      </c>
      <c r="BE74" s="542">
        <v>67.400000000000006</v>
      </c>
      <c r="BF74" s="215">
        <v>75</v>
      </c>
      <c r="BO74" s="33" t="s">
        <v>269</v>
      </c>
    </row>
    <row r="75" spans="1:70" ht="12" customHeight="1" x14ac:dyDescent="0.2">
      <c r="A75" s="35" t="s">
        <v>1098</v>
      </c>
      <c r="B75" s="1555"/>
      <c r="C75" s="16">
        <f>SUM(E75:AW75)</f>
        <v>0</v>
      </c>
      <c r="D75" s="1517"/>
      <c r="E75" s="187"/>
      <c r="F75" s="187"/>
      <c r="G75" s="187"/>
      <c r="H75" s="187"/>
      <c r="I75" s="187"/>
      <c r="J75" s="187"/>
      <c r="K75" s="187"/>
      <c r="L75" s="187"/>
      <c r="M75" s="187"/>
      <c r="N75" s="187"/>
      <c r="O75" s="187"/>
      <c r="P75" s="187"/>
      <c r="Q75" s="187"/>
      <c r="R75" s="187"/>
      <c r="S75" s="187"/>
      <c r="T75" s="187"/>
      <c r="U75" s="187"/>
      <c r="V75" s="187"/>
      <c r="W75" s="187"/>
      <c r="X75" s="187"/>
      <c r="Y75" s="187"/>
      <c r="Z75" s="187"/>
      <c r="AA75" s="187"/>
      <c r="AB75" s="187"/>
      <c r="AC75" s="187"/>
      <c r="AD75" s="187"/>
      <c r="AE75" s="187"/>
      <c r="AF75" s="187"/>
      <c r="AG75" s="187"/>
      <c r="AH75" s="187"/>
      <c r="AI75" s="187"/>
      <c r="AJ75" s="187"/>
      <c r="AK75" s="187"/>
      <c r="AL75" s="187"/>
      <c r="AM75" s="187"/>
      <c r="AN75" s="187"/>
      <c r="AO75" s="187"/>
      <c r="AP75" s="187"/>
      <c r="AQ75" s="187"/>
      <c r="AR75" s="187"/>
      <c r="AS75" s="187"/>
      <c r="AT75" s="187"/>
      <c r="AU75" s="187"/>
      <c r="AV75" s="187"/>
      <c r="AW75" s="187"/>
      <c r="AX75" s="469"/>
      <c r="BD75" s="16" t="s">
        <v>10154</v>
      </c>
      <c r="BE75" s="542">
        <v>273.11</v>
      </c>
      <c r="BF75" s="215"/>
    </row>
    <row r="76" spans="1:70" ht="12" customHeight="1" x14ac:dyDescent="0.2">
      <c r="A76" s="35" t="s">
        <v>269</v>
      </c>
      <c r="B76" s="1555"/>
      <c r="C76" s="16" cm="1">
        <f t="array" ref="C76">SUM(C59:C68+(C58/8))/2</f>
        <v>0</v>
      </c>
      <c r="D76" s="1517"/>
      <c r="E76" s="1350"/>
      <c r="F76" s="1350"/>
      <c r="G76" s="1350"/>
      <c r="H76" s="1350"/>
      <c r="I76" s="1350"/>
      <c r="J76" s="1350"/>
      <c r="K76" s="1350"/>
      <c r="L76" s="1350"/>
      <c r="M76" s="1350"/>
      <c r="N76" s="1350"/>
      <c r="O76" s="1350"/>
      <c r="P76" s="1350"/>
      <c r="Q76" s="1350"/>
      <c r="R76" s="1350"/>
      <c r="S76" s="1350"/>
      <c r="T76" s="1350"/>
      <c r="U76" s="1350"/>
      <c r="V76" s="1350"/>
      <c r="W76" s="1350"/>
      <c r="X76" s="1350"/>
      <c r="Y76" s="1350"/>
      <c r="Z76" s="1350"/>
      <c r="AA76" s="1350"/>
      <c r="AB76" s="1350"/>
      <c r="AC76" s="1350"/>
      <c r="AD76" s="1350"/>
      <c r="AE76" s="1350"/>
      <c r="AF76" s="1350"/>
      <c r="AG76" s="1350"/>
      <c r="AH76" s="1350"/>
      <c r="AI76" s="1350"/>
      <c r="AJ76" s="1350"/>
      <c r="AK76" s="1350"/>
      <c r="AL76" s="1350"/>
      <c r="AM76" s="1350"/>
      <c r="AN76" s="1350"/>
      <c r="AO76" s="1350"/>
      <c r="AP76" s="1350"/>
      <c r="AQ76" s="1350"/>
      <c r="AR76" s="1350"/>
      <c r="AS76" s="1350"/>
      <c r="AT76" s="1350"/>
      <c r="AU76" s="1350"/>
      <c r="AV76" s="1350"/>
      <c r="AW76" s="1350"/>
      <c r="AX76" s="472"/>
      <c r="BD76" s="16" t="s">
        <v>10153</v>
      </c>
      <c r="BE76" s="542">
        <v>273.11</v>
      </c>
      <c r="BF76" s="215"/>
      <c r="BO76" s="33" t="s">
        <v>270</v>
      </c>
    </row>
    <row r="77" spans="1:70" ht="12" customHeight="1" x14ac:dyDescent="0.2">
      <c r="A77" s="35" t="s">
        <v>270</v>
      </c>
      <c r="B77" s="1555"/>
      <c r="C77" s="16">
        <f>SUM(C59+C61+C62+C63+C64)/50</f>
        <v>0</v>
      </c>
      <c r="D77" s="1519"/>
      <c r="E77" s="1350"/>
      <c r="F77" s="1350"/>
      <c r="G77" s="1350"/>
      <c r="H77" s="1350"/>
      <c r="I77" s="1350"/>
      <c r="J77" s="1350"/>
      <c r="K77" s="1350"/>
      <c r="L77" s="1350"/>
      <c r="M77" s="1350"/>
      <c r="N77" s="1350"/>
      <c r="O77" s="1350"/>
      <c r="P77" s="1350"/>
      <c r="Q77" s="1350"/>
      <c r="R77" s="1350"/>
      <c r="S77" s="1350"/>
      <c r="T77" s="1350"/>
      <c r="U77" s="1350"/>
      <c r="V77" s="1350"/>
      <c r="W77" s="1350"/>
      <c r="X77" s="1350"/>
      <c r="Y77" s="1350"/>
      <c r="Z77" s="1350"/>
      <c r="AA77" s="1350"/>
      <c r="AB77" s="1350"/>
      <c r="AC77" s="1350"/>
      <c r="AD77" s="1350"/>
      <c r="AE77" s="1350"/>
      <c r="AF77" s="1350"/>
      <c r="AG77" s="1350"/>
      <c r="AH77" s="1350"/>
      <c r="AI77" s="1350"/>
      <c r="AJ77" s="1350"/>
      <c r="AK77" s="1350"/>
      <c r="AL77" s="1350"/>
      <c r="AM77" s="1350"/>
      <c r="AN77" s="1350"/>
      <c r="AO77" s="1350"/>
      <c r="AP77" s="1350"/>
      <c r="AQ77" s="1350"/>
      <c r="AR77" s="1350"/>
      <c r="AS77" s="1350"/>
      <c r="AT77" s="1350"/>
      <c r="AU77" s="1350"/>
      <c r="AV77" s="1350"/>
      <c r="AW77" s="1350"/>
      <c r="AX77" s="473"/>
      <c r="BD77" s="16"/>
      <c r="BE77" s="212"/>
      <c r="BF77" s="215"/>
    </row>
    <row r="78" spans="1:70" s="471" customFormat="1" ht="2.4500000000000002" customHeight="1" x14ac:dyDescent="0.2">
      <c r="A78" s="1433"/>
      <c r="B78" s="1434"/>
      <c r="C78" s="1434"/>
      <c r="D78" s="1434"/>
      <c r="E78" s="1435"/>
      <c r="F78" s="1435"/>
      <c r="G78" s="1435"/>
      <c r="H78" s="1435"/>
      <c r="I78" s="1435"/>
      <c r="J78" s="1435"/>
      <c r="K78" s="1435"/>
      <c r="L78" s="1435"/>
      <c r="M78" s="1435"/>
      <c r="N78" s="1435"/>
      <c r="O78" s="1435"/>
      <c r="P78" s="1435"/>
      <c r="Q78" s="1435"/>
      <c r="R78" s="1435"/>
      <c r="S78" s="1435"/>
      <c r="T78" s="1435"/>
      <c r="U78" s="1435"/>
      <c r="V78" s="1435"/>
      <c r="W78" s="1435"/>
      <c r="X78" s="1435"/>
      <c r="Y78" s="1435"/>
      <c r="Z78" s="1435"/>
      <c r="AA78" s="1435"/>
      <c r="AB78" s="1435"/>
      <c r="AC78" s="1435"/>
      <c r="AD78" s="1435"/>
      <c r="AE78" s="1435"/>
      <c r="AF78" s="1435"/>
      <c r="AG78" s="1435"/>
      <c r="AH78" s="1435"/>
      <c r="AI78" s="1435"/>
      <c r="AJ78" s="1435"/>
      <c r="AK78" s="1435"/>
      <c r="AL78" s="1435"/>
      <c r="AM78" s="1435"/>
      <c r="AN78" s="1435"/>
      <c r="AO78" s="1435"/>
      <c r="AP78" s="1435"/>
      <c r="AQ78" s="1435"/>
      <c r="AR78" s="1435"/>
      <c r="AS78" s="1435"/>
      <c r="AT78" s="1435"/>
      <c r="AU78" s="1435"/>
      <c r="AV78" s="1435"/>
      <c r="AW78" s="1435"/>
      <c r="AX78" s="1436"/>
    </row>
    <row r="79" spans="1:70" s="16" customFormat="1" ht="12" customHeight="1" x14ac:dyDescent="0.2">
      <c r="A79" s="237" t="s">
        <v>1076</v>
      </c>
      <c r="B79" s="205"/>
      <c r="C79" s="967"/>
      <c r="D79" s="967"/>
      <c r="E79" s="967" t="s">
        <v>773</v>
      </c>
      <c r="F79" s="967"/>
      <c r="G79" s="967"/>
      <c r="H79" s="967"/>
      <c r="I79" s="967"/>
      <c r="J79" s="967"/>
      <c r="K79" s="967"/>
      <c r="L79" s="967"/>
      <c r="M79" s="967"/>
      <c r="N79" s="967"/>
      <c r="O79" s="967"/>
      <c r="P79" s="967"/>
      <c r="Q79" s="967"/>
      <c r="R79" s="967"/>
      <c r="S79" s="967"/>
      <c r="T79" s="967"/>
      <c r="U79" s="967"/>
      <c r="V79" s="967"/>
      <c r="W79" s="967"/>
      <c r="X79" s="967"/>
      <c r="Y79" s="967"/>
      <c r="Z79" s="967"/>
      <c r="AA79" s="967"/>
      <c r="AB79" s="967"/>
      <c r="AC79" s="967"/>
      <c r="AD79" s="967"/>
      <c r="AE79" s="967"/>
      <c r="AF79" s="967"/>
      <c r="AG79" s="967"/>
      <c r="AH79" s="967"/>
      <c r="AI79" s="967"/>
      <c r="AJ79" s="967"/>
      <c r="AK79" s="967"/>
      <c r="AL79" s="967"/>
      <c r="AM79" s="967"/>
      <c r="AN79" s="967"/>
      <c r="AO79" s="967"/>
      <c r="AP79" s="967"/>
      <c r="AQ79" s="967"/>
      <c r="AR79" s="967"/>
      <c r="AS79" s="967"/>
      <c r="AT79" s="967"/>
      <c r="AU79" s="967"/>
      <c r="AV79" s="967"/>
      <c r="AW79" s="968"/>
      <c r="AX79" s="468"/>
      <c r="AY79" s="238" t="s">
        <v>1049</v>
      </c>
      <c r="AZ79" s="238" t="s">
        <v>372</v>
      </c>
      <c r="BA79" s="1464"/>
      <c r="BB79" s="1465"/>
      <c r="BC79" s="1466"/>
      <c r="BD79" s="238" t="s">
        <v>1075</v>
      </c>
      <c r="BE79" s="238" t="s">
        <v>372</v>
      </c>
      <c r="BF79" s="238" t="s">
        <v>1049</v>
      </c>
      <c r="BG79" s="1470"/>
      <c r="BH79" s="1471"/>
      <c r="BI79" s="1471"/>
      <c r="BJ79" s="541" t="s">
        <v>10144</v>
      </c>
      <c r="BK79" s="1459" t="s">
        <v>10116</v>
      </c>
      <c r="BL79" s="1460"/>
      <c r="BM79" s="1460"/>
      <c r="BN79" s="1461"/>
      <c r="BO79" s="238" t="s">
        <v>1075</v>
      </c>
      <c r="BP79" s="238" t="s">
        <v>372</v>
      </c>
      <c r="BQ79" s="238" t="s">
        <v>1049</v>
      </c>
      <c r="BR79" s="749"/>
    </row>
    <row r="80" spans="1:70" ht="12" customHeight="1" x14ac:dyDescent="0.2">
      <c r="A80" s="227" t="s">
        <v>10301</v>
      </c>
      <c r="B80" s="201"/>
      <c r="C80" s="16">
        <f>SUM(E80:AW80)</f>
        <v>0</v>
      </c>
      <c r="D80" s="761"/>
      <c r="E80" s="187"/>
      <c r="F80" s="187"/>
      <c r="G80" s="187"/>
      <c r="H80" s="187"/>
      <c r="I80" s="187"/>
      <c r="J80" s="187"/>
      <c r="K80" s="187"/>
      <c r="L80" s="187"/>
      <c r="M80" s="187"/>
      <c r="N80" s="187"/>
      <c r="O80" s="187"/>
      <c r="P80" s="187"/>
      <c r="Q80" s="187"/>
      <c r="R80" s="187"/>
      <c r="S80" s="187"/>
      <c r="T80" s="187"/>
      <c r="U80" s="187"/>
      <c r="V80" s="187"/>
      <c r="W80" s="187"/>
      <c r="X80" s="187"/>
      <c r="Y80" s="187"/>
      <c r="Z80" s="187"/>
      <c r="AA80" s="187"/>
      <c r="AB80" s="187"/>
      <c r="AC80" s="187"/>
      <c r="AD80" s="187"/>
      <c r="AE80" s="187"/>
      <c r="AF80" s="187"/>
      <c r="AG80" s="187"/>
      <c r="AH80" s="187"/>
      <c r="AI80" s="187"/>
      <c r="AJ80" s="187"/>
      <c r="AK80" s="187"/>
      <c r="AL80" s="187"/>
      <c r="AM80" s="187"/>
      <c r="AN80" s="187"/>
      <c r="AO80" s="187"/>
      <c r="AP80" s="187"/>
      <c r="AQ80" s="187"/>
      <c r="AR80" s="187"/>
      <c r="AS80" s="187"/>
      <c r="AT80" s="187"/>
      <c r="AU80" s="187"/>
      <c r="AV80" s="187"/>
      <c r="AW80" s="30"/>
      <c r="AX80" s="469"/>
      <c r="AY80" s="217">
        <v>210</v>
      </c>
      <c r="AZ80" s="211">
        <v>14.57</v>
      </c>
      <c r="BB80" s="202" t="s">
        <v>1072</v>
      </c>
      <c r="BC80" s="202" t="s">
        <v>1073</v>
      </c>
      <c r="BD80" s="194" t="s">
        <v>1048</v>
      </c>
      <c r="BE80" s="195"/>
      <c r="BF80" s="196"/>
      <c r="BG80" s="194" t="s">
        <v>1065</v>
      </c>
      <c r="BH80" s="213"/>
      <c r="BI80" s="216"/>
      <c r="BJ80" s="547">
        <v>1</v>
      </c>
      <c r="BK80" s="512" t="s">
        <v>10100</v>
      </c>
      <c r="BL80" s="512"/>
      <c r="BO80" s="194" t="s">
        <v>10129</v>
      </c>
      <c r="BP80" s="213"/>
      <c r="BQ80" s="216"/>
    </row>
    <row r="81" spans="1:69" ht="12" customHeight="1" x14ac:dyDescent="0.25">
      <c r="A81" s="227" t="s">
        <v>1048</v>
      </c>
      <c r="B81" s="201"/>
      <c r="C81" s="16">
        <f t="shared" ref="C81:C84" si="11">SUM(E81:AW81)</f>
        <v>0</v>
      </c>
      <c r="D81" s="762" t="s">
        <v>10323</v>
      </c>
      <c r="E81" s="645"/>
      <c r="F81" s="645"/>
      <c r="G81" s="645"/>
      <c r="H81" s="645"/>
      <c r="I81" s="645"/>
      <c r="J81" s="645"/>
      <c r="K81" s="645"/>
      <c r="L81" s="645"/>
      <c r="M81" s="645"/>
      <c r="N81" s="645"/>
      <c r="O81" s="645"/>
      <c r="P81" s="645"/>
      <c r="Q81" s="645"/>
      <c r="R81" s="645"/>
      <c r="S81" s="645"/>
      <c r="T81" s="645"/>
      <c r="U81" s="645"/>
      <c r="V81" s="645"/>
      <c r="W81" s="645"/>
      <c r="X81" s="645"/>
      <c r="Y81" s="645"/>
      <c r="Z81" s="645"/>
      <c r="AA81" s="645"/>
      <c r="AB81" s="645"/>
      <c r="AC81" s="645"/>
      <c r="AD81" s="645"/>
      <c r="AE81" s="645"/>
      <c r="AF81" s="645"/>
      <c r="AG81" s="645"/>
      <c r="AH81" s="645"/>
      <c r="AI81" s="645"/>
      <c r="AJ81" s="645"/>
      <c r="AK81" s="645"/>
      <c r="AL81" s="645"/>
      <c r="AM81" s="645"/>
      <c r="AN81" s="645"/>
      <c r="AO81" s="645"/>
      <c r="AP81" s="645"/>
      <c r="AQ81" s="645"/>
      <c r="AR81" s="645"/>
      <c r="AS81" s="645"/>
      <c r="AT81" s="645"/>
      <c r="AU81" s="645"/>
      <c r="AV81" s="645"/>
      <c r="AW81" s="210">
        <f>SUM(BB81*BC81/2)</f>
        <v>0</v>
      </c>
      <c r="AX81" s="469"/>
      <c r="AY81" s="199" t="s">
        <v>1071</v>
      </c>
      <c r="AZ81" s="189"/>
      <c r="BB81" s="204">
        <f>SUM(BB82:BB86)</f>
        <v>0</v>
      </c>
      <c r="BC81" s="204">
        <f>SUM(BC82:BC86)</f>
        <v>0</v>
      </c>
      <c r="BD81" s="752" t="s">
        <v>10177</v>
      </c>
      <c r="BE81" s="753">
        <v>13.49</v>
      </c>
      <c r="BF81" s="215">
        <v>50</v>
      </c>
      <c r="BG81" s="549" t="s">
        <v>1052</v>
      </c>
      <c r="BH81" s="550" t="str">
        <f>BE96</f>
        <v>Call</v>
      </c>
      <c r="BI81" s="551">
        <v>160</v>
      </c>
      <c r="BJ81" s="547">
        <v>2</v>
      </c>
      <c r="BK81" s="512" t="s">
        <v>7935</v>
      </c>
      <c r="BL81" s="512"/>
      <c r="BO81" s="752" t="s">
        <v>10118</v>
      </c>
      <c r="BP81" s="753">
        <v>71.650000000000006</v>
      </c>
      <c r="BQ81" s="215">
        <v>50</v>
      </c>
    </row>
    <row r="82" spans="1:69" ht="12" customHeight="1" x14ac:dyDescent="0.25">
      <c r="A82" s="227" t="s">
        <v>10309</v>
      </c>
      <c r="B82" s="201"/>
      <c r="C82" s="24">
        <f>SUM(E82:AW82)+0.000001</f>
        <v>9.9999999999999995E-7</v>
      </c>
      <c r="D82" s="323">
        <v>32</v>
      </c>
      <c r="E82" s="646"/>
      <c r="F82" s="646"/>
      <c r="G82" s="646"/>
      <c r="H82" s="646"/>
      <c r="I82" s="646"/>
      <c r="J82" s="646"/>
      <c r="K82" s="646"/>
      <c r="L82" s="646"/>
      <c r="M82" s="646"/>
      <c r="N82" s="646"/>
      <c r="O82" s="646"/>
      <c r="P82" s="646"/>
      <c r="Q82" s="646"/>
      <c r="R82" s="646"/>
      <c r="S82" s="646"/>
      <c r="T82" s="646"/>
      <c r="U82" s="646"/>
      <c r="V82" s="646"/>
      <c r="W82" s="646"/>
      <c r="X82" s="646"/>
      <c r="Y82" s="646"/>
      <c r="Z82" s="646"/>
      <c r="AA82" s="646"/>
      <c r="AB82" s="646"/>
      <c r="AC82" s="646"/>
      <c r="AD82" s="646"/>
      <c r="AE82" s="646"/>
      <c r="AF82" s="646"/>
      <c r="AG82" s="646"/>
      <c r="AH82" s="646"/>
      <c r="AI82" s="646"/>
      <c r="AJ82" s="646"/>
      <c r="AK82" s="646"/>
      <c r="AL82" s="646"/>
      <c r="AM82" s="646"/>
      <c r="AN82" s="646"/>
      <c r="AO82" s="646"/>
      <c r="AP82" s="646"/>
      <c r="AQ82" s="646"/>
      <c r="AR82" s="646"/>
      <c r="AS82" s="646"/>
      <c r="AT82" s="646"/>
      <c r="AU82" s="646"/>
      <c r="AV82" s="646"/>
      <c r="AW82" s="193"/>
      <c r="AX82" s="469"/>
      <c r="AY82" s="1559"/>
      <c r="AZ82" s="1560"/>
      <c r="BA82" s="206">
        <v>1</v>
      </c>
      <c r="BB82" s="204"/>
      <c r="BC82" s="204"/>
      <c r="BD82" s="752" t="s">
        <v>10315</v>
      </c>
      <c r="BE82" s="753">
        <v>17.760000000000002</v>
      </c>
      <c r="BF82" s="215">
        <v>50</v>
      </c>
      <c r="BG82" s="549" t="s">
        <v>1052</v>
      </c>
      <c r="BH82" s="550">
        <f>BE97</f>
        <v>81.28</v>
      </c>
      <c r="BI82" s="551">
        <v>160</v>
      </c>
      <c r="BJ82" s="547">
        <v>3</v>
      </c>
      <c r="BK82" s="512" t="s">
        <v>10101</v>
      </c>
      <c r="BL82" s="512"/>
      <c r="BO82" s="752" t="s">
        <v>10119</v>
      </c>
      <c r="BP82" s="753">
        <v>89.56</v>
      </c>
      <c r="BQ82" s="215">
        <v>50</v>
      </c>
    </row>
    <row r="83" spans="1:69" ht="12" customHeight="1" x14ac:dyDescent="0.25">
      <c r="A83" s="35" t="s">
        <v>298</v>
      </c>
      <c r="B83" s="201"/>
      <c r="C83" s="16">
        <f>C97</f>
        <v>0</v>
      </c>
      <c r="D83" s="129"/>
      <c r="E83" s="1013"/>
      <c r="F83" s="1014"/>
      <c r="G83" s="1014"/>
      <c r="H83" s="1014"/>
      <c r="I83" s="1014"/>
      <c r="J83" s="1014"/>
      <c r="K83" s="1014"/>
      <c r="L83" s="1014"/>
      <c r="M83" s="1014"/>
      <c r="N83" s="1014"/>
      <c r="O83" s="1014"/>
      <c r="P83" s="1014"/>
      <c r="Q83" s="1014"/>
      <c r="R83" s="1014"/>
      <c r="S83" s="1014"/>
      <c r="T83" s="1014"/>
      <c r="U83" s="1014"/>
      <c r="V83" s="1014"/>
      <c r="W83" s="1014"/>
      <c r="X83" s="1014"/>
      <c r="Y83" s="1014"/>
      <c r="Z83" s="1014"/>
      <c r="AA83" s="1014"/>
      <c r="AB83" s="1014"/>
      <c r="AC83" s="1014"/>
      <c r="AD83" s="1014"/>
      <c r="AE83" s="1014"/>
      <c r="AF83" s="1014"/>
      <c r="AG83" s="1014"/>
      <c r="AH83" s="1014"/>
      <c r="AI83" s="1014"/>
      <c r="AJ83" s="1014"/>
      <c r="AK83" s="1014"/>
      <c r="AL83" s="1014"/>
      <c r="AM83" s="1014"/>
      <c r="AN83" s="1014"/>
      <c r="AO83" s="1014"/>
      <c r="AP83" s="1014"/>
      <c r="AQ83" s="1014"/>
      <c r="AR83" s="1014"/>
      <c r="AS83" s="1014"/>
      <c r="AT83" s="1014"/>
      <c r="AU83" s="1014"/>
      <c r="AV83" s="1014"/>
      <c r="AW83" s="1201"/>
      <c r="AX83" s="469"/>
      <c r="AY83" s="217">
        <v>500</v>
      </c>
      <c r="AZ83" s="211">
        <v>2</v>
      </c>
      <c r="BA83" s="206">
        <v>2</v>
      </c>
      <c r="BB83" s="204"/>
      <c r="BC83" s="204"/>
      <c r="BD83" s="752" t="s">
        <v>10178</v>
      </c>
      <c r="BE83" s="753">
        <v>11.59</v>
      </c>
      <c r="BF83" s="215">
        <v>43</v>
      </c>
      <c r="BG83" s="549" t="s">
        <v>1052</v>
      </c>
      <c r="BH83" s="550">
        <f>BE99</f>
        <v>0</v>
      </c>
      <c r="BI83" s="551">
        <v>160</v>
      </c>
      <c r="BJ83" s="547">
        <v>4</v>
      </c>
      <c r="BK83" s="512" t="s">
        <v>10102</v>
      </c>
      <c r="BL83" s="512"/>
      <c r="BO83" s="752" t="s">
        <v>10306</v>
      </c>
      <c r="BP83" s="753">
        <v>53.42</v>
      </c>
      <c r="BQ83" s="215">
        <v>50</v>
      </c>
    </row>
    <row r="84" spans="1:69" ht="12" customHeight="1" x14ac:dyDescent="0.25">
      <c r="A84" s="227" t="s">
        <v>1056</v>
      </c>
      <c r="B84" s="201"/>
      <c r="C84" s="16">
        <f t="shared" si="11"/>
        <v>0</v>
      </c>
      <c r="D84" s="762" t="s">
        <v>10319</v>
      </c>
      <c r="E84" s="187"/>
      <c r="F84" s="187"/>
      <c r="G84" s="187"/>
      <c r="H84" s="187"/>
      <c r="I84" s="187"/>
      <c r="J84" s="187"/>
      <c r="K84" s="187"/>
      <c r="L84" s="187"/>
      <c r="M84" s="187"/>
      <c r="N84" s="187"/>
      <c r="O84" s="187"/>
      <c r="P84" s="187"/>
      <c r="Q84" s="187"/>
      <c r="R84" s="187"/>
      <c r="S84" s="187"/>
      <c r="T84" s="187"/>
      <c r="U84" s="187"/>
      <c r="V84" s="187"/>
      <c r="W84" s="187"/>
      <c r="X84" s="187"/>
      <c r="Y84" s="187"/>
      <c r="Z84" s="187"/>
      <c r="AA84" s="187"/>
      <c r="AB84" s="187"/>
      <c r="AC84" s="187"/>
      <c r="AD84" s="187"/>
      <c r="AE84" s="187"/>
      <c r="AF84" s="187"/>
      <c r="AG84" s="187"/>
      <c r="AH84" s="187"/>
      <c r="AI84" s="187"/>
      <c r="AJ84" s="187"/>
      <c r="AK84" s="187"/>
      <c r="AL84" s="187"/>
      <c r="AM84" s="187"/>
      <c r="AN84" s="187"/>
      <c r="AO84" s="187"/>
      <c r="AP84" s="187"/>
      <c r="AQ84" s="187"/>
      <c r="AR84" s="187"/>
      <c r="AS84" s="187"/>
      <c r="AT84" s="187"/>
      <c r="AU84" s="187"/>
      <c r="AV84" s="187"/>
      <c r="AW84" s="187"/>
      <c r="AX84" s="469"/>
      <c r="AY84" s="1462"/>
      <c r="AZ84" s="1463"/>
      <c r="BA84" s="206">
        <v>3</v>
      </c>
      <c r="BB84" s="204"/>
      <c r="BC84" s="204"/>
      <c r="BD84" s="752" t="s">
        <v>10316</v>
      </c>
      <c r="BE84" s="753">
        <v>15.26</v>
      </c>
      <c r="BF84" s="215">
        <v>43</v>
      </c>
      <c r="BG84" s="549" t="s">
        <v>1055</v>
      </c>
      <c r="BH84" s="550">
        <f>BE100</f>
        <v>0.85</v>
      </c>
      <c r="BI84" s="551">
        <v>240</v>
      </c>
      <c r="BJ84" s="547">
        <v>5</v>
      </c>
      <c r="BK84" s="512" t="s">
        <v>10103</v>
      </c>
      <c r="BL84" s="512"/>
      <c r="BO84" s="752" t="s">
        <v>10307</v>
      </c>
      <c r="BP84" s="753">
        <v>66.77</v>
      </c>
      <c r="BQ84" s="215">
        <v>50</v>
      </c>
    </row>
    <row r="85" spans="1:69" ht="12" customHeight="1" x14ac:dyDescent="0.25">
      <c r="A85" s="227" t="s">
        <v>1055</v>
      </c>
      <c r="B85" s="201"/>
      <c r="C85" s="24">
        <f>SUM(E85:AW85)*2</f>
        <v>0</v>
      </c>
      <c r="D85" s="762" t="s">
        <v>10320</v>
      </c>
      <c r="E85" s="645"/>
      <c r="F85" s="645"/>
      <c r="G85" s="645"/>
      <c r="H85" s="645"/>
      <c r="I85" s="645"/>
      <c r="J85" s="645"/>
      <c r="K85" s="645"/>
      <c r="L85" s="645"/>
      <c r="M85" s="645"/>
      <c r="N85" s="645"/>
      <c r="O85" s="645"/>
      <c r="P85" s="645"/>
      <c r="Q85" s="645"/>
      <c r="R85" s="645"/>
      <c r="S85" s="645"/>
      <c r="T85" s="645"/>
      <c r="U85" s="645"/>
      <c r="V85" s="645"/>
      <c r="W85" s="645"/>
      <c r="X85" s="645"/>
      <c r="Y85" s="645"/>
      <c r="Z85" s="645"/>
      <c r="AA85" s="645"/>
      <c r="AB85" s="645"/>
      <c r="AC85" s="645"/>
      <c r="AD85" s="645"/>
      <c r="AE85" s="645"/>
      <c r="AF85" s="645"/>
      <c r="AG85" s="645"/>
      <c r="AH85" s="645"/>
      <c r="AI85" s="645"/>
      <c r="AJ85" s="645"/>
      <c r="AK85" s="645"/>
      <c r="AL85" s="645"/>
      <c r="AM85" s="645"/>
      <c r="AN85" s="645"/>
      <c r="AO85" s="645"/>
      <c r="AP85" s="645"/>
      <c r="AQ85" s="645"/>
      <c r="AR85" s="645"/>
      <c r="AS85" s="645"/>
      <c r="AT85" s="645"/>
      <c r="AU85" s="645"/>
      <c r="AV85" s="645"/>
      <c r="AW85" s="645"/>
      <c r="AX85" s="469"/>
      <c r="AY85" s="1462"/>
      <c r="AZ85" s="1463"/>
      <c r="BA85" s="206">
        <v>4</v>
      </c>
      <c r="BB85" s="204"/>
      <c r="BC85" s="204"/>
      <c r="BG85" s="552" t="s">
        <v>1056</v>
      </c>
      <c r="BH85" s="553">
        <f>BE101</f>
        <v>1.64</v>
      </c>
      <c r="BI85" s="554">
        <v>160</v>
      </c>
      <c r="BJ85" s="547">
        <v>6</v>
      </c>
      <c r="BK85" s="512" t="s">
        <v>503</v>
      </c>
      <c r="BL85" s="512"/>
      <c r="BO85" s="752" t="s">
        <v>10308</v>
      </c>
      <c r="BP85" s="753">
        <v>71.650000000000006</v>
      </c>
      <c r="BQ85" s="215">
        <v>50</v>
      </c>
    </row>
    <row r="86" spans="1:69" ht="12" customHeight="1" x14ac:dyDescent="0.2">
      <c r="A86" s="227" t="s">
        <v>1056</v>
      </c>
      <c r="B86" s="201"/>
      <c r="C86" s="16">
        <f>C84</f>
        <v>0</v>
      </c>
      <c r="D86" s="762" t="s">
        <v>8927</v>
      </c>
      <c r="E86" s="646"/>
      <c r="F86" s="646"/>
      <c r="G86" s="646"/>
      <c r="H86" s="646"/>
      <c r="I86" s="646"/>
      <c r="J86" s="646"/>
      <c r="K86" s="646"/>
      <c r="L86" s="646"/>
      <c r="M86" s="646"/>
      <c r="N86" s="646"/>
      <c r="O86" s="646"/>
      <c r="P86" s="646"/>
      <c r="Q86" s="646"/>
      <c r="R86" s="646"/>
      <c r="S86" s="646"/>
      <c r="T86" s="646"/>
      <c r="U86" s="646"/>
      <c r="V86" s="646"/>
      <c r="W86" s="646"/>
      <c r="X86" s="646"/>
      <c r="Y86" s="646"/>
      <c r="Z86" s="646"/>
      <c r="AA86" s="646"/>
      <c r="AB86" s="646"/>
      <c r="AC86" s="646"/>
      <c r="AD86" s="646"/>
      <c r="AE86" s="646"/>
      <c r="AF86" s="646"/>
      <c r="AG86" s="646"/>
      <c r="AH86" s="646"/>
      <c r="AI86" s="646"/>
      <c r="AJ86" s="646"/>
      <c r="AK86" s="646"/>
      <c r="AL86" s="646"/>
      <c r="AM86" s="646"/>
      <c r="AN86" s="646"/>
      <c r="AO86" s="646"/>
      <c r="AP86" s="646"/>
      <c r="AQ86" s="646"/>
      <c r="AR86" s="646"/>
      <c r="AS86" s="646"/>
      <c r="AT86" s="646"/>
      <c r="AU86" s="646"/>
      <c r="AV86" s="646"/>
      <c r="AW86" s="646"/>
      <c r="AX86" s="469"/>
      <c r="AY86" s="1462"/>
      <c r="AZ86" s="1463"/>
      <c r="BA86" s="206">
        <v>5</v>
      </c>
      <c r="BB86" s="204"/>
      <c r="BC86" s="204"/>
      <c r="BD86" s="194" t="s">
        <v>10135</v>
      </c>
      <c r="BE86" s="195"/>
      <c r="BF86" s="195"/>
      <c r="BG86" s="548" t="s">
        <v>8382</v>
      </c>
      <c r="BH86" s="195" t="s">
        <v>10136</v>
      </c>
      <c r="BI86" s="196"/>
      <c r="BJ86" s="547">
        <v>7</v>
      </c>
      <c r="BK86" s="512" t="s">
        <v>10104</v>
      </c>
      <c r="BL86" s="512"/>
      <c r="BO86" s="752" t="s">
        <v>10309</v>
      </c>
      <c r="BP86" s="753">
        <v>89.56</v>
      </c>
      <c r="BQ86" s="215">
        <v>50</v>
      </c>
    </row>
    <row r="87" spans="1:69" ht="12" customHeight="1" x14ac:dyDescent="0.25">
      <c r="A87" s="227" t="s">
        <v>1059</v>
      </c>
      <c r="B87" s="201"/>
      <c r="C87" s="16">
        <f>SUM(E87:AW87)*2</f>
        <v>0</v>
      </c>
      <c r="D87" s="762" t="s">
        <v>10318</v>
      </c>
      <c r="E87" s="187"/>
      <c r="F87" s="187"/>
      <c r="G87" s="187"/>
      <c r="H87" s="187"/>
      <c r="I87" s="187"/>
      <c r="J87" s="187"/>
      <c r="K87" s="187"/>
      <c r="L87" s="187"/>
      <c r="M87" s="187"/>
      <c r="N87" s="187"/>
      <c r="O87" s="187"/>
      <c r="P87" s="187"/>
      <c r="Q87" s="187"/>
      <c r="R87" s="187"/>
      <c r="S87" s="187"/>
      <c r="T87" s="187"/>
      <c r="U87" s="187"/>
      <c r="V87" s="187"/>
      <c r="W87" s="187"/>
      <c r="X87" s="187"/>
      <c r="Y87" s="187"/>
      <c r="Z87" s="187"/>
      <c r="AA87" s="187"/>
      <c r="AB87" s="187"/>
      <c r="AC87" s="187"/>
      <c r="AD87" s="187"/>
      <c r="AE87" s="187"/>
      <c r="AF87" s="187"/>
      <c r="AG87" s="187"/>
      <c r="AH87" s="187"/>
      <c r="AI87" s="187"/>
      <c r="AJ87" s="187"/>
      <c r="AK87" s="187"/>
      <c r="AL87" s="187"/>
      <c r="AM87" s="187"/>
      <c r="AN87" s="187"/>
      <c r="AO87" s="187"/>
      <c r="AP87" s="187"/>
      <c r="AQ87" s="187"/>
      <c r="AR87" s="187"/>
      <c r="AS87" s="187"/>
      <c r="AT87" s="187"/>
      <c r="AU87" s="187"/>
      <c r="AV87" s="187"/>
      <c r="AW87" s="187"/>
      <c r="AX87" s="469"/>
      <c r="AY87" s="190" t="s">
        <v>1077</v>
      </c>
      <c r="AZ87" s="191"/>
      <c r="BA87" s="206"/>
      <c r="BB87" s="192"/>
      <c r="BD87" s="754" t="s">
        <v>1050</v>
      </c>
      <c r="BE87" s="753">
        <v>14.14</v>
      </c>
      <c r="BF87" s="755">
        <v>437</v>
      </c>
      <c r="BG87" s="753">
        <v>9.9600000000000009</v>
      </c>
      <c r="BH87" s="1478" t="s">
        <v>10140</v>
      </c>
      <c r="BI87" s="1479"/>
      <c r="BJ87" s="547">
        <v>8</v>
      </c>
      <c r="BK87" s="512" t="s">
        <v>10105</v>
      </c>
      <c r="BL87" s="512"/>
      <c r="BO87" s="752" t="s">
        <v>10310</v>
      </c>
      <c r="BP87" s="753">
        <v>71.650000000000006</v>
      </c>
      <c r="BQ87" s="215">
        <v>50</v>
      </c>
    </row>
    <row r="88" spans="1:69" ht="12" customHeight="1" x14ac:dyDescent="0.25">
      <c r="A88" s="35" t="s">
        <v>1060</v>
      </c>
      <c r="B88" s="201"/>
      <c r="C88" s="16">
        <f>SUM(C80*D88)</f>
        <v>0</v>
      </c>
      <c r="D88" s="200">
        <v>0.01</v>
      </c>
      <c r="E88" s="1514" t="s">
        <v>1221</v>
      </c>
      <c r="F88" s="1515"/>
      <c r="G88" s="1515"/>
      <c r="H88" s="1515"/>
      <c r="I88" s="1516"/>
      <c r="J88" s="323">
        <v>1</v>
      </c>
      <c r="K88" s="1187"/>
      <c r="L88" s="1188"/>
      <c r="M88" s="1188"/>
      <c r="N88" s="1188"/>
      <c r="O88" s="1188"/>
      <c r="P88" s="1188"/>
      <c r="Q88" s="1188"/>
      <c r="R88" s="1188"/>
      <c r="S88" s="1188"/>
      <c r="T88" s="1188"/>
      <c r="U88" s="1188"/>
      <c r="V88" s="1188"/>
      <c r="W88" s="1188"/>
      <c r="X88" s="1188"/>
      <c r="Y88" s="1188"/>
      <c r="Z88" s="1188"/>
      <c r="AA88" s="1188"/>
      <c r="AB88" s="1188"/>
      <c r="AC88" s="1188"/>
      <c r="AD88" s="1188"/>
      <c r="AE88" s="1188"/>
      <c r="AF88" s="1188"/>
      <c r="AG88" s="1188"/>
      <c r="AH88" s="1188"/>
      <c r="AI88" s="1188"/>
      <c r="AJ88" s="1188"/>
      <c r="AK88" s="1188"/>
      <c r="AL88" s="1188"/>
      <c r="AM88" s="1188"/>
      <c r="AN88" s="1188"/>
      <c r="AO88" s="1188"/>
      <c r="AP88" s="1188"/>
      <c r="AQ88" s="1188"/>
      <c r="AR88" s="1188"/>
      <c r="AS88" s="1188"/>
      <c r="AT88" s="1188"/>
      <c r="AU88" s="1188"/>
      <c r="AV88" s="1188"/>
      <c r="AW88" s="1349"/>
      <c r="AX88" s="469"/>
      <c r="AY88" s="217">
        <v>50</v>
      </c>
      <c r="AZ88" s="211">
        <v>1.05</v>
      </c>
      <c r="BA88" s="1472" t="s">
        <v>10300</v>
      </c>
      <c r="BB88" s="1473"/>
      <c r="BC88" s="1474"/>
      <c r="BD88" s="754" t="s">
        <v>1051</v>
      </c>
      <c r="BE88" s="753">
        <v>26.08</v>
      </c>
      <c r="BF88" s="755">
        <v>240</v>
      </c>
      <c r="BG88" s="753">
        <v>18.37</v>
      </c>
      <c r="BH88" s="1467" t="s">
        <v>10137</v>
      </c>
      <c r="BI88" s="1468"/>
      <c r="BJ88" s="547">
        <v>9</v>
      </c>
      <c r="BK88" s="512" t="s">
        <v>10106</v>
      </c>
      <c r="BL88" s="512"/>
      <c r="BO88" s="752" t="s">
        <v>10311</v>
      </c>
      <c r="BP88" s="753">
        <v>89.56</v>
      </c>
      <c r="BQ88" s="215">
        <v>50</v>
      </c>
    </row>
    <row r="89" spans="1:69" ht="12" customHeight="1" x14ac:dyDescent="0.25">
      <c r="A89" s="35" t="s">
        <v>1061</v>
      </c>
      <c r="B89" s="201"/>
      <c r="C89" s="463"/>
      <c r="D89" s="462">
        <v>5</v>
      </c>
      <c r="E89" s="1514" t="s">
        <v>1222</v>
      </c>
      <c r="F89" s="1515"/>
      <c r="G89" s="1515"/>
      <c r="H89" s="1515"/>
      <c r="I89" s="1516"/>
      <c r="J89" s="323">
        <v>1</v>
      </c>
      <c r="K89" s="1382"/>
      <c r="L89" s="1350"/>
      <c r="M89" s="1350"/>
      <c r="N89" s="1350"/>
      <c r="O89" s="1350"/>
      <c r="P89" s="1350"/>
      <c r="Q89" s="1350"/>
      <c r="R89" s="1350"/>
      <c r="S89" s="1350"/>
      <c r="T89" s="1350"/>
      <c r="U89" s="1350"/>
      <c r="V89" s="1350"/>
      <c r="W89" s="1350"/>
      <c r="X89" s="1350"/>
      <c r="Y89" s="1350"/>
      <c r="Z89" s="1350"/>
      <c r="AA89" s="1350"/>
      <c r="AB89" s="1350"/>
      <c r="AC89" s="1350"/>
      <c r="AD89" s="1350"/>
      <c r="AE89" s="1350"/>
      <c r="AF89" s="1350"/>
      <c r="AG89" s="1350"/>
      <c r="AH89" s="1350"/>
      <c r="AI89" s="1350"/>
      <c r="AJ89" s="1350"/>
      <c r="AK89" s="1350"/>
      <c r="AL89" s="1350"/>
      <c r="AM89" s="1350"/>
      <c r="AN89" s="1350"/>
      <c r="AO89" s="1350"/>
      <c r="AP89" s="1350"/>
      <c r="AQ89" s="1350"/>
      <c r="AR89" s="1350"/>
      <c r="AS89" s="1350"/>
      <c r="AT89" s="1350"/>
      <c r="AU89" s="1350"/>
      <c r="AV89" s="1350"/>
      <c r="AW89" s="1351"/>
      <c r="AX89" s="469"/>
      <c r="AY89" s="1445"/>
      <c r="AZ89" s="1446"/>
      <c r="BA89" s="1475"/>
      <c r="BB89" s="1476"/>
      <c r="BC89" s="1477"/>
      <c r="BD89" s="754" t="s">
        <v>1052</v>
      </c>
      <c r="BE89" s="753">
        <v>40.98</v>
      </c>
      <c r="BF89" s="755">
        <v>160</v>
      </c>
      <c r="BG89" s="753">
        <v>28.86</v>
      </c>
      <c r="BH89" s="1467" t="s">
        <v>10138</v>
      </c>
      <c r="BI89" s="1468"/>
      <c r="BJ89" s="547">
        <v>10</v>
      </c>
      <c r="BK89" s="512" t="s">
        <v>10107</v>
      </c>
      <c r="BL89" s="512"/>
      <c r="BO89" s="752" t="s">
        <v>10131</v>
      </c>
      <c r="BP89" s="753">
        <v>53.42</v>
      </c>
      <c r="BQ89" s="215">
        <v>50</v>
      </c>
    </row>
    <row r="90" spans="1:69" ht="12" customHeight="1" x14ac:dyDescent="0.25">
      <c r="A90" s="728" t="s">
        <v>1063</v>
      </c>
      <c r="B90" s="201"/>
      <c r="C90" s="16">
        <f>SUM(C91:C92)</f>
        <v>0</v>
      </c>
      <c r="D90" s="758">
        <f>SUM(C94:C100)</f>
        <v>0</v>
      </c>
      <c r="E90" s="1514" t="s">
        <v>1223</v>
      </c>
      <c r="F90" s="1515"/>
      <c r="G90" s="1515"/>
      <c r="H90" s="1515"/>
      <c r="I90" s="1516"/>
      <c r="J90" s="323">
        <v>1</v>
      </c>
      <c r="K90" s="1383"/>
      <c r="L90" s="1352"/>
      <c r="M90" s="1352"/>
      <c r="N90" s="1352"/>
      <c r="O90" s="1352"/>
      <c r="P90" s="1352"/>
      <c r="Q90" s="1352"/>
      <c r="R90" s="1352"/>
      <c r="S90" s="1352"/>
      <c r="T90" s="1352"/>
      <c r="U90" s="1352"/>
      <c r="V90" s="1352"/>
      <c r="W90" s="1352"/>
      <c r="X90" s="1352"/>
      <c r="Y90" s="1352"/>
      <c r="Z90" s="1352"/>
      <c r="AA90" s="1352"/>
      <c r="AB90" s="1352"/>
      <c r="AC90" s="1352"/>
      <c r="AD90" s="1352"/>
      <c r="AE90" s="1352"/>
      <c r="AF90" s="1352"/>
      <c r="AG90" s="1352"/>
      <c r="AH90" s="1352"/>
      <c r="AI90" s="1352"/>
      <c r="AJ90" s="1352"/>
      <c r="AK90" s="1352"/>
      <c r="AL90" s="1352"/>
      <c r="AM90" s="1352"/>
      <c r="AN90" s="1352"/>
      <c r="AO90" s="1352"/>
      <c r="AP90" s="1352"/>
      <c r="AQ90" s="1352"/>
      <c r="AR90" s="1352"/>
      <c r="AS90" s="1352"/>
      <c r="AT90" s="1352"/>
      <c r="AU90" s="1352"/>
      <c r="AV90" s="1352"/>
      <c r="AW90" s="1353"/>
      <c r="AX90" s="469"/>
      <c r="AY90" s="217">
        <v>100</v>
      </c>
      <c r="AZ90" s="211">
        <v>0.38</v>
      </c>
      <c r="BA90" s="1475"/>
      <c r="BB90" s="1476"/>
      <c r="BC90" s="1477"/>
      <c r="BD90" s="754" t="s">
        <v>1053</v>
      </c>
      <c r="BE90" s="753">
        <v>54</v>
      </c>
      <c r="BF90" s="755">
        <v>120</v>
      </c>
      <c r="BG90" s="753">
        <v>38.020000000000003</v>
      </c>
      <c r="BH90" s="1467" t="s">
        <v>10139</v>
      </c>
      <c r="BI90" s="1468"/>
      <c r="BJ90" s="547">
        <v>11</v>
      </c>
      <c r="BK90" s="512" t="s">
        <v>10108</v>
      </c>
      <c r="BL90" s="512"/>
      <c r="BO90" s="752" t="s">
        <v>10312</v>
      </c>
      <c r="BP90" s="753">
        <v>66.77</v>
      </c>
      <c r="BQ90" s="215">
        <v>50</v>
      </c>
    </row>
    <row r="91" spans="1:69" ht="12" customHeight="1" x14ac:dyDescent="0.25">
      <c r="A91" s="227" t="s">
        <v>1055</v>
      </c>
      <c r="B91" s="201"/>
      <c r="C91" s="24">
        <f>SUM(E91:AW91)</f>
        <v>0</v>
      </c>
      <c r="D91" s="762" t="s">
        <v>9484</v>
      </c>
      <c r="E91" s="187"/>
      <c r="F91" s="187"/>
      <c r="G91" s="187"/>
      <c r="H91" s="187"/>
      <c r="I91" s="187"/>
      <c r="J91" s="187"/>
      <c r="K91" s="187"/>
      <c r="L91" s="187"/>
      <c r="M91" s="187"/>
      <c r="N91" s="187"/>
      <c r="O91" s="187"/>
      <c r="P91" s="187"/>
      <c r="Q91" s="187"/>
      <c r="R91" s="187"/>
      <c r="S91" s="187"/>
      <c r="T91" s="187"/>
      <c r="U91" s="187"/>
      <c r="V91" s="187"/>
      <c r="W91" s="187"/>
      <c r="X91" s="187"/>
      <c r="Y91" s="187"/>
      <c r="Z91" s="187"/>
      <c r="AA91" s="187"/>
      <c r="AB91" s="187"/>
      <c r="AC91" s="187"/>
      <c r="AD91" s="187"/>
      <c r="AE91" s="187"/>
      <c r="AF91" s="187"/>
      <c r="AG91" s="187"/>
      <c r="AH91" s="187"/>
      <c r="AI91" s="187"/>
      <c r="AJ91" s="187"/>
      <c r="AK91" s="187"/>
      <c r="AL91" s="187"/>
      <c r="AM91" s="187"/>
      <c r="AN91" s="187"/>
      <c r="AO91" s="187"/>
      <c r="AP91" s="187"/>
      <c r="AQ91" s="187"/>
      <c r="AR91" s="187"/>
      <c r="AS91" s="187"/>
      <c r="AT91" s="187"/>
      <c r="AU91" s="187"/>
      <c r="AV91" s="187"/>
      <c r="AW91" s="197"/>
      <c r="AX91" s="469"/>
      <c r="AY91" s="1445"/>
      <c r="AZ91" s="1446"/>
      <c r="BA91" s="1475"/>
      <c r="BB91" s="1476"/>
      <c r="BC91" s="1477"/>
      <c r="BD91" s="754" t="s">
        <v>1054</v>
      </c>
      <c r="BE91" s="753">
        <v>83.8</v>
      </c>
      <c r="BF91" s="755">
        <v>80</v>
      </c>
      <c r="BG91" s="753">
        <v>51.09</v>
      </c>
      <c r="BH91" s="1467" t="s">
        <v>10139</v>
      </c>
      <c r="BI91" s="1468"/>
      <c r="BJ91" s="547">
        <v>12</v>
      </c>
      <c r="BK91" s="512" t="s">
        <v>10109</v>
      </c>
      <c r="BL91" s="512"/>
      <c r="BO91" s="752" t="s">
        <v>10132</v>
      </c>
      <c r="BP91" s="753">
        <v>71.650000000000006</v>
      </c>
      <c r="BQ91" s="215">
        <v>50</v>
      </c>
    </row>
    <row r="92" spans="1:69" ht="12" customHeight="1" x14ac:dyDescent="0.25">
      <c r="A92" s="227" t="s">
        <v>1056</v>
      </c>
      <c r="B92" s="201"/>
      <c r="C92" s="16">
        <f>SUM(E92:AW92)*2</f>
        <v>0</v>
      </c>
      <c r="D92" s="762" t="s">
        <v>8792</v>
      </c>
      <c r="E92" s="645"/>
      <c r="F92" s="645"/>
      <c r="G92" s="645"/>
      <c r="H92" s="645"/>
      <c r="I92" s="645"/>
      <c r="J92" s="645"/>
      <c r="K92" s="645"/>
      <c r="L92" s="645"/>
      <c r="M92" s="645"/>
      <c r="N92" s="645"/>
      <c r="O92" s="645"/>
      <c r="P92" s="645"/>
      <c r="Q92" s="645"/>
      <c r="R92" s="645"/>
      <c r="S92" s="645"/>
      <c r="T92" s="645"/>
      <c r="U92" s="645"/>
      <c r="V92" s="645"/>
      <c r="W92" s="645"/>
      <c r="X92" s="645"/>
      <c r="Y92" s="645"/>
      <c r="Z92" s="645"/>
      <c r="AA92" s="645"/>
      <c r="AB92" s="645"/>
      <c r="AC92" s="645"/>
      <c r="AD92" s="645"/>
      <c r="AE92" s="645"/>
      <c r="AF92" s="645"/>
      <c r="AG92" s="645"/>
      <c r="AH92" s="645"/>
      <c r="AI92" s="645"/>
      <c r="AJ92" s="645"/>
      <c r="AK92" s="645"/>
      <c r="AL92" s="645"/>
      <c r="AM92" s="645"/>
      <c r="AN92" s="645"/>
      <c r="AO92" s="645"/>
      <c r="AP92" s="645"/>
      <c r="AQ92" s="645"/>
      <c r="AR92" s="645"/>
      <c r="AS92" s="645"/>
      <c r="AT92" s="645"/>
      <c r="AU92" s="645"/>
      <c r="AV92" s="645"/>
      <c r="AW92" s="31"/>
      <c r="AX92" s="469"/>
      <c r="AY92" s="1445"/>
      <c r="AZ92" s="1446"/>
      <c r="BA92" s="1475"/>
      <c r="BB92" s="1476"/>
      <c r="BC92" s="1477"/>
      <c r="BD92" s="754" t="s">
        <v>10141</v>
      </c>
      <c r="BE92" s="753">
        <v>13.71</v>
      </c>
      <c r="BF92" s="755">
        <v>240</v>
      </c>
      <c r="BG92" s="753">
        <v>9.9600000000000009</v>
      </c>
      <c r="BH92" s="729">
        <v>1</v>
      </c>
      <c r="BI92" s="730"/>
      <c r="BJ92" s="547">
        <v>13</v>
      </c>
      <c r="BK92" s="512" t="s">
        <v>10110</v>
      </c>
      <c r="BL92" s="512"/>
      <c r="BO92" s="752" t="s">
        <v>10130</v>
      </c>
      <c r="BP92" s="753">
        <v>89.56</v>
      </c>
      <c r="BQ92" s="215">
        <v>50</v>
      </c>
    </row>
    <row r="93" spans="1:69" ht="12" customHeight="1" x14ac:dyDescent="0.25">
      <c r="A93" s="227" t="s">
        <v>10141</v>
      </c>
      <c r="B93" s="201"/>
      <c r="C93" s="24">
        <f>D82/C82*(48/D94)</f>
        <v>85333333.333333328</v>
      </c>
      <c r="D93" s="762" t="s">
        <v>10321</v>
      </c>
      <c r="E93" s="645"/>
      <c r="F93" s="645"/>
      <c r="G93" s="645"/>
      <c r="H93" s="645"/>
      <c r="I93" s="645"/>
      <c r="J93" s="645"/>
      <c r="K93" s="645"/>
      <c r="L93" s="645"/>
      <c r="M93" s="645"/>
      <c r="N93" s="645"/>
      <c r="O93" s="645"/>
      <c r="P93" s="645"/>
      <c r="Q93" s="645"/>
      <c r="R93" s="645"/>
      <c r="S93" s="645"/>
      <c r="T93" s="645"/>
      <c r="U93" s="645"/>
      <c r="V93" s="645"/>
      <c r="W93" s="645"/>
      <c r="X93" s="645"/>
      <c r="Y93" s="645"/>
      <c r="Z93" s="645"/>
      <c r="AA93" s="645"/>
      <c r="AB93" s="645"/>
      <c r="AC93" s="645"/>
      <c r="AD93" s="645"/>
      <c r="AE93" s="645"/>
      <c r="AF93" s="645"/>
      <c r="AG93" s="645"/>
      <c r="AH93" s="645"/>
      <c r="AI93" s="645"/>
      <c r="AJ93" s="645"/>
      <c r="AK93" s="645"/>
      <c r="AL93" s="645"/>
      <c r="AM93" s="645"/>
      <c r="AN93" s="645"/>
      <c r="AO93" s="645"/>
      <c r="AP93" s="645"/>
      <c r="AQ93" s="645"/>
      <c r="AR93" s="645"/>
      <c r="AS93" s="645"/>
      <c r="AT93" s="645"/>
      <c r="AU93" s="645"/>
      <c r="AV93" s="645"/>
      <c r="AW93" s="31"/>
      <c r="AX93" s="469"/>
      <c r="AY93" s="217"/>
      <c r="AZ93" s="217"/>
      <c r="BA93" s="1475"/>
      <c r="BB93" s="1476"/>
      <c r="BC93" s="1477"/>
      <c r="BD93" s="754" t="s">
        <v>1055</v>
      </c>
      <c r="BE93" s="753">
        <v>25.29</v>
      </c>
      <c r="BF93" s="755">
        <v>240</v>
      </c>
      <c r="BG93" s="753">
        <v>18.37</v>
      </c>
      <c r="BH93" s="729" t="s">
        <v>10139</v>
      </c>
      <c r="BI93" s="730"/>
      <c r="BJ93" s="547">
        <v>13</v>
      </c>
      <c r="BK93" s="512" t="s">
        <v>10110</v>
      </c>
      <c r="BL93" s="512"/>
      <c r="BO93" s="752" t="s">
        <v>10130</v>
      </c>
      <c r="BP93" s="753">
        <v>89.56</v>
      </c>
      <c r="BQ93" s="215">
        <v>50</v>
      </c>
    </row>
    <row r="94" spans="1:69" ht="12" customHeight="1" x14ac:dyDescent="0.25">
      <c r="A94" s="35" t="s">
        <v>304</v>
      </c>
      <c r="B94" s="201"/>
      <c r="C94" s="16">
        <f>C84*2+C86+C87</f>
        <v>0</v>
      </c>
      <c r="D94" s="323">
        <v>18</v>
      </c>
      <c r="E94" s="646"/>
      <c r="F94" s="646"/>
      <c r="G94" s="646"/>
      <c r="H94" s="646"/>
      <c r="I94" s="646"/>
      <c r="J94" s="646"/>
      <c r="K94" s="646"/>
      <c r="L94" s="646"/>
      <c r="M94" s="646"/>
      <c r="N94" s="646"/>
      <c r="O94" s="646"/>
      <c r="P94" s="646"/>
      <c r="Q94" s="646"/>
      <c r="R94" s="646"/>
      <c r="S94" s="646"/>
      <c r="T94" s="646"/>
      <c r="U94" s="646"/>
      <c r="V94" s="646"/>
      <c r="W94" s="646"/>
      <c r="X94" s="646"/>
      <c r="Y94" s="646"/>
      <c r="Z94" s="646"/>
      <c r="AA94" s="646"/>
      <c r="AB94" s="646"/>
      <c r="AC94" s="646"/>
      <c r="AD94" s="646"/>
      <c r="AE94" s="646"/>
      <c r="AF94" s="646"/>
      <c r="AG94" s="646"/>
      <c r="AH94" s="646"/>
      <c r="AI94" s="646"/>
      <c r="AJ94" s="646"/>
      <c r="AK94" s="646"/>
      <c r="AL94" s="646"/>
      <c r="AM94" s="646"/>
      <c r="AN94" s="646"/>
      <c r="AO94" s="646"/>
      <c r="AP94" s="646"/>
      <c r="AQ94" s="646"/>
      <c r="AR94" s="646"/>
      <c r="AS94" s="646"/>
      <c r="AT94" s="646"/>
      <c r="AU94" s="646"/>
      <c r="AV94" s="646"/>
      <c r="AW94" s="209">
        <f>C87*2</f>
        <v>0</v>
      </c>
      <c r="AX94" s="469"/>
      <c r="AY94" s="217">
        <v>24</v>
      </c>
      <c r="AZ94" s="211">
        <v>11.3</v>
      </c>
      <c r="BA94" s="1475"/>
      <c r="BB94" s="1476"/>
      <c r="BC94" s="1477"/>
      <c r="BD94" s="754" t="s">
        <v>1056</v>
      </c>
      <c r="BE94" s="753">
        <v>39.74</v>
      </c>
      <c r="BF94" s="755">
        <v>160</v>
      </c>
      <c r="BG94" s="753">
        <v>28.86</v>
      </c>
      <c r="BH94" s="729" t="s">
        <v>10139</v>
      </c>
      <c r="BI94" s="730"/>
      <c r="BJ94" s="547">
        <v>14</v>
      </c>
      <c r="BK94" s="512" t="s">
        <v>10111</v>
      </c>
      <c r="BL94" s="512"/>
      <c r="BO94" s="752" t="s">
        <v>10313</v>
      </c>
      <c r="BP94" s="753">
        <v>53.42</v>
      </c>
      <c r="BQ94" s="215">
        <v>50</v>
      </c>
    </row>
    <row r="95" spans="1:69" ht="12" customHeight="1" x14ac:dyDescent="0.25">
      <c r="A95" s="35" t="s">
        <v>278</v>
      </c>
      <c r="B95" s="201"/>
      <c r="C95" s="24">
        <f>C86</f>
        <v>0</v>
      </c>
      <c r="D95" s="760"/>
      <c r="E95" s="187"/>
      <c r="F95" s="187"/>
      <c r="G95" s="187"/>
      <c r="H95" s="187"/>
      <c r="I95" s="187"/>
      <c r="J95" s="187"/>
      <c r="K95" s="187"/>
      <c r="L95" s="187"/>
      <c r="M95" s="187"/>
      <c r="N95" s="187"/>
      <c r="O95" s="187"/>
      <c r="P95" s="187"/>
      <c r="Q95" s="187"/>
      <c r="R95" s="187"/>
      <c r="S95" s="187"/>
      <c r="T95" s="187"/>
      <c r="U95" s="187"/>
      <c r="V95" s="187"/>
      <c r="W95" s="187"/>
      <c r="X95" s="187"/>
      <c r="Y95" s="187"/>
      <c r="Z95" s="187"/>
      <c r="AA95" s="187"/>
      <c r="AB95" s="187"/>
      <c r="AC95" s="187"/>
      <c r="AD95" s="187"/>
      <c r="AE95" s="187"/>
      <c r="AF95" s="187"/>
      <c r="AG95" s="187"/>
      <c r="AH95" s="187"/>
      <c r="AI95" s="187"/>
      <c r="AJ95" s="187"/>
      <c r="AK95" s="187"/>
      <c r="AL95" s="187"/>
      <c r="AM95" s="187"/>
      <c r="AN95" s="187"/>
      <c r="AO95" s="187"/>
      <c r="AP95" s="187"/>
      <c r="AQ95" s="187"/>
      <c r="AR95" s="187"/>
      <c r="AS95" s="187"/>
      <c r="AT95" s="187"/>
      <c r="AU95" s="187"/>
      <c r="AV95" s="187"/>
      <c r="AW95" s="32"/>
      <c r="AX95" s="469"/>
      <c r="AY95" s="217">
        <v>24</v>
      </c>
      <c r="AZ95" s="211">
        <v>11.3</v>
      </c>
      <c r="BA95" s="1475"/>
      <c r="BB95" s="1476"/>
      <c r="BC95" s="1477"/>
      <c r="BD95" s="754" t="s">
        <v>1057</v>
      </c>
      <c r="BE95" s="753">
        <v>52.73</v>
      </c>
      <c r="BF95" s="755">
        <v>120</v>
      </c>
      <c r="BG95" s="753">
        <v>38.020000000000003</v>
      </c>
      <c r="BH95" s="729" t="s">
        <v>10143</v>
      </c>
      <c r="BI95" s="730"/>
      <c r="BJ95" s="547">
        <v>15</v>
      </c>
      <c r="BK95" s="512" t="s">
        <v>10112</v>
      </c>
      <c r="BL95" s="512"/>
      <c r="BO95" s="752" t="s">
        <v>10314</v>
      </c>
      <c r="BP95" s="753">
        <v>66.77</v>
      </c>
      <c r="BQ95" s="215">
        <v>50</v>
      </c>
    </row>
    <row r="96" spans="1:69" ht="12" customHeight="1" x14ac:dyDescent="0.25">
      <c r="B96" s="201"/>
      <c r="D96" s="760"/>
      <c r="E96" s="235">
        <f>E1</f>
        <v>1</v>
      </c>
      <c r="F96" s="235">
        <f t="shared" ref="F96:AT96" si="12">F1</f>
        <v>2</v>
      </c>
      <c r="G96" s="235">
        <f t="shared" si="12"/>
        <v>3</v>
      </c>
      <c r="H96" s="235">
        <f t="shared" si="12"/>
        <v>4</v>
      </c>
      <c r="I96" s="235">
        <f t="shared" si="12"/>
        <v>5</v>
      </c>
      <c r="J96" s="235">
        <f t="shared" si="12"/>
        <v>6</v>
      </c>
      <c r="K96" s="235">
        <f t="shared" si="12"/>
        <v>7</v>
      </c>
      <c r="L96" s="235">
        <f t="shared" si="12"/>
        <v>8</v>
      </c>
      <c r="M96" s="235">
        <f t="shared" si="12"/>
        <v>9</v>
      </c>
      <c r="N96" s="235">
        <f t="shared" si="12"/>
        <v>10</v>
      </c>
      <c r="O96" s="235">
        <f t="shared" si="12"/>
        <v>11</v>
      </c>
      <c r="P96" s="235">
        <f t="shared" si="12"/>
        <v>12</v>
      </c>
      <c r="Q96" s="235">
        <f t="shared" si="12"/>
        <v>13</v>
      </c>
      <c r="R96" s="235">
        <f t="shared" si="12"/>
        <v>14</v>
      </c>
      <c r="S96" s="235">
        <f t="shared" ref="S96" si="13">S1</f>
        <v>15</v>
      </c>
      <c r="T96" s="235">
        <f t="shared" si="12"/>
        <v>16</v>
      </c>
      <c r="U96" s="235">
        <f t="shared" ref="U96:AE96" si="14">U1</f>
        <v>17</v>
      </c>
      <c r="V96" s="235">
        <f t="shared" si="14"/>
        <v>18</v>
      </c>
      <c r="W96" s="235">
        <f t="shared" si="14"/>
        <v>19</v>
      </c>
      <c r="X96" s="235">
        <f t="shared" si="14"/>
        <v>20</v>
      </c>
      <c r="Y96" s="235">
        <f t="shared" si="14"/>
        <v>21</v>
      </c>
      <c r="Z96" s="235">
        <f t="shared" si="14"/>
        <v>22</v>
      </c>
      <c r="AA96" s="235">
        <f t="shared" si="14"/>
        <v>23</v>
      </c>
      <c r="AB96" s="235">
        <f t="shared" si="14"/>
        <v>24</v>
      </c>
      <c r="AC96" s="235">
        <f t="shared" si="14"/>
        <v>25</v>
      </c>
      <c r="AD96" s="235">
        <f t="shared" si="14"/>
        <v>26</v>
      </c>
      <c r="AE96" s="235">
        <f t="shared" si="14"/>
        <v>27</v>
      </c>
      <c r="AF96" s="235">
        <f t="shared" si="12"/>
        <v>28</v>
      </c>
      <c r="AG96" s="235">
        <f t="shared" si="12"/>
        <v>29</v>
      </c>
      <c r="AH96" s="235">
        <f t="shared" si="12"/>
        <v>30</v>
      </c>
      <c r="AI96" s="235">
        <f t="shared" si="12"/>
        <v>31</v>
      </c>
      <c r="AJ96" s="235">
        <f t="shared" si="12"/>
        <v>32</v>
      </c>
      <c r="AK96" s="235">
        <f t="shared" si="12"/>
        <v>33</v>
      </c>
      <c r="AL96" s="235">
        <f t="shared" si="12"/>
        <v>34</v>
      </c>
      <c r="AM96" s="235">
        <f t="shared" si="12"/>
        <v>35</v>
      </c>
      <c r="AN96" s="235">
        <f t="shared" si="12"/>
        <v>36</v>
      </c>
      <c r="AO96" s="235">
        <f t="shared" si="12"/>
        <v>37</v>
      </c>
      <c r="AP96" s="235">
        <f t="shared" si="12"/>
        <v>38</v>
      </c>
      <c r="AQ96" s="235">
        <f t="shared" si="12"/>
        <v>39</v>
      </c>
      <c r="AR96" s="235">
        <f t="shared" si="12"/>
        <v>40</v>
      </c>
      <c r="AS96" s="235">
        <f t="shared" si="12"/>
        <v>41</v>
      </c>
      <c r="AT96" s="235">
        <f t="shared" si="12"/>
        <v>42</v>
      </c>
      <c r="AU96" s="1409" t="s">
        <v>1121</v>
      </c>
      <c r="AV96" s="1410"/>
      <c r="AW96" s="1561"/>
      <c r="AX96" s="469"/>
      <c r="AY96" s="217">
        <v>24</v>
      </c>
      <c r="AZ96" s="211">
        <v>11.14</v>
      </c>
      <c r="BA96" s="1475"/>
      <c r="BB96" s="1476"/>
      <c r="BC96" s="1477"/>
      <c r="BD96" s="188" t="s">
        <v>1058</v>
      </c>
      <c r="BE96" s="647" t="s">
        <v>906</v>
      </c>
      <c r="BF96" s="215">
        <v>80</v>
      </c>
      <c r="BG96" s="542" t="s">
        <v>906</v>
      </c>
      <c r="BH96" s="729">
        <v>1</v>
      </c>
      <c r="BI96" s="730"/>
      <c r="BJ96" s="547">
        <v>16</v>
      </c>
      <c r="BK96" s="512" t="s">
        <v>10113</v>
      </c>
      <c r="BL96" s="512"/>
      <c r="BO96" s="35"/>
      <c r="BP96" s="756"/>
      <c r="BQ96" s="215"/>
    </row>
    <row r="97" spans="1:69" ht="12" customHeight="1" x14ac:dyDescent="0.25">
      <c r="A97" s="35" t="s">
        <v>277</v>
      </c>
      <c r="B97" s="201"/>
      <c r="C97" s="16">
        <f>SUM(E97:AW97)</f>
        <v>0</v>
      </c>
      <c r="D97" s="760"/>
      <c r="E97" s="187"/>
      <c r="F97" s="187"/>
      <c r="G97" s="187"/>
      <c r="H97" s="187"/>
      <c r="I97" s="187"/>
      <c r="J97" s="187"/>
      <c r="K97" s="187"/>
      <c r="L97" s="187"/>
      <c r="M97" s="187"/>
      <c r="N97" s="187"/>
      <c r="O97" s="187"/>
      <c r="P97" s="187"/>
      <c r="Q97" s="187"/>
      <c r="R97" s="187"/>
      <c r="S97" s="187"/>
      <c r="T97" s="187"/>
      <c r="U97" s="187"/>
      <c r="V97" s="187"/>
      <c r="W97" s="187"/>
      <c r="X97" s="187"/>
      <c r="Y97" s="187"/>
      <c r="Z97" s="187"/>
      <c r="AA97" s="187"/>
      <c r="AB97" s="187"/>
      <c r="AC97" s="187"/>
      <c r="AD97" s="187"/>
      <c r="AE97" s="187"/>
      <c r="AF97" s="187"/>
      <c r="AG97" s="187"/>
      <c r="AH97" s="187"/>
      <c r="AI97" s="187"/>
      <c r="AJ97" s="187"/>
      <c r="AK97" s="187"/>
      <c r="AL97" s="187"/>
      <c r="AM97" s="187"/>
      <c r="AN97" s="187"/>
      <c r="AO97" s="187"/>
      <c r="AP97" s="187"/>
      <c r="AQ97" s="187"/>
      <c r="AR97" s="187"/>
      <c r="AS97" s="187"/>
      <c r="AT97" s="187"/>
      <c r="AU97" s="187"/>
      <c r="AV97" s="187"/>
      <c r="AW97" s="187"/>
      <c r="AX97" s="469"/>
      <c r="AY97" s="217">
        <v>20</v>
      </c>
      <c r="AZ97" s="211">
        <v>13.12</v>
      </c>
      <c r="BA97" s="1475"/>
      <c r="BB97" s="1476"/>
      <c r="BC97" s="1477"/>
      <c r="BD97" s="754" t="s">
        <v>1059</v>
      </c>
      <c r="BE97" s="753">
        <v>81.28</v>
      </c>
      <c r="BF97" s="755">
        <v>80</v>
      </c>
      <c r="BG97" s="753">
        <v>51.09</v>
      </c>
      <c r="BH97" s="1426" t="s">
        <v>10142</v>
      </c>
      <c r="BI97" s="1427"/>
      <c r="BJ97" s="547">
        <v>17</v>
      </c>
      <c r="BK97" s="512" t="s">
        <v>10114</v>
      </c>
      <c r="BL97" s="512"/>
      <c r="BO97" s="35"/>
      <c r="BP97" s="756"/>
      <c r="BQ97" s="215"/>
    </row>
    <row r="98" spans="1:69" ht="12" customHeight="1" x14ac:dyDescent="0.2">
      <c r="A98" s="35" t="s">
        <v>47</v>
      </c>
      <c r="B98" s="201"/>
      <c r="C98" s="24">
        <f>SUM(E98:AW98)</f>
        <v>0</v>
      </c>
      <c r="D98" s="760"/>
      <c r="E98" s="645"/>
      <c r="F98" s="645"/>
      <c r="G98" s="645"/>
      <c r="H98" s="645"/>
      <c r="I98" s="645"/>
      <c r="J98" s="645"/>
      <c r="K98" s="645"/>
      <c r="L98" s="645"/>
      <c r="M98" s="645"/>
      <c r="N98" s="645"/>
      <c r="O98" s="645"/>
      <c r="P98" s="645"/>
      <c r="Q98" s="645"/>
      <c r="R98" s="645"/>
      <c r="S98" s="645"/>
      <c r="T98" s="645"/>
      <c r="U98" s="645"/>
      <c r="V98" s="645"/>
      <c r="W98" s="645"/>
      <c r="X98" s="645"/>
      <c r="Y98" s="645"/>
      <c r="Z98" s="645"/>
      <c r="AA98" s="645"/>
      <c r="AB98" s="645"/>
      <c r="AC98" s="645"/>
      <c r="AD98" s="645"/>
      <c r="AE98" s="645"/>
      <c r="AF98" s="645"/>
      <c r="AG98" s="645"/>
      <c r="AH98" s="645"/>
      <c r="AI98" s="645"/>
      <c r="AJ98" s="645"/>
      <c r="AK98" s="645"/>
      <c r="AL98" s="645"/>
      <c r="AM98" s="645"/>
      <c r="AN98" s="645"/>
      <c r="AO98" s="645"/>
      <c r="AP98" s="645"/>
      <c r="AQ98" s="645"/>
      <c r="AR98" s="645"/>
      <c r="AS98" s="645"/>
      <c r="AT98" s="645"/>
      <c r="AU98" s="645"/>
      <c r="AV98" s="645"/>
      <c r="AW98" s="645"/>
      <c r="AX98" s="469"/>
      <c r="AY98" s="217">
        <v>20</v>
      </c>
      <c r="AZ98" s="211">
        <v>10.68</v>
      </c>
      <c r="BA98" s="1475"/>
      <c r="BB98" s="1476"/>
      <c r="BC98" s="1477"/>
      <c r="BJ98" s="547">
        <v>18</v>
      </c>
      <c r="BK98" s="512" t="s">
        <v>10115</v>
      </c>
      <c r="BL98" s="512"/>
      <c r="BO98" s="35"/>
      <c r="BP98" s="756"/>
      <c r="BQ98" s="215"/>
    </row>
    <row r="99" spans="1:69" ht="12" customHeight="1" x14ac:dyDescent="0.2">
      <c r="A99" s="35" t="s">
        <v>41</v>
      </c>
      <c r="B99" s="201"/>
      <c r="C99" s="16">
        <f>SUM(E99:AW99)</f>
        <v>0</v>
      </c>
      <c r="D99" s="760"/>
      <c r="E99" s="646"/>
      <c r="F99" s="646"/>
      <c r="G99" s="646"/>
      <c r="H99" s="646"/>
      <c r="I99" s="646"/>
      <c r="J99" s="646"/>
      <c r="K99" s="646"/>
      <c r="L99" s="646"/>
      <c r="M99" s="646"/>
      <c r="N99" s="646"/>
      <c r="O99" s="646"/>
      <c r="P99" s="646"/>
      <c r="Q99" s="646"/>
      <c r="R99" s="646"/>
      <c r="S99" s="646"/>
      <c r="T99" s="646"/>
      <c r="U99" s="646"/>
      <c r="V99" s="646"/>
      <c r="W99" s="646"/>
      <c r="X99" s="646"/>
      <c r="Y99" s="646"/>
      <c r="Z99" s="646"/>
      <c r="AA99" s="646"/>
      <c r="AB99" s="646"/>
      <c r="AC99" s="646"/>
      <c r="AD99" s="646"/>
      <c r="AE99" s="646"/>
      <c r="AF99" s="646"/>
      <c r="AG99" s="646"/>
      <c r="AH99" s="646"/>
      <c r="AI99" s="646"/>
      <c r="AJ99" s="646"/>
      <c r="AK99" s="646"/>
      <c r="AL99" s="646"/>
      <c r="AM99" s="646"/>
      <c r="AN99" s="646"/>
      <c r="AO99" s="646"/>
      <c r="AP99" s="646"/>
      <c r="AQ99" s="646"/>
      <c r="AR99" s="646"/>
      <c r="AS99" s="646"/>
      <c r="AT99" s="646"/>
      <c r="AU99" s="646"/>
      <c r="AV99" s="646"/>
      <c r="AW99" s="646"/>
      <c r="AX99" s="469"/>
      <c r="AY99" s="217">
        <v>50</v>
      </c>
      <c r="AZ99" s="211">
        <v>0.77</v>
      </c>
      <c r="BA99" s="1447" t="s">
        <v>10145</v>
      </c>
      <c r="BB99" s="1448"/>
      <c r="BC99" s="1449"/>
      <c r="BD99" s="1417" t="s">
        <v>1063</v>
      </c>
      <c r="BE99" s="1418"/>
      <c r="BF99" s="1418"/>
      <c r="BG99" s="1418"/>
      <c r="BH99" s="1418"/>
      <c r="BI99" s="1419"/>
      <c r="BJ99" s="547">
        <v>19</v>
      </c>
      <c r="BK99" s="512" t="s">
        <v>8382</v>
      </c>
      <c r="BL99" s="512"/>
      <c r="BO99" s="35"/>
      <c r="BP99" s="756"/>
      <c r="BQ99" s="215"/>
    </row>
    <row r="100" spans="1:69" ht="12" customHeight="1" x14ac:dyDescent="0.25">
      <c r="A100" s="35" t="s">
        <v>260</v>
      </c>
      <c r="B100" s="201"/>
      <c r="C100" s="16">
        <f>SUM(E100:AW100)</f>
        <v>0</v>
      </c>
      <c r="D100" s="760"/>
      <c r="E100" s="187"/>
      <c r="F100" s="187"/>
      <c r="G100" s="187"/>
      <c r="H100" s="187"/>
      <c r="I100" s="187"/>
      <c r="J100" s="187"/>
      <c r="K100" s="187"/>
      <c r="L100" s="187"/>
      <c r="M100" s="187"/>
      <c r="N100" s="187"/>
      <c r="O100" s="187"/>
      <c r="P100" s="187"/>
      <c r="Q100" s="187"/>
      <c r="R100" s="187"/>
      <c r="S100" s="187"/>
      <c r="T100" s="187"/>
      <c r="U100" s="187"/>
      <c r="V100" s="187"/>
      <c r="W100" s="187"/>
      <c r="X100" s="187"/>
      <c r="Y100" s="187"/>
      <c r="Z100" s="187"/>
      <c r="AA100" s="187"/>
      <c r="AB100" s="187"/>
      <c r="AC100" s="187"/>
      <c r="AD100" s="187"/>
      <c r="AE100" s="187"/>
      <c r="AF100" s="187"/>
      <c r="AG100" s="187"/>
      <c r="AH100" s="187"/>
      <c r="AI100" s="187"/>
      <c r="AJ100" s="187"/>
      <c r="AK100" s="187"/>
      <c r="AL100" s="187"/>
      <c r="AM100" s="187"/>
      <c r="AN100" s="187"/>
      <c r="AO100" s="187"/>
      <c r="AP100" s="187"/>
      <c r="AQ100" s="187"/>
      <c r="AR100" s="187"/>
      <c r="AS100" s="187"/>
      <c r="AT100" s="187"/>
      <c r="AU100" s="187"/>
      <c r="AV100" s="187"/>
      <c r="AW100" s="187"/>
      <c r="AX100" s="469"/>
      <c r="AY100" s="1445"/>
      <c r="AZ100" s="1469"/>
      <c r="BA100" s="1450"/>
      <c r="BB100" s="1451"/>
      <c r="BC100" s="1452"/>
      <c r="BD100" s="188" t="s">
        <v>1062</v>
      </c>
      <c r="BE100" s="641">
        <v>0.85</v>
      </c>
      <c r="BF100" s="215">
        <v>50</v>
      </c>
      <c r="BG100" s="1420"/>
      <c r="BH100" s="1421"/>
      <c r="BI100" s="1422"/>
      <c r="BJ100" s="547">
        <v>20</v>
      </c>
      <c r="BK100" s="512" t="s">
        <v>310</v>
      </c>
      <c r="BL100" s="512"/>
      <c r="BO100" s="35"/>
      <c r="BP100" s="756"/>
      <c r="BQ100" s="215"/>
    </row>
    <row r="101" spans="1:69" ht="12" customHeight="1" x14ac:dyDescent="0.25">
      <c r="A101" s="227" t="s">
        <v>10180</v>
      </c>
      <c r="B101" s="201"/>
      <c r="C101" s="16">
        <f>SUM(C80:C82)</f>
        <v>9.9999999999999995E-7</v>
      </c>
      <c r="D101" s="760"/>
      <c r="E101" s="1551"/>
      <c r="F101" s="1551"/>
      <c r="G101" s="1551"/>
      <c r="H101" s="1551"/>
      <c r="I101" s="1551"/>
      <c r="J101" s="1551"/>
      <c r="K101" s="1551"/>
      <c r="L101" s="1551"/>
      <c r="M101" s="1551"/>
      <c r="N101" s="1551"/>
      <c r="O101" s="1551"/>
      <c r="P101" s="1551"/>
      <c r="Q101" s="1551"/>
      <c r="R101" s="1551"/>
      <c r="S101" s="1551"/>
      <c r="T101" s="1551"/>
      <c r="U101" s="1551"/>
      <c r="V101" s="1551"/>
      <c r="W101" s="1551"/>
      <c r="X101" s="1551"/>
      <c r="Y101" s="1551"/>
      <c r="Z101" s="1551"/>
      <c r="AA101" s="1551"/>
      <c r="AB101" s="1551"/>
      <c r="AC101" s="1551"/>
      <c r="AD101" s="1551"/>
      <c r="AE101" s="1551"/>
      <c r="AF101" s="1551"/>
      <c r="AG101" s="1551"/>
      <c r="AH101" s="1551"/>
      <c r="AI101" s="1551"/>
      <c r="AJ101" s="1551"/>
      <c r="AK101" s="1551"/>
      <c r="AL101" s="1551"/>
      <c r="AM101" s="1551"/>
      <c r="AN101" s="1551"/>
      <c r="AO101" s="1551"/>
      <c r="AP101" s="1551"/>
      <c r="AQ101" s="1551"/>
      <c r="AR101" s="1551"/>
      <c r="AS101" s="1551"/>
      <c r="AT101" s="1551"/>
      <c r="AU101" s="1551"/>
      <c r="AV101" s="1551"/>
      <c r="AW101" s="1558"/>
      <c r="AX101" s="469"/>
      <c r="AY101" s="1445"/>
      <c r="AZ101" s="1469"/>
      <c r="BA101" s="1450"/>
      <c r="BB101" s="1451"/>
      <c r="BC101" s="1452"/>
      <c r="BD101" s="188" t="s">
        <v>1064</v>
      </c>
      <c r="BE101" s="641">
        <v>1.64</v>
      </c>
      <c r="BF101" s="215">
        <v>50</v>
      </c>
      <c r="BG101" s="1423"/>
      <c r="BH101" s="1424"/>
      <c r="BI101" s="1425"/>
      <c r="BJ101" s="547">
        <v>21</v>
      </c>
      <c r="BK101" s="512"/>
      <c r="BL101" s="512"/>
      <c r="BO101" s="35"/>
      <c r="BP101" s="756"/>
      <c r="BQ101" s="215"/>
    </row>
    <row r="102" spans="1:69" ht="12" customHeight="1" x14ac:dyDescent="0.2">
      <c r="A102" s="728" t="s">
        <v>1088</v>
      </c>
      <c r="B102" s="201"/>
      <c r="C102" s="16" cm="1">
        <f t="array" ref="C102">SUM((C94:C100)+(C103+C104+C105+C106+C107)*2)</f>
        <v>0</v>
      </c>
      <c r="D102" s="760"/>
      <c r="E102" s="1519"/>
      <c r="F102" s="1519"/>
      <c r="G102" s="1519"/>
      <c r="H102" s="1519"/>
      <c r="I102" s="1519"/>
      <c r="J102" s="1519"/>
      <c r="K102" s="1519"/>
      <c r="L102" s="1519"/>
      <c r="M102" s="1519"/>
      <c r="N102" s="1519"/>
      <c r="O102" s="1519"/>
      <c r="P102" s="1519"/>
      <c r="Q102" s="1519"/>
      <c r="R102" s="1519"/>
      <c r="S102" s="1519"/>
      <c r="T102" s="1519"/>
      <c r="U102" s="1519"/>
      <c r="V102" s="1519"/>
      <c r="W102" s="1519"/>
      <c r="X102" s="1519"/>
      <c r="Y102" s="1519"/>
      <c r="Z102" s="1519"/>
      <c r="AA102" s="1519"/>
      <c r="AB102" s="1519"/>
      <c r="AC102" s="1519"/>
      <c r="AD102" s="1519"/>
      <c r="AE102" s="1519"/>
      <c r="AF102" s="1519"/>
      <c r="AG102" s="1519"/>
      <c r="AH102" s="1519"/>
      <c r="AI102" s="1519"/>
      <c r="AJ102" s="1519"/>
      <c r="AK102" s="1519"/>
      <c r="AL102" s="1519"/>
      <c r="AM102" s="1519"/>
      <c r="AN102" s="1519"/>
      <c r="AO102" s="1519"/>
      <c r="AP102" s="1519"/>
      <c r="AQ102" s="1519"/>
      <c r="AR102" s="1519"/>
      <c r="AS102" s="1519"/>
      <c r="AT102" s="1519"/>
      <c r="AU102" s="1519"/>
      <c r="AV102" s="1519"/>
      <c r="AW102" s="1520"/>
      <c r="AX102" s="469"/>
      <c r="AY102" s="1445"/>
      <c r="AZ102" s="1469"/>
      <c r="BA102" s="1450"/>
      <c r="BB102" s="1451"/>
      <c r="BC102" s="1452"/>
      <c r="BD102" s="194" t="s">
        <v>10317</v>
      </c>
      <c r="BE102" s="195"/>
      <c r="BF102" s="195"/>
      <c r="BG102" s="548" t="s">
        <v>8382</v>
      </c>
      <c r="BH102" s="195" t="s">
        <v>10136</v>
      </c>
      <c r="BI102" s="196"/>
      <c r="BJ102" s="547">
        <v>22</v>
      </c>
      <c r="BK102" s="512"/>
      <c r="BL102" s="512"/>
      <c r="BO102" s="35"/>
      <c r="BP102" s="756"/>
      <c r="BQ102" s="215"/>
    </row>
    <row r="103" spans="1:69" ht="12" customHeight="1" x14ac:dyDescent="0.25">
      <c r="A103" s="35" t="s">
        <v>299</v>
      </c>
      <c r="B103" s="201"/>
      <c r="C103" s="16">
        <f>SUM(E103:AW103)</f>
        <v>0</v>
      </c>
      <c r="D103" s="760"/>
      <c r="E103" s="187"/>
      <c r="F103" s="187"/>
      <c r="G103" s="187"/>
      <c r="H103" s="187"/>
      <c r="I103" s="187"/>
      <c r="J103" s="187"/>
      <c r="K103" s="187"/>
      <c r="L103" s="187"/>
      <c r="M103" s="187"/>
      <c r="N103" s="187"/>
      <c r="O103" s="187"/>
      <c r="P103" s="187"/>
      <c r="Q103" s="187"/>
      <c r="R103" s="187"/>
      <c r="S103" s="187"/>
      <c r="T103" s="187"/>
      <c r="U103" s="187"/>
      <c r="V103" s="187"/>
      <c r="W103" s="187"/>
      <c r="X103" s="187"/>
      <c r="Y103" s="187"/>
      <c r="Z103" s="187"/>
      <c r="AA103" s="187"/>
      <c r="AB103" s="187"/>
      <c r="AC103" s="187"/>
      <c r="AD103" s="187"/>
      <c r="AE103" s="187"/>
      <c r="AF103" s="187"/>
      <c r="AG103" s="187"/>
      <c r="AH103" s="187"/>
      <c r="AI103" s="187"/>
      <c r="AJ103" s="187"/>
      <c r="AK103" s="187"/>
      <c r="AL103" s="187"/>
      <c r="AM103" s="187"/>
      <c r="AN103" s="187"/>
      <c r="AO103" s="187"/>
      <c r="AP103" s="187"/>
      <c r="AQ103" s="187"/>
      <c r="AR103" s="187"/>
      <c r="AS103" s="187"/>
      <c r="AT103" s="187"/>
      <c r="AU103" s="187"/>
      <c r="AV103" s="187"/>
      <c r="AW103" s="187"/>
      <c r="AX103" s="469"/>
      <c r="AY103" s="217">
        <v>5</v>
      </c>
      <c r="AZ103" s="211">
        <v>26.78</v>
      </c>
      <c r="BA103" s="1450"/>
      <c r="BB103" s="1451"/>
      <c r="BC103" s="1452"/>
      <c r="BD103" s="754" t="s">
        <v>1050</v>
      </c>
      <c r="BE103" s="753">
        <f>BE87</f>
        <v>14.14</v>
      </c>
      <c r="BF103" s="755">
        <v>437</v>
      </c>
      <c r="BG103" s="753">
        <f t="shared" ref="BG103:BH105" si="15">BG87</f>
        <v>9.9600000000000009</v>
      </c>
      <c r="BH103" s="1415" t="str">
        <f t="shared" si="15"/>
        <v>1, 12</v>
      </c>
      <c r="BI103" s="1416"/>
      <c r="BJ103" s="547">
        <v>23</v>
      </c>
      <c r="BK103" s="512"/>
      <c r="BL103" s="512"/>
      <c r="BO103" s="194" t="s">
        <v>10301</v>
      </c>
      <c r="BP103" s="195"/>
      <c r="BQ103" s="196"/>
    </row>
    <row r="104" spans="1:69" ht="12" customHeight="1" x14ac:dyDescent="0.25">
      <c r="A104" s="35" t="s">
        <v>10120</v>
      </c>
      <c r="B104" s="201"/>
      <c r="C104" s="16">
        <f>SUM(E104:AW104)</f>
        <v>0</v>
      </c>
      <c r="D104" s="760"/>
      <c r="E104" s="645"/>
      <c r="F104" s="645"/>
      <c r="G104" s="645"/>
      <c r="H104" s="645"/>
      <c r="I104" s="645"/>
      <c r="J104" s="645"/>
      <c r="K104" s="645"/>
      <c r="L104" s="645"/>
      <c r="M104" s="645"/>
      <c r="N104" s="645"/>
      <c r="O104" s="645"/>
      <c r="P104" s="645"/>
      <c r="Q104" s="645"/>
      <c r="R104" s="645"/>
      <c r="S104" s="645"/>
      <c r="T104" s="645"/>
      <c r="U104" s="645"/>
      <c r="V104" s="645"/>
      <c r="W104" s="645"/>
      <c r="X104" s="645"/>
      <c r="Y104" s="645"/>
      <c r="Z104" s="645"/>
      <c r="AA104" s="645"/>
      <c r="AB104" s="645"/>
      <c r="AC104" s="645"/>
      <c r="AD104" s="645"/>
      <c r="AE104" s="645"/>
      <c r="AF104" s="645"/>
      <c r="AG104" s="645"/>
      <c r="AH104" s="645"/>
      <c r="AI104" s="645"/>
      <c r="AJ104" s="645"/>
      <c r="AK104" s="645"/>
      <c r="AL104" s="645"/>
      <c r="AM104" s="645"/>
      <c r="AN104" s="645"/>
      <c r="AO104" s="645"/>
      <c r="AP104" s="645"/>
      <c r="AQ104" s="645"/>
      <c r="AR104" s="645"/>
      <c r="AS104" s="645"/>
      <c r="AT104" s="645"/>
      <c r="AU104" s="645"/>
      <c r="AV104" s="645"/>
      <c r="AW104" s="645"/>
      <c r="AX104" s="469"/>
      <c r="AY104" s="217">
        <v>5</v>
      </c>
      <c r="AZ104" s="211">
        <v>26.78</v>
      </c>
      <c r="BA104" s="1450"/>
      <c r="BB104" s="1451"/>
      <c r="BC104" s="1452"/>
      <c r="BD104" s="754" t="s">
        <v>1051</v>
      </c>
      <c r="BE104" s="753">
        <f>BE88</f>
        <v>26.08</v>
      </c>
      <c r="BF104" s="755">
        <v>240</v>
      </c>
      <c r="BG104" s="753">
        <f t="shared" si="15"/>
        <v>18.37</v>
      </c>
      <c r="BH104" s="1415" t="str">
        <f t="shared" si="15"/>
        <v>1, 2, 14</v>
      </c>
      <c r="BI104" s="1416"/>
      <c r="BJ104" s="547">
        <v>24</v>
      </c>
      <c r="BK104" s="512"/>
      <c r="BL104" s="512"/>
      <c r="BO104" s="752" t="s">
        <v>10302</v>
      </c>
      <c r="BP104" s="753">
        <v>13.96</v>
      </c>
      <c r="BQ104" s="35"/>
    </row>
    <row r="105" spans="1:69" ht="12" customHeight="1" x14ac:dyDescent="0.25">
      <c r="A105" s="35" t="s">
        <v>300</v>
      </c>
      <c r="B105" s="201"/>
      <c r="C105" s="16">
        <f>SUM(E105:AW105)</f>
        <v>0</v>
      </c>
      <c r="D105" s="760"/>
      <c r="E105" s="646"/>
      <c r="F105" s="646"/>
      <c r="G105" s="646"/>
      <c r="H105" s="646"/>
      <c r="I105" s="646"/>
      <c r="J105" s="646"/>
      <c r="K105" s="646"/>
      <c r="L105" s="646"/>
      <c r="M105" s="646"/>
      <c r="N105" s="646"/>
      <c r="O105" s="646"/>
      <c r="P105" s="646"/>
      <c r="Q105" s="646"/>
      <c r="R105" s="646"/>
      <c r="S105" s="646"/>
      <c r="T105" s="646"/>
      <c r="U105" s="646"/>
      <c r="V105" s="646"/>
      <c r="W105" s="646"/>
      <c r="X105" s="646"/>
      <c r="Y105" s="646"/>
      <c r="Z105" s="646"/>
      <c r="AA105" s="646"/>
      <c r="AB105" s="646"/>
      <c r="AC105" s="646"/>
      <c r="AD105" s="646"/>
      <c r="AE105" s="646"/>
      <c r="AF105" s="646"/>
      <c r="AG105" s="646"/>
      <c r="AH105" s="646"/>
      <c r="AI105" s="646"/>
      <c r="AJ105" s="646"/>
      <c r="AK105" s="646"/>
      <c r="AL105" s="646"/>
      <c r="AM105" s="646"/>
      <c r="AN105" s="646"/>
      <c r="AO105" s="646"/>
      <c r="AP105" s="646"/>
      <c r="AQ105" s="646"/>
      <c r="AR105" s="646"/>
      <c r="AS105" s="646"/>
      <c r="AT105" s="646"/>
      <c r="AU105" s="646"/>
      <c r="AV105" s="646"/>
      <c r="AW105" s="646"/>
      <c r="AX105" s="469"/>
      <c r="AY105" s="217">
        <v>5</v>
      </c>
      <c r="AZ105" s="211">
        <v>30.54</v>
      </c>
      <c r="BA105" s="1450"/>
      <c r="BB105" s="1451"/>
      <c r="BC105" s="1452"/>
      <c r="BD105" s="754" t="s">
        <v>1052</v>
      </c>
      <c r="BE105" s="753">
        <f>BE89</f>
        <v>40.98</v>
      </c>
      <c r="BF105" s="755">
        <v>160</v>
      </c>
      <c r="BG105" s="753">
        <f t="shared" si="15"/>
        <v>28.86</v>
      </c>
      <c r="BH105" s="1415" t="str">
        <f t="shared" si="15"/>
        <v>1, 14, 20</v>
      </c>
      <c r="BI105" s="1416"/>
      <c r="BJ105" s="547">
        <v>25</v>
      </c>
      <c r="BK105" s="512"/>
      <c r="BL105" s="512"/>
      <c r="BO105" s="752" t="s">
        <v>10303</v>
      </c>
      <c r="BP105" s="753">
        <v>17.98</v>
      </c>
      <c r="BQ105" s="35"/>
    </row>
    <row r="106" spans="1:69" ht="12" customHeight="1" x14ac:dyDescent="0.25">
      <c r="A106" s="35" t="s">
        <v>10121</v>
      </c>
      <c r="B106" s="201"/>
      <c r="C106" s="16">
        <f>SUM(E106:AW106)</f>
        <v>0</v>
      </c>
      <c r="D106" s="760"/>
      <c r="E106" s="187"/>
      <c r="F106" s="187"/>
      <c r="G106" s="187"/>
      <c r="H106" s="187"/>
      <c r="I106" s="187"/>
      <c r="J106" s="187"/>
      <c r="K106" s="187"/>
      <c r="L106" s="187"/>
      <c r="M106" s="187"/>
      <c r="N106" s="187"/>
      <c r="O106" s="187"/>
      <c r="P106" s="187"/>
      <c r="Q106" s="187"/>
      <c r="R106" s="187"/>
      <c r="S106" s="187"/>
      <c r="T106" s="187"/>
      <c r="U106" s="187"/>
      <c r="V106" s="187"/>
      <c r="W106" s="187"/>
      <c r="X106" s="187"/>
      <c r="Y106" s="187"/>
      <c r="Z106" s="187"/>
      <c r="AA106" s="187"/>
      <c r="AB106" s="187"/>
      <c r="AC106" s="187"/>
      <c r="AD106" s="187"/>
      <c r="AE106" s="187"/>
      <c r="AF106" s="187"/>
      <c r="AG106" s="187"/>
      <c r="AH106" s="187"/>
      <c r="AI106" s="187"/>
      <c r="AJ106" s="187"/>
      <c r="AK106" s="187"/>
      <c r="AL106" s="187"/>
      <c r="AM106" s="187"/>
      <c r="AN106" s="187"/>
      <c r="AO106" s="187"/>
      <c r="AP106" s="187"/>
      <c r="AQ106" s="187"/>
      <c r="AR106" s="187"/>
      <c r="AS106" s="187"/>
      <c r="AT106" s="187"/>
      <c r="AU106" s="187"/>
      <c r="AV106" s="187"/>
      <c r="AW106" s="187"/>
      <c r="AX106" s="469"/>
      <c r="AY106" s="217">
        <v>5</v>
      </c>
      <c r="AZ106" s="211">
        <v>34.409999999999997</v>
      </c>
      <c r="BA106" s="1450"/>
      <c r="BB106" s="1451"/>
      <c r="BC106" s="1452"/>
      <c r="BD106" s="754" t="s">
        <v>1055</v>
      </c>
      <c r="BE106" s="753">
        <f>BE93</f>
        <v>25.29</v>
      </c>
      <c r="BF106" s="755">
        <v>240</v>
      </c>
      <c r="BG106" s="753">
        <f>BG93</f>
        <v>18.37</v>
      </c>
      <c r="BH106" s="1415" t="str">
        <f>BH93</f>
        <v>1, 14</v>
      </c>
      <c r="BI106" s="1416"/>
      <c r="BJ106" s="547">
        <v>26</v>
      </c>
      <c r="BK106" s="512"/>
      <c r="BL106" s="512"/>
      <c r="BO106" s="752" t="s">
        <v>10304</v>
      </c>
      <c r="BP106" s="753">
        <v>13.96</v>
      </c>
      <c r="BQ106" s="35"/>
    </row>
    <row r="107" spans="1:69" ht="12" customHeight="1" x14ac:dyDescent="0.25">
      <c r="A107" s="35" t="s">
        <v>10122</v>
      </c>
      <c r="B107" s="201"/>
      <c r="C107" s="16">
        <f>SUM(E107:AW107)</f>
        <v>0</v>
      </c>
      <c r="D107" s="759"/>
      <c r="E107" s="187"/>
      <c r="F107" s="187"/>
      <c r="G107" s="187"/>
      <c r="H107" s="187"/>
      <c r="I107" s="187"/>
      <c r="J107" s="187"/>
      <c r="K107" s="187"/>
      <c r="L107" s="187"/>
      <c r="M107" s="187"/>
      <c r="N107" s="187"/>
      <c r="O107" s="187"/>
      <c r="P107" s="187"/>
      <c r="Q107" s="187"/>
      <c r="R107" s="187"/>
      <c r="S107" s="187"/>
      <c r="T107" s="187"/>
      <c r="U107" s="187"/>
      <c r="V107" s="187"/>
      <c r="W107" s="187"/>
      <c r="X107" s="187"/>
      <c r="Y107" s="187"/>
      <c r="Z107" s="187"/>
      <c r="AA107" s="187"/>
      <c r="AB107" s="187"/>
      <c r="AC107" s="187"/>
      <c r="AD107" s="187"/>
      <c r="AE107" s="187"/>
      <c r="AF107" s="187"/>
      <c r="AG107" s="187"/>
      <c r="AH107" s="187"/>
      <c r="AI107" s="187"/>
      <c r="AJ107" s="187"/>
      <c r="AK107" s="187"/>
      <c r="AL107" s="187"/>
      <c r="AM107" s="187"/>
      <c r="AN107" s="187"/>
      <c r="AO107" s="187"/>
      <c r="AP107" s="187"/>
      <c r="AQ107" s="187"/>
      <c r="AR107" s="187"/>
      <c r="AS107" s="187"/>
      <c r="AT107" s="187"/>
      <c r="AU107" s="187"/>
      <c r="AV107" s="187"/>
      <c r="AW107" s="187"/>
      <c r="AX107" s="469"/>
      <c r="AY107" s="217">
        <v>5</v>
      </c>
      <c r="AZ107" s="211">
        <v>34.409999999999997</v>
      </c>
      <c r="BA107" s="1450"/>
      <c r="BB107" s="1451"/>
      <c r="BC107" s="1452"/>
      <c r="BD107" s="754" t="s">
        <v>1056</v>
      </c>
      <c r="BE107" s="753">
        <f>BE94</f>
        <v>39.74</v>
      </c>
      <c r="BF107" s="755">
        <v>160</v>
      </c>
      <c r="BG107" s="753">
        <f>BG94</f>
        <v>28.86</v>
      </c>
      <c r="BH107" s="1415" t="str">
        <f>BH94</f>
        <v>1, 14</v>
      </c>
      <c r="BI107" s="1416"/>
      <c r="BJ107" s="547">
        <v>27</v>
      </c>
      <c r="BK107" s="512"/>
      <c r="BL107" s="512"/>
      <c r="BO107" s="752" t="s">
        <v>10305</v>
      </c>
      <c r="BP107" s="753">
        <v>17.98</v>
      </c>
      <c r="BQ107" s="35"/>
    </row>
    <row r="108" spans="1:69" s="471" customFormat="1" ht="2.4500000000000002" customHeight="1" x14ac:dyDescent="0.2">
      <c r="A108" s="1433"/>
      <c r="B108" s="1434"/>
      <c r="C108" s="1434"/>
      <c r="D108" s="1434"/>
      <c r="E108" s="1435"/>
      <c r="F108" s="1435"/>
      <c r="G108" s="1435"/>
      <c r="H108" s="1435"/>
      <c r="I108" s="1435"/>
      <c r="J108" s="1435"/>
      <c r="K108" s="1435"/>
      <c r="L108" s="1435"/>
      <c r="M108" s="1435"/>
      <c r="N108" s="1435"/>
      <c r="O108" s="1435"/>
      <c r="P108" s="1435"/>
      <c r="Q108" s="1435"/>
      <c r="R108" s="1435"/>
      <c r="S108" s="1435"/>
      <c r="T108" s="1435"/>
      <c r="U108" s="1435"/>
      <c r="V108" s="1435"/>
      <c r="W108" s="1435"/>
      <c r="X108" s="1435"/>
      <c r="Y108" s="1435"/>
      <c r="Z108" s="1435"/>
      <c r="AA108" s="1435"/>
      <c r="AB108" s="1435"/>
      <c r="AC108" s="1435"/>
      <c r="AD108" s="1435"/>
      <c r="AE108" s="1435"/>
      <c r="AF108" s="1435"/>
      <c r="AG108" s="1435"/>
      <c r="AH108" s="1435"/>
      <c r="AI108" s="1435"/>
      <c r="AJ108" s="1435"/>
      <c r="AK108" s="1435"/>
      <c r="AL108" s="1435"/>
      <c r="AM108" s="1435"/>
      <c r="AN108" s="1435"/>
      <c r="AO108" s="1435"/>
      <c r="AP108" s="1435"/>
      <c r="AQ108" s="1435"/>
      <c r="AR108" s="1435"/>
      <c r="AS108" s="1435"/>
      <c r="AT108" s="1435"/>
      <c r="AU108" s="1435"/>
      <c r="AV108" s="1435"/>
      <c r="AW108" s="1435"/>
      <c r="AX108" s="1436"/>
      <c r="BA108" s="1450"/>
      <c r="BB108" s="1451"/>
      <c r="BC108" s="1452"/>
      <c r="BD108" s="471" t="s">
        <v>1051</v>
      </c>
      <c r="BE108" s="471">
        <f>BE95</f>
        <v>52.73</v>
      </c>
      <c r="BF108" s="471">
        <v>240</v>
      </c>
      <c r="BO108" s="751">
        <v>13.96</v>
      </c>
    </row>
    <row r="109" spans="1:69" ht="12" customHeight="1" x14ac:dyDescent="0.2">
      <c r="A109" s="234" t="s">
        <v>1100</v>
      </c>
      <c r="B109" s="205"/>
      <c r="C109" s="1556"/>
      <c r="D109" s="1557"/>
      <c r="E109" s="1557" t="s">
        <v>1125</v>
      </c>
      <c r="F109" s="1557"/>
      <c r="G109" s="1557"/>
      <c r="H109" s="1557"/>
      <c r="I109" s="1557"/>
      <c r="J109" s="1557"/>
      <c r="K109" s="1557"/>
      <c r="L109" s="1557"/>
      <c r="M109" s="1557"/>
      <c r="N109" s="1557"/>
      <c r="O109" s="1557"/>
      <c r="P109" s="1557"/>
      <c r="Q109" s="1557"/>
      <c r="R109" s="1557"/>
      <c r="S109" s="1557"/>
      <c r="T109" s="1557"/>
      <c r="U109" s="1557"/>
      <c r="V109" s="1557"/>
      <c r="W109" s="1557"/>
      <c r="X109" s="1557"/>
      <c r="Y109" s="1557"/>
      <c r="Z109" s="1557"/>
      <c r="AA109" s="1557"/>
      <c r="AB109" s="1557"/>
      <c r="AC109" s="1557"/>
      <c r="AD109" s="1557"/>
      <c r="AE109" s="1557"/>
      <c r="AF109" s="1557"/>
      <c r="AG109" s="1557"/>
      <c r="AH109" s="1557"/>
      <c r="AI109" s="1557"/>
      <c r="AJ109" s="1557"/>
      <c r="AK109" s="1557"/>
      <c r="AL109" s="1557"/>
      <c r="AM109" s="1557"/>
      <c r="AN109" s="1557"/>
      <c r="AO109" s="1557"/>
      <c r="AP109" s="1557"/>
      <c r="AQ109" s="1557"/>
      <c r="AR109" s="1557"/>
      <c r="AS109" s="1557"/>
      <c r="AT109" s="1557"/>
      <c r="AU109" s="1557"/>
      <c r="AV109" s="1557"/>
      <c r="AW109" s="1557"/>
      <c r="AX109" s="1537"/>
      <c r="AY109" s="1430" t="s">
        <v>1122</v>
      </c>
      <c r="AZ109" s="1431"/>
      <c r="BA109" s="1432"/>
      <c r="BB109" s="474" t="s">
        <v>1072</v>
      </c>
      <c r="BC109" s="475" t="s">
        <v>1073</v>
      </c>
      <c r="BD109" s="475" t="s">
        <v>1238</v>
      </c>
      <c r="BK109" s="512"/>
      <c r="BL109" s="512"/>
    </row>
    <row r="110" spans="1:69" ht="12" customHeight="1" x14ac:dyDescent="0.25">
      <c r="A110" s="35" t="s">
        <v>1101</v>
      </c>
      <c r="B110" s="201"/>
      <c r="C110" s="16">
        <f>SUM(E110:AW110)</f>
        <v>0</v>
      </c>
      <c r="D110" s="1553"/>
      <c r="E110" s="187"/>
      <c r="F110" s="187"/>
      <c r="G110" s="187"/>
      <c r="H110" s="187"/>
      <c r="I110" s="187"/>
      <c r="J110" s="187"/>
      <c r="K110" s="187"/>
      <c r="L110" s="187"/>
      <c r="M110" s="187"/>
      <c r="N110" s="187"/>
      <c r="O110" s="187"/>
      <c r="P110" s="187"/>
      <c r="Q110" s="187"/>
      <c r="R110" s="187"/>
      <c r="S110" s="187"/>
      <c r="T110" s="187"/>
      <c r="U110" s="187"/>
      <c r="V110" s="187"/>
      <c r="W110" s="187"/>
      <c r="X110" s="187"/>
      <c r="Y110" s="187"/>
      <c r="Z110" s="187"/>
      <c r="AA110" s="187"/>
      <c r="AB110" s="187"/>
      <c r="AC110" s="187"/>
      <c r="AD110" s="187"/>
      <c r="AE110" s="187"/>
      <c r="AF110" s="187"/>
      <c r="AG110" s="187"/>
      <c r="AH110" s="187"/>
      <c r="AI110" s="187"/>
      <c r="AJ110" s="187"/>
      <c r="AK110" s="187"/>
      <c r="AL110" s="187"/>
      <c r="AM110" s="187"/>
      <c r="AN110" s="187"/>
      <c r="AO110" s="187"/>
      <c r="AP110" s="187"/>
      <c r="AQ110" s="187"/>
      <c r="AR110" s="187"/>
      <c r="AS110" s="187"/>
      <c r="AT110" s="187"/>
      <c r="AU110" s="187"/>
      <c r="AV110" s="187"/>
      <c r="AW110" s="187"/>
      <c r="AX110" s="1538"/>
      <c r="AY110" s="1411" t="s">
        <v>1237</v>
      </c>
      <c r="AZ110" s="1412"/>
      <c r="BA110">
        <f>SUM((BB110+BC110)*2)*C110</f>
        <v>0</v>
      </c>
      <c r="BB110" s="204"/>
      <c r="BC110" s="204"/>
      <c r="BD110" s="477">
        <f>BB110*BC110*C110</f>
        <v>0</v>
      </c>
      <c r="BK110" s="512"/>
      <c r="BL110" s="512"/>
    </row>
    <row r="111" spans="1:69" ht="12" customHeight="1" x14ac:dyDescent="0.25">
      <c r="A111" s="35" t="s">
        <v>1102</v>
      </c>
      <c r="B111" s="201"/>
      <c r="C111" s="16">
        <f t="shared" ref="C111:C118" si="16">SUM(E111:AW111)</f>
        <v>0</v>
      </c>
      <c r="D111" s="1517"/>
      <c r="E111" s="645"/>
      <c r="F111" s="645"/>
      <c r="G111" s="645"/>
      <c r="H111" s="645"/>
      <c r="I111" s="645"/>
      <c r="J111" s="645"/>
      <c r="K111" s="645"/>
      <c r="L111" s="645"/>
      <c r="M111" s="645"/>
      <c r="N111" s="645"/>
      <c r="O111" s="645"/>
      <c r="P111" s="645"/>
      <c r="Q111" s="645"/>
      <c r="R111" s="645"/>
      <c r="S111" s="645"/>
      <c r="T111" s="645"/>
      <c r="U111" s="645"/>
      <c r="V111" s="645"/>
      <c r="W111" s="645"/>
      <c r="X111" s="645"/>
      <c r="Y111" s="645"/>
      <c r="Z111" s="645"/>
      <c r="AA111" s="645"/>
      <c r="AB111" s="645"/>
      <c r="AC111" s="645"/>
      <c r="AD111" s="645"/>
      <c r="AE111" s="645"/>
      <c r="AF111" s="645"/>
      <c r="AG111" s="645"/>
      <c r="AH111" s="645"/>
      <c r="AI111" s="645"/>
      <c r="AJ111" s="645"/>
      <c r="AK111" s="645"/>
      <c r="AL111" s="645"/>
      <c r="AM111" s="645"/>
      <c r="AN111" s="645"/>
      <c r="AO111" s="645"/>
      <c r="AP111" s="645"/>
      <c r="AQ111" s="645"/>
      <c r="AR111" s="645"/>
      <c r="AS111" s="645"/>
      <c r="AT111" s="645"/>
      <c r="AU111" s="645"/>
      <c r="AV111" s="645"/>
      <c r="AW111" s="645"/>
      <c r="AX111" s="1538"/>
      <c r="AY111" s="1413"/>
      <c r="AZ111" s="1414"/>
      <c r="BA111">
        <f>SUM((BB111+BC111)*2)*C111</f>
        <v>0</v>
      </c>
      <c r="BB111" s="204"/>
      <c r="BC111" s="204"/>
      <c r="BD111" s="477">
        <f t="shared" ref="BD111:BD130" si="17">BB111*BC111*C111</f>
        <v>0</v>
      </c>
      <c r="BK111" s="512"/>
      <c r="BL111" s="512"/>
      <c r="BO111" s="750"/>
    </row>
    <row r="112" spans="1:69" ht="12" customHeight="1" x14ac:dyDescent="0.25">
      <c r="A112" s="35" t="s">
        <v>1103</v>
      </c>
      <c r="B112" s="201"/>
      <c r="C112" s="16">
        <f t="shared" si="16"/>
        <v>0</v>
      </c>
      <c r="D112" s="1517"/>
      <c r="E112" s="646"/>
      <c r="F112" s="646"/>
      <c r="G112" s="646"/>
      <c r="H112" s="646"/>
      <c r="I112" s="646"/>
      <c r="J112" s="646"/>
      <c r="K112" s="646"/>
      <c r="L112" s="646"/>
      <c r="M112" s="646"/>
      <c r="N112" s="646"/>
      <c r="O112" s="646"/>
      <c r="P112" s="646"/>
      <c r="Q112" s="646"/>
      <c r="R112" s="646"/>
      <c r="S112" s="646"/>
      <c r="T112" s="646"/>
      <c r="U112" s="646"/>
      <c r="V112" s="646"/>
      <c r="W112" s="646"/>
      <c r="X112" s="646"/>
      <c r="Y112" s="646"/>
      <c r="Z112" s="646"/>
      <c r="AA112" s="646"/>
      <c r="AB112" s="646"/>
      <c r="AC112" s="646"/>
      <c r="AD112" s="646"/>
      <c r="AE112" s="646"/>
      <c r="AF112" s="646"/>
      <c r="AG112" s="646"/>
      <c r="AH112" s="646"/>
      <c r="AI112" s="646"/>
      <c r="AJ112" s="646"/>
      <c r="AK112" s="646"/>
      <c r="AL112" s="646"/>
      <c r="AM112" s="646"/>
      <c r="AN112" s="646"/>
      <c r="AO112" s="646"/>
      <c r="AP112" s="646"/>
      <c r="AQ112" s="646"/>
      <c r="AR112" s="646"/>
      <c r="AS112" s="646"/>
      <c r="AT112" s="646"/>
      <c r="AU112" s="646"/>
      <c r="AV112" s="646"/>
      <c r="AW112" s="646"/>
      <c r="AX112" s="1538"/>
      <c r="AY112" s="1428">
        <f>SUM(BD110:BD121)</f>
        <v>0</v>
      </c>
      <c r="AZ112" s="1429"/>
      <c r="BA112">
        <f t="shared" ref="BA112:BA121" si="18">SUM((BB112+BC112)*2)*C112</f>
        <v>0</v>
      </c>
      <c r="BB112" s="204"/>
      <c r="BC112" s="204"/>
      <c r="BD112" s="477">
        <f t="shared" si="17"/>
        <v>0</v>
      </c>
      <c r="BK112" s="512"/>
      <c r="BL112" s="512"/>
    </row>
    <row r="113" spans="1:64" ht="12" customHeight="1" x14ac:dyDescent="0.25">
      <c r="A113" s="35" t="s">
        <v>1104</v>
      </c>
      <c r="B113" s="201"/>
      <c r="C113" s="16">
        <f t="shared" si="16"/>
        <v>0</v>
      </c>
      <c r="D113" s="1517"/>
      <c r="E113" s="187"/>
      <c r="F113" s="187"/>
      <c r="G113" s="187"/>
      <c r="H113" s="187"/>
      <c r="I113" s="187"/>
      <c r="J113" s="187"/>
      <c r="K113" s="187"/>
      <c r="L113" s="187"/>
      <c r="M113" s="187"/>
      <c r="N113" s="187"/>
      <c r="O113" s="187"/>
      <c r="P113" s="187"/>
      <c r="Q113" s="187"/>
      <c r="R113" s="187"/>
      <c r="S113" s="187"/>
      <c r="T113" s="187"/>
      <c r="U113" s="187"/>
      <c r="V113" s="187"/>
      <c r="W113" s="187"/>
      <c r="X113" s="187"/>
      <c r="Y113" s="187"/>
      <c r="Z113" s="187"/>
      <c r="AA113" s="187"/>
      <c r="AB113" s="187"/>
      <c r="AC113" s="187"/>
      <c r="AD113" s="187"/>
      <c r="AE113" s="187"/>
      <c r="AF113" s="187"/>
      <c r="AG113" s="187"/>
      <c r="AH113" s="187"/>
      <c r="AI113" s="187"/>
      <c r="AJ113" s="187"/>
      <c r="AK113" s="187"/>
      <c r="AL113" s="187"/>
      <c r="AM113" s="187"/>
      <c r="AN113" s="187"/>
      <c r="AO113" s="187"/>
      <c r="AP113" s="187"/>
      <c r="AQ113" s="187"/>
      <c r="AR113" s="187"/>
      <c r="AS113" s="187"/>
      <c r="AT113" s="187"/>
      <c r="AU113" s="187"/>
      <c r="AV113" s="187"/>
      <c r="AW113" s="187"/>
      <c r="AX113" s="1538"/>
      <c r="AY113" s="1437"/>
      <c r="AZ113" s="1438"/>
      <c r="BA113">
        <f t="shared" si="18"/>
        <v>0</v>
      </c>
      <c r="BB113" s="204"/>
      <c r="BC113" s="204"/>
      <c r="BD113" s="477">
        <f t="shared" si="17"/>
        <v>0</v>
      </c>
      <c r="BK113" s="512"/>
      <c r="BL113" s="512"/>
    </row>
    <row r="114" spans="1:64" ht="12" customHeight="1" x14ac:dyDescent="0.25">
      <c r="A114" s="35" t="s">
        <v>1105</v>
      </c>
      <c r="B114" s="201"/>
      <c r="C114" s="16">
        <f t="shared" si="16"/>
        <v>0</v>
      </c>
      <c r="D114" s="1517"/>
      <c r="E114" s="187"/>
      <c r="F114" s="187"/>
      <c r="G114" s="187"/>
      <c r="H114" s="187"/>
      <c r="I114" s="187"/>
      <c r="J114" s="187"/>
      <c r="K114" s="187"/>
      <c r="L114" s="187"/>
      <c r="M114" s="187"/>
      <c r="N114" s="187"/>
      <c r="O114" s="187"/>
      <c r="P114" s="187"/>
      <c r="Q114" s="187"/>
      <c r="R114" s="187"/>
      <c r="S114" s="187"/>
      <c r="T114" s="187"/>
      <c r="U114" s="187"/>
      <c r="V114" s="187"/>
      <c r="W114" s="187"/>
      <c r="X114" s="187"/>
      <c r="Y114" s="187"/>
      <c r="Z114" s="187"/>
      <c r="AA114" s="187"/>
      <c r="AB114" s="187"/>
      <c r="AC114" s="187"/>
      <c r="AD114" s="187"/>
      <c r="AE114" s="187"/>
      <c r="AF114" s="187"/>
      <c r="AG114" s="187"/>
      <c r="AH114" s="187"/>
      <c r="AI114" s="187"/>
      <c r="AJ114" s="187"/>
      <c r="AK114" s="187"/>
      <c r="AL114" s="187"/>
      <c r="AM114" s="187"/>
      <c r="AN114" s="187"/>
      <c r="AO114" s="187"/>
      <c r="AP114" s="187"/>
      <c r="AQ114" s="187"/>
      <c r="AR114" s="187"/>
      <c r="AS114" s="187"/>
      <c r="AT114" s="187"/>
      <c r="AU114" s="187"/>
      <c r="AV114" s="187"/>
      <c r="AW114" s="187"/>
      <c r="AX114" s="1538"/>
      <c r="AY114" s="1439"/>
      <c r="AZ114" s="1440"/>
      <c r="BA114">
        <f t="shared" si="18"/>
        <v>0</v>
      </c>
      <c r="BB114" s="204"/>
      <c r="BC114" s="204"/>
      <c r="BD114" s="477">
        <f t="shared" si="17"/>
        <v>0</v>
      </c>
      <c r="BK114" s="512"/>
      <c r="BL114" s="512"/>
    </row>
    <row r="115" spans="1:64" ht="12" customHeight="1" x14ac:dyDescent="0.25">
      <c r="A115" s="35" t="s">
        <v>1106</v>
      </c>
      <c r="B115" s="201"/>
      <c r="C115" s="16">
        <f t="shared" si="16"/>
        <v>0</v>
      </c>
      <c r="D115" s="1517"/>
      <c r="E115" s="187"/>
      <c r="F115" s="187"/>
      <c r="G115" s="187"/>
      <c r="H115" s="187"/>
      <c r="I115" s="187"/>
      <c r="J115" s="187"/>
      <c r="K115" s="187"/>
      <c r="L115" s="187"/>
      <c r="M115" s="187"/>
      <c r="N115" s="187"/>
      <c r="O115" s="187"/>
      <c r="P115" s="187"/>
      <c r="Q115" s="187"/>
      <c r="R115" s="187"/>
      <c r="S115" s="187"/>
      <c r="T115" s="187"/>
      <c r="U115" s="187"/>
      <c r="V115" s="187"/>
      <c r="W115" s="187"/>
      <c r="X115" s="187"/>
      <c r="Y115" s="187"/>
      <c r="Z115" s="187"/>
      <c r="AA115" s="187"/>
      <c r="AB115" s="187"/>
      <c r="AC115" s="187"/>
      <c r="AD115" s="187"/>
      <c r="AE115" s="187"/>
      <c r="AF115" s="187"/>
      <c r="AG115" s="187"/>
      <c r="AH115" s="187"/>
      <c r="AI115" s="187"/>
      <c r="AJ115" s="187"/>
      <c r="AK115" s="187"/>
      <c r="AL115" s="187"/>
      <c r="AM115" s="187"/>
      <c r="AN115" s="187"/>
      <c r="AO115" s="187"/>
      <c r="AP115" s="187"/>
      <c r="AQ115" s="187"/>
      <c r="AR115" s="187"/>
      <c r="AS115" s="187"/>
      <c r="AT115" s="187"/>
      <c r="AU115" s="187"/>
      <c r="AV115" s="187"/>
      <c r="AW115" s="187"/>
      <c r="AX115" s="1538"/>
      <c r="AY115" s="1439"/>
      <c r="AZ115" s="1440"/>
      <c r="BA115">
        <f t="shared" si="18"/>
        <v>0</v>
      </c>
      <c r="BB115" s="204"/>
      <c r="BC115" s="204"/>
      <c r="BD115" s="477">
        <f t="shared" si="17"/>
        <v>0</v>
      </c>
    </row>
    <row r="116" spans="1:64" ht="12" customHeight="1" x14ac:dyDescent="0.25">
      <c r="A116" s="35" t="s">
        <v>1107</v>
      </c>
      <c r="B116" s="201"/>
      <c r="C116" s="16">
        <f t="shared" si="16"/>
        <v>0</v>
      </c>
      <c r="D116" s="1517"/>
      <c r="E116" s="645"/>
      <c r="F116" s="645"/>
      <c r="G116" s="645"/>
      <c r="H116" s="645"/>
      <c r="I116" s="645"/>
      <c r="J116" s="645"/>
      <c r="K116" s="645"/>
      <c r="L116" s="645"/>
      <c r="M116" s="645"/>
      <c r="N116" s="645"/>
      <c r="O116" s="645"/>
      <c r="P116" s="645"/>
      <c r="Q116" s="645"/>
      <c r="R116" s="645"/>
      <c r="S116" s="645"/>
      <c r="T116" s="645"/>
      <c r="U116" s="645"/>
      <c r="V116" s="645"/>
      <c r="W116" s="645"/>
      <c r="X116" s="645"/>
      <c r="Y116" s="645"/>
      <c r="Z116" s="645"/>
      <c r="AA116" s="645"/>
      <c r="AB116" s="645"/>
      <c r="AC116" s="645"/>
      <c r="AD116" s="645"/>
      <c r="AE116" s="645"/>
      <c r="AF116" s="645"/>
      <c r="AG116" s="645"/>
      <c r="AH116" s="645"/>
      <c r="AI116" s="645"/>
      <c r="AJ116" s="645"/>
      <c r="AK116" s="645"/>
      <c r="AL116" s="645"/>
      <c r="AM116" s="645"/>
      <c r="AN116" s="645"/>
      <c r="AO116" s="645"/>
      <c r="AP116" s="645"/>
      <c r="AQ116" s="645"/>
      <c r="AR116" s="645"/>
      <c r="AS116" s="645"/>
      <c r="AT116" s="645"/>
      <c r="AU116" s="645"/>
      <c r="AV116" s="645"/>
      <c r="AW116" s="645"/>
      <c r="AX116" s="1538"/>
      <c r="AY116" s="1439"/>
      <c r="AZ116" s="1440"/>
      <c r="BA116">
        <f t="shared" si="18"/>
        <v>0</v>
      </c>
      <c r="BB116" s="204"/>
      <c r="BC116" s="204"/>
      <c r="BD116" s="477">
        <f t="shared" si="17"/>
        <v>0</v>
      </c>
    </row>
    <row r="117" spans="1:64" ht="12" customHeight="1" x14ac:dyDescent="0.25">
      <c r="A117" s="35" t="s">
        <v>1108</v>
      </c>
      <c r="B117" s="201"/>
      <c r="C117" s="16">
        <f t="shared" si="16"/>
        <v>0</v>
      </c>
      <c r="D117" s="1517"/>
      <c r="E117" s="646"/>
      <c r="F117" s="646"/>
      <c r="G117" s="646"/>
      <c r="H117" s="646"/>
      <c r="I117" s="646"/>
      <c r="J117" s="646"/>
      <c r="K117" s="646"/>
      <c r="L117" s="646"/>
      <c r="M117" s="646"/>
      <c r="N117" s="646"/>
      <c r="O117" s="646"/>
      <c r="P117" s="646"/>
      <c r="Q117" s="646"/>
      <c r="R117" s="646"/>
      <c r="S117" s="646"/>
      <c r="T117" s="646"/>
      <c r="U117" s="646"/>
      <c r="V117" s="646"/>
      <c r="W117" s="646"/>
      <c r="X117" s="646"/>
      <c r="Y117" s="646"/>
      <c r="Z117" s="646"/>
      <c r="AA117" s="646"/>
      <c r="AB117" s="646"/>
      <c r="AC117" s="646"/>
      <c r="AD117" s="646"/>
      <c r="AE117" s="646"/>
      <c r="AF117" s="646"/>
      <c r="AG117" s="646"/>
      <c r="AH117" s="646"/>
      <c r="AI117" s="646"/>
      <c r="AJ117" s="646"/>
      <c r="AK117" s="646"/>
      <c r="AL117" s="646"/>
      <c r="AM117" s="646"/>
      <c r="AN117" s="646"/>
      <c r="AO117" s="646"/>
      <c r="AP117" s="646"/>
      <c r="AQ117" s="646"/>
      <c r="AR117" s="646"/>
      <c r="AS117" s="646"/>
      <c r="AT117" s="646"/>
      <c r="AU117" s="646"/>
      <c r="AV117" s="646"/>
      <c r="AW117" s="646"/>
      <c r="AX117" s="1538"/>
      <c r="AY117" s="1439"/>
      <c r="AZ117" s="1440"/>
      <c r="BA117">
        <f t="shared" si="18"/>
        <v>0</v>
      </c>
      <c r="BB117" s="204"/>
      <c r="BC117" s="204"/>
      <c r="BD117" s="477">
        <f t="shared" si="17"/>
        <v>0</v>
      </c>
    </row>
    <row r="118" spans="1:64" ht="12" customHeight="1" x14ac:dyDescent="0.25">
      <c r="A118" s="35" t="s">
        <v>1109</v>
      </c>
      <c r="B118" s="201"/>
      <c r="C118" s="16">
        <f t="shared" si="16"/>
        <v>0</v>
      </c>
      <c r="D118" s="1517"/>
      <c r="E118" s="187"/>
      <c r="F118" s="187"/>
      <c r="G118" s="187"/>
      <c r="H118" s="187"/>
      <c r="I118" s="187"/>
      <c r="J118" s="187"/>
      <c r="K118" s="187"/>
      <c r="L118" s="187"/>
      <c r="M118" s="187"/>
      <c r="N118" s="187"/>
      <c r="O118" s="187"/>
      <c r="P118" s="187"/>
      <c r="Q118" s="187"/>
      <c r="R118" s="187"/>
      <c r="S118" s="187"/>
      <c r="T118" s="187"/>
      <c r="U118" s="187"/>
      <c r="V118" s="187"/>
      <c r="W118" s="187"/>
      <c r="X118" s="187"/>
      <c r="Y118" s="187"/>
      <c r="Z118" s="187"/>
      <c r="AA118" s="187"/>
      <c r="AB118" s="187"/>
      <c r="AC118" s="187"/>
      <c r="AD118" s="187"/>
      <c r="AE118" s="187"/>
      <c r="AF118" s="187"/>
      <c r="AG118" s="187"/>
      <c r="AH118" s="187"/>
      <c r="AI118" s="187"/>
      <c r="AJ118" s="187"/>
      <c r="AK118" s="187"/>
      <c r="AL118" s="187"/>
      <c r="AM118" s="187"/>
      <c r="AN118" s="187"/>
      <c r="AO118" s="187"/>
      <c r="AP118" s="187"/>
      <c r="AQ118" s="187"/>
      <c r="AR118" s="187"/>
      <c r="AS118" s="187"/>
      <c r="AT118" s="187"/>
      <c r="AU118" s="187"/>
      <c r="AV118" s="187"/>
      <c r="AW118" s="187"/>
      <c r="AX118" s="1538"/>
      <c r="AY118" s="1439"/>
      <c r="AZ118" s="1440"/>
      <c r="BA118">
        <f t="shared" si="18"/>
        <v>0</v>
      </c>
      <c r="BB118" s="204"/>
      <c r="BC118" s="204"/>
      <c r="BD118" s="477">
        <f t="shared" si="17"/>
        <v>0</v>
      </c>
    </row>
    <row r="119" spans="1:64" ht="12" customHeight="1" x14ac:dyDescent="0.25">
      <c r="A119" s="35" t="s">
        <v>1110</v>
      </c>
      <c r="B119" s="201"/>
      <c r="C119" s="16">
        <f>SUM(E119:AW119)</f>
        <v>0</v>
      </c>
      <c r="D119" s="1517"/>
      <c r="E119" s="187"/>
      <c r="F119" s="187"/>
      <c r="G119" s="187"/>
      <c r="H119" s="187"/>
      <c r="I119" s="187"/>
      <c r="J119" s="187"/>
      <c r="K119" s="187"/>
      <c r="L119" s="187"/>
      <c r="M119" s="187"/>
      <c r="N119" s="187"/>
      <c r="O119" s="187"/>
      <c r="P119" s="187"/>
      <c r="Q119" s="187"/>
      <c r="R119" s="187"/>
      <c r="S119" s="187"/>
      <c r="T119" s="187"/>
      <c r="U119" s="187"/>
      <c r="V119" s="187"/>
      <c r="W119" s="187"/>
      <c r="X119" s="187"/>
      <c r="Y119" s="187"/>
      <c r="Z119" s="187"/>
      <c r="AA119" s="187"/>
      <c r="AB119" s="187"/>
      <c r="AC119" s="187"/>
      <c r="AD119" s="187"/>
      <c r="AE119" s="187"/>
      <c r="AF119" s="187"/>
      <c r="AG119" s="187"/>
      <c r="AH119" s="187"/>
      <c r="AI119" s="187"/>
      <c r="AJ119" s="187"/>
      <c r="AK119" s="187"/>
      <c r="AL119" s="187"/>
      <c r="AM119" s="187"/>
      <c r="AN119" s="187"/>
      <c r="AO119" s="187"/>
      <c r="AP119" s="187"/>
      <c r="AQ119" s="187"/>
      <c r="AR119" s="187"/>
      <c r="AS119" s="187"/>
      <c r="AT119" s="187"/>
      <c r="AU119" s="187"/>
      <c r="AV119" s="187"/>
      <c r="AW119" s="187"/>
      <c r="AX119" s="1538"/>
      <c r="AY119" s="1411" t="s">
        <v>1124</v>
      </c>
      <c r="AZ119" s="1412"/>
      <c r="BA119">
        <f t="shared" si="18"/>
        <v>0</v>
      </c>
      <c r="BB119" s="204"/>
      <c r="BC119" s="204"/>
      <c r="BD119" s="477">
        <f t="shared" si="17"/>
        <v>0</v>
      </c>
    </row>
    <row r="120" spans="1:64" ht="12" customHeight="1" x14ac:dyDescent="0.25">
      <c r="A120" s="35" t="s">
        <v>1111</v>
      </c>
      <c r="B120" s="201"/>
      <c r="C120" s="16">
        <f>SUM(E120:AW120)</f>
        <v>0</v>
      </c>
      <c r="D120" s="1517"/>
      <c r="E120" s="187"/>
      <c r="F120" s="187"/>
      <c r="G120" s="187"/>
      <c r="H120" s="187"/>
      <c r="I120" s="187"/>
      <c r="J120" s="187"/>
      <c r="K120" s="187"/>
      <c r="L120" s="187"/>
      <c r="M120" s="187"/>
      <c r="N120" s="187"/>
      <c r="O120" s="187"/>
      <c r="P120" s="187"/>
      <c r="Q120" s="187"/>
      <c r="R120" s="187"/>
      <c r="S120" s="187"/>
      <c r="T120" s="187"/>
      <c r="U120" s="187"/>
      <c r="V120" s="187"/>
      <c r="W120" s="187"/>
      <c r="X120" s="187"/>
      <c r="Y120" s="187"/>
      <c r="Z120" s="187"/>
      <c r="AA120" s="187"/>
      <c r="AB120" s="187"/>
      <c r="AC120" s="187"/>
      <c r="AD120" s="187"/>
      <c r="AE120" s="187"/>
      <c r="AF120" s="187"/>
      <c r="AG120" s="187"/>
      <c r="AH120" s="187"/>
      <c r="AI120" s="187"/>
      <c r="AJ120" s="187"/>
      <c r="AK120" s="187"/>
      <c r="AL120" s="187"/>
      <c r="AM120" s="187"/>
      <c r="AN120" s="187"/>
      <c r="AO120" s="187"/>
      <c r="AP120" s="187"/>
      <c r="AQ120" s="187"/>
      <c r="AR120" s="187"/>
      <c r="AS120" s="187"/>
      <c r="AT120" s="187"/>
      <c r="AU120" s="187"/>
      <c r="AV120" s="187"/>
      <c r="AW120" s="187"/>
      <c r="AX120" s="1538"/>
      <c r="AY120" s="1413"/>
      <c r="AZ120" s="1414"/>
      <c r="BA120">
        <f t="shared" si="18"/>
        <v>0</v>
      </c>
      <c r="BB120" s="204"/>
      <c r="BC120" s="204"/>
      <c r="BD120" s="477">
        <f t="shared" si="17"/>
        <v>0</v>
      </c>
    </row>
    <row r="121" spans="1:64" ht="12" customHeight="1" x14ac:dyDescent="0.25">
      <c r="A121" s="35" t="s">
        <v>1112</v>
      </c>
      <c r="B121" s="201"/>
      <c r="C121" s="16">
        <f t="shared" ref="C121" si="19">SUM(E121:AW121)</f>
        <v>0</v>
      </c>
      <c r="D121" s="1517"/>
      <c r="E121" s="645"/>
      <c r="F121" s="645"/>
      <c r="G121" s="645"/>
      <c r="H121" s="645"/>
      <c r="I121" s="645"/>
      <c r="J121" s="645"/>
      <c r="K121" s="645"/>
      <c r="L121" s="645"/>
      <c r="M121" s="645"/>
      <c r="N121" s="645"/>
      <c r="O121" s="645"/>
      <c r="P121" s="645"/>
      <c r="Q121" s="645"/>
      <c r="R121" s="645"/>
      <c r="S121" s="645"/>
      <c r="T121" s="645"/>
      <c r="U121" s="645"/>
      <c r="V121" s="645"/>
      <c r="W121" s="645"/>
      <c r="X121" s="645"/>
      <c r="Y121" s="645"/>
      <c r="Z121" s="645"/>
      <c r="AA121" s="645"/>
      <c r="AB121" s="645"/>
      <c r="AC121" s="645"/>
      <c r="AD121" s="645"/>
      <c r="AE121" s="645"/>
      <c r="AF121" s="645"/>
      <c r="AG121" s="645"/>
      <c r="AH121" s="645"/>
      <c r="AI121" s="645"/>
      <c r="AJ121" s="645"/>
      <c r="AK121" s="645"/>
      <c r="AL121" s="645"/>
      <c r="AM121" s="645"/>
      <c r="AN121" s="645"/>
      <c r="AO121" s="645"/>
      <c r="AP121" s="645"/>
      <c r="AQ121" s="645"/>
      <c r="AR121" s="645"/>
      <c r="AS121" s="645"/>
      <c r="AT121" s="645"/>
      <c r="AU121" s="645"/>
      <c r="AV121" s="645"/>
      <c r="AW121" s="645"/>
      <c r="AX121" s="1538"/>
      <c r="AY121" s="1428">
        <f>SUM(BA110:BA121)</f>
        <v>0</v>
      </c>
      <c r="AZ121" s="1429"/>
      <c r="BA121">
        <f t="shared" si="18"/>
        <v>0</v>
      </c>
      <c r="BB121" s="204"/>
      <c r="BC121" s="204"/>
      <c r="BD121" s="477">
        <f t="shared" si="17"/>
        <v>0</v>
      </c>
    </row>
    <row r="122" spans="1:64" ht="12" customHeight="1" x14ac:dyDescent="0.2">
      <c r="A122" s="227" t="s">
        <v>10134</v>
      </c>
      <c r="B122" s="201"/>
      <c r="C122" s="16">
        <f>SUM(AY121+AY130)</f>
        <v>0</v>
      </c>
      <c r="D122" s="1517"/>
      <c r="E122" s="235">
        <f>E1</f>
        <v>1</v>
      </c>
      <c r="F122" s="235">
        <f t="shared" ref="F122:AT122" si="20">F1</f>
        <v>2</v>
      </c>
      <c r="G122" s="235">
        <f t="shared" si="20"/>
        <v>3</v>
      </c>
      <c r="H122" s="235">
        <f t="shared" si="20"/>
        <v>4</v>
      </c>
      <c r="I122" s="235">
        <f t="shared" si="20"/>
        <v>5</v>
      </c>
      <c r="J122" s="235">
        <f t="shared" si="20"/>
        <v>6</v>
      </c>
      <c r="K122" s="235">
        <f t="shared" si="20"/>
        <v>7</v>
      </c>
      <c r="L122" s="235">
        <f t="shared" si="20"/>
        <v>8</v>
      </c>
      <c r="M122" s="235">
        <f t="shared" si="20"/>
        <v>9</v>
      </c>
      <c r="N122" s="235">
        <f t="shared" si="20"/>
        <v>10</v>
      </c>
      <c r="O122" s="235">
        <f t="shared" si="20"/>
        <v>11</v>
      </c>
      <c r="P122" s="235">
        <f t="shared" si="20"/>
        <v>12</v>
      </c>
      <c r="Q122" s="235">
        <f t="shared" si="20"/>
        <v>13</v>
      </c>
      <c r="R122" s="235">
        <f t="shared" si="20"/>
        <v>14</v>
      </c>
      <c r="S122" s="235">
        <f t="shared" ref="S122" si="21">S1</f>
        <v>15</v>
      </c>
      <c r="T122" s="235">
        <f t="shared" si="20"/>
        <v>16</v>
      </c>
      <c r="U122" s="235">
        <f t="shared" ref="U122:AE122" si="22">U1</f>
        <v>17</v>
      </c>
      <c r="V122" s="235">
        <f t="shared" si="22"/>
        <v>18</v>
      </c>
      <c r="W122" s="235">
        <f t="shared" si="22"/>
        <v>19</v>
      </c>
      <c r="X122" s="235">
        <f t="shared" si="22"/>
        <v>20</v>
      </c>
      <c r="Y122" s="235">
        <f t="shared" si="22"/>
        <v>21</v>
      </c>
      <c r="Z122" s="235">
        <f t="shared" si="22"/>
        <v>22</v>
      </c>
      <c r="AA122" s="235">
        <f t="shared" si="22"/>
        <v>23</v>
      </c>
      <c r="AB122" s="235">
        <f t="shared" si="22"/>
        <v>24</v>
      </c>
      <c r="AC122" s="235">
        <f t="shared" si="22"/>
        <v>25</v>
      </c>
      <c r="AD122" s="235">
        <f t="shared" si="22"/>
        <v>26</v>
      </c>
      <c r="AE122" s="235">
        <f t="shared" si="22"/>
        <v>27</v>
      </c>
      <c r="AF122" s="235">
        <f t="shared" si="20"/>
        <v>28</v>
      </c>
      <c r="AG122" s="235">
        <f t="shared" si="20"/>
        <v>29</v>
      </c>
      <c r="AH122" s="235">
        <f t="shared" si="20"/>
        <v>30</v>
      </c>
      <c r="AI122" s="235">
        <f t="shared" si="20"/>
        <v>31</v>
      </c>
      <c r="AJ122" s="235">
        <f t="shared" si="20"/>
        <v>32</v>
      </c>
      <c r="AK122" s="235">
        <f t="shared" si="20"/>
        <v>33</v>
      </c>
      <c r="AL122" s="235">
        <f t="shared" si="20"/>
        <v>34</v>
      </c>
      <c r="AM122" s="235">
        <f t="shared" si="20"/>
        <v>35</v>
      </c>
      <c r="AN122" s="235">
        <f t="shared" si="20"/>
        <v>36</v>
      </c>
      <c r="AO122" s="235">
        <f t="shared" si="20"/>
        <v>37</v>
      </c>
      <c r="AP122" s="235">
        <f t="shared" si="20"/>
        <v>38</v>
      </c>
      <c r="AQ122" s="235">
        <f t="shared" si="20"/>
        <v>39</v>
      </c>
      <c r="AR122" s="235">
        <f t="shared" si="20"/>
        <v>40</v>
      </c>
      <c r="AS122" s="235">
        <f t="shared" si="20"/>
        <v>41</v>
      </c>
      <c r="AT122" s="235">
        <f t="shared" si="20"/>
        <v>42</v>
      </c>
      <c r="AU122" s="1409" t="s">
        <v>1121</v>
      </c>
      <c r="AV122" s="1410"/>
      <c r="AW122" s="1561"/>
      <c r="AX122" s="1538"/>
      <c r="AY122" s="1430" t="s">
        <v>1123</v>
      </c>
      <c r="AZ122" s="1431"/>
      <c r="BA122" s="1432"/>
      <c r="BB122" s="474" t="s">
        <v>1072</v>
      </c>
      <c r="BC122" s="475" t="s">
        <v>1073</v>
      </c>
      <c r="BD122" s="475" t="s">
        <v>1239</v>
      </c>
    </row>
    <row r="123" spans="1:64" ht="12" customHeight="1" x14ac:dyDescent="0.25">
      <c r="A123" s="35" t="s">
        <v>1113</v>
      </c>
      <c r="B123" s="201"/>
      <c r="C123" s="16">
        <f>SUM(E123:AW123)</f>
        <v>0</v>
      </c>
      <c r="D123" s="1517"/>
      <c r="E123" s="187"/>
      <c r="F123" s="187"/>
      <c r="G123" s="187"/>
      <c r="H123" s="187"/>
      <c r="I123" s="187"/>
      <c r="J123" s="187"/>
      <c r="K123" s="187"/>
      <c r="L123" s="187"/>
      <c r="M123" s="187"/>
      <c r="N123" s="187"/>
      <c r="O123" s="187"/>
      <c r="P123" s="187"/>
      <c r="Q123" s="187"/>
      <c r="R123" s="187"/>
      <c r="S123" s="187"/>
      <c r="T123" s="187"/>
      <c r="U123" s="187"/>
      <c r="V123" s="187"/>
      <c r="W123" s="187"/>
      <c r="X123" s="187"/>
      <c r="Y123" s="187"/>
      <c r="Z123" s="187"/>
      <c r="AA123" s="187"/>
      <c r="AB123" s="187"/>
      <c r="AC123" s="187"/>
      <c r="AD123" s="187"/>
      <c r="AE123" s="187"/>
      <c r="AF123" s="187"/>
      <c r="AG123" s="187"/>
      <c r="AH123" s="187"/>
      <c r="AI123" s="187"/>
      <c r="AJ123" s="187"/>
      <c r="AK123" s="187"/>
      <c r="AL123" s="187"/>
      <c r="AM123" s="187"/>
      <c r="AN123" s="187"/>
      <c r="AO123" s="187"/>
      <c r="AP123" s="187"/>
      <c r="AQ123" s="187"/>
      <c r="AR123" s="187"/>
      <c r="AS123" s="187"/>
      <c r="AT123" s="187"/>
      <c r="AU123" s="187"/>
      <c r="AV123" s="187"/>
      <c r="AW123" s="187"/>
      <c r="AX123" s="1538"/>
      <c r="AY123" s="1411" t="s">
        <v>1237</v>
      </c>
      <c r="AZ123" s="1412"/>
      <c r="BA123">
        <f>SUM((BB123+BC123)*2)*C123</f>
        <v>0</v>
      </c>
      <c r="BB123" s="204"/>
      <c r="BC123" s="204"/>
      <c r="BD123" s="477">
        <f t="shared" si="17"/>
        <v>0</v>
      </c>
    </row>
    <row r="124" spans="1:64" ht="12" customHeight="1" x14ac:dyDescent="0.25">
      <c r="A124" s="35" t="s">
        <v>1114</v>
      </c>
      <c r="B124" s="201"/>
      <c r="C124" s="16">
        <f>SUM(E124:AW124)</f>
        <v>0</v>
      </c>
      <c r="D124" s="1517"/>
      <c r="E124" s="645"/>
      <c r="F124" s="645"/>
      <c r="G124" s="645"/>
      <c r="H124" s="645"/>
      <c r="I124" s="645"/>
      <c r="J124" s="645"/>
      <c r="K124" s="645"/>
      <c r="L124" s="645"/>
      <c r="M124" s="645"/>
      <c r="N124" s="645"/>
      <c r="O124" s="645"/>
      <c r="P124" s="645"/>
      <c r="Q124" s="645"/>
      <c r="R124" s="645"/>
      <c r="S124" s="645"/>
      <c r="T124" s="645"/>
      <c r="U124" s="645"/>
      <c r="V124" s="645"/>
      <c r="W124" s="645"/>
      <c r="X124" s="645"/>
      <c r="Y124" s="645"/>
      <c r="Z124" s="645"/>
      <c r="AA124" s="645"/>
      <c r="AB124" s="645"/>
      <c r="AC124" s="645"/>
      <c r="AD124" s="645"/>
      <c r="AE124" s="645"/>
      <c r="AF124" s="645"/>
      <c r="AG124" s="645"/>
      <c r="AH124" s="645"/>
      <c r="AI124" s="645"/>
      <c r="AJ124" s="645"/>
      <c r="AK124" s="645"/>
      <c r="AL124" s="645"/>
      <c r="AM124" s="645"/>
      <c r="AN124" s="645"/>
      <c r="AO124" s="645"/>
      <c r="AP124" s="645"/>
      <c r="AQ124" s="645"/>
      <c r="AR124" s="645"/>
      <c r="AS124" s="645"/>
      <c r="AT124" s="645"/>
      <c r="AU124" s="645"/>
      <c r="AV124" s="645"/>
      <c r="AW124" s="645"/>
      <c r="AX124" s="1538"/>
      <c r="AY124" s="1413"/>
      <c r="AZ124" s="1414"/>
      <c r="BA124">
        <f t="shared" ref="BA124:BA129" si="23">SUM((BB124+BC124)*2)*C124</f>
        <v>0</v>
      </c>
      <c r="BB124" s="204"/>
      <c r="BC124" s="204"/>
      <c r="BD124" s="477">
        <f t="shared" si="17"/>
        <v>0</v>
      </c>
    </row>
    <row r="125" spans="1:64" ht="12" customHeight="1" x14ac:dyDescent="0.25">
      <c r="A125" s="35" t="s">
        <v>1115</v>
      </c>
      <c r="B125" s="201"/>
      <c r="C125" s="16">
        <f>SUM(E125:AW125)</f>
        <v>0</v>
      </c>
      <c r="D125" s="1517"/>
      <c r="E125" s="646"/>
      <c r="F125" s="646"/>
      <c r="G125" s="646"/>
      <c r="H125" s="646"/>
      <c r="I125" s="646"/>
      <c r="J125" s="646"/>
      <c r="K125" s="646"/>
      <c r="L125" s="646"/>
      <c r="M125" s="646"/>
      <c r="N125" s="646"/>
      <c r="O125" s="646"/>
      <c r="P125" s="646"/>
      <c r="Q125" s="646"/>
      <c r="R125" s="646"/>
      <c r="S125" s="646"/>
      <c r="T125" s="646"/>
      <c r="U125" s="646"/>
      <c r="V125" s="646"/>
      <c r="W125" s="646"/>
      <c r="X125" s="646"/>
      <c r="Y125" s="646"/>
      <c r="Z125" s="646"/>
      <c r="AA125" s="646"/>
      <c r="AB125" s="646"/>
      <c r="AC125" s="646"/>
      <c r="AD125" s="646"/>
      <c r="AE125" s="646"/>
      <c r="AF125" s="646"/>
      <c r="AG125" s="646"/>
      <c r="AH125" s="646"/>
      <c r="AI125" s="646"/>
      <c r="AJ125" s="646"/>
      <c r="AK125" s="646"/>
      <c r="AL125" s="646"/>
      <c r="AM125" s="646"/>
      <c r="AN125" s="646"/>
      <c r="AO125" s="646"/>
      <c r="AP125" s="646"/>
      <c r="AQ125" s="646"/>
      <c r="AR125" s="646"/>
      <c r="AS125" s="646"/>
      <c r="AT125" s="646"/>
      <c r="AU125" s="646"/>
      <c r="AV125" s="646"/>
      <c r="AW125" s="646"/>
      <c r="AX125" s="1538"/>
      <c r="AY125" s="1428">
        <f>SUM(BD123:BD130)</f>
        <v>0</v>
      </c>
      <c r="AZ125" s="1429"/>
      <c r="BA125">
        <f t="shared" si="23"/>
        <v>0</v>
      </c>
      <c r="BB125" s="204"/>
      <c r="BC125" s="204"/>
      <c r="BD125" s="477">
        <f t="shared" si="17"/>
        <v>0</v>
      </c>
    </row>
    <row r="126" spans="1:64" ht="12" customHeight="1" x14ac:dyDescent="0.25">
      <c r="A126" s="35" t="s">
        <v>1116</v>
      </c>
      <c r="B126" s="201"/>
      <c r="C126" s="16">
        <f>SUM(E126:AW126)</f>
        <v>0</v>
      </c>
      <c r="D126" s="1517"/>
      <c r="E126" s="187"/>
      <c r="F126" s="187"/>
      <c r="G126" s="187"/>
      <c r="H126" s="187"/>
      <c r="I126" s="187"/>
      <c r="J126" s="187"/>
      <c r="K126" s="187"/>
      <c r="L126" s="187"/>
      <c r="M126" s="187"/>
      <c r="N126" s="187"/>
      <c r="O126" s="187"/>
      <c r="P126" s="187"/>
      <c r="Q126" s="187"/>
      <c r="R126" s="187"/>
      <c r="S126" s="187"/>
      <c r="T126" s="187"/>
      <c r="U126" s="187"/>
      <c r="V126" s="187"/>
      <c r="W126" s="187"/>
      <c r="X126" s="187"/>
      <c r="Y126" s="187"/>
      <c r="Z126" s="187"/>
      <c r="AA126" s="187"/>
      <c r="AB126" s="187"/>
      <c r="AC126" s="187"/>
      <c r="AD126" s="187"/>
      <c r="AE126" s="187"/>
      <c r="AF126" s="187"/>
      <c r="AG126" s="187"/>
      <c r="AH126" s="187"/>
      <c r="AI126" s="187"/>
      <c r="AJ126" s="187"/>
      <c r="AK126" s="187"/>
      <c r="AL126" s="187"/>
      <c r="AM126" s="187"/>
      <c r="AN126" s="187"/>
      <c r="AO126" s="187"/>
      <c r="AP126" s="187"/>
      <c r="AQ126" s="187"/>
      <c r="AR126" s="187"/>
      <c r="AS126" s="187"/>
      <c r="AT126" s="187"/>
      <c r="AU126" s="187"/>
      <c r="AV126" s="187"/>
      <c r="AW126" s="187"/>
      <c r="AX126" s="1538"/>
      <c r="AY126" s="1441"/>
      <c r="AZ126" s="1442"/>
      <c r="BA126">
        <f t="shared" si="23"/>
        <v>0</v>
      </c>
      <c r="BB126" s="204"/>
      <c r="BC126" s="204"/>
      <c r="BD126" s="477">
        <f t="shared" si="17"/>
        <v>0</v>
      </c>
    </row>
    <row r="127" spans="1:64" ht="12" customHeight="1" x14ac:dyDescent="0.25">
      <c r="A127" s="35" t="s">
        <v>1117</v>
      </c>
      <c r="B127" s="201"/>
      <c r="C127" s="16">
        <f>SUM(E127:AW127)</f>
        <v>0</v>
      </c>
      <c r="D127" s="1517"/>
      <c r="E127" s="187"/>
      <c r="F127" s="187"/>
      <c r="G127" s="187"/>
      <c r="H127" s="187"/>
      <c r="I127" s="187"/>
      <c r="J127" s="187"/>
      <c r="K127" s="187"/>
      <c r="L127" s="187"/>
      <c r="M127" s="187"/>
      <c r="N127" s="187"/>
      <c r="O127" s="187"/>
      <c r="P127" s="187"/>
      <c r="Q127" s="187"/>
      <c r="R127" s="187"/>
      <c r="S127" s="187"/>
      <c r="T127" s="187"/>
      <c r="U127" s="187"/>
      <c r="V127" s="187"/>
      <c r="W127" s="187"/>
      <c r="X127" s="187"/>
      <c r="Y127" s="187"/>
      <c r="Z127" s="187"/>
      <c r="AA127" s="187"/>
      <c r="AB127" s="187"/>
      <c r="AC127" s="187"/>
      <c r="AD127" s="187"/>
      <c r="AE127" s="187"/>
      <c r="AF127" s="187"/>
      <c r="AG127" s="187"/>
      <c r="AH127" s="187"/>
      <c r="AI127" s="187"/>
      <c r="AJ127" s="187"/>
      <c r="AK127" s="187"/>
      <c r="AL127" s="187"/>
      <c r="AM127" s="187"/>
      <c r="AN127" s="187"/>
      <c r="AO127" s="187"/>
      <c r="AP127" s="187"/>
      <c r="AQ127" s="187"/>
      <c r="AR127" s="187"/>
      <c r="AS127" s="187"/>
      <c r="AT127" s="187"/>
      <c r="AU127" s="187"/>
      <c r="AV127" s="187"/>
      <c r="AW127" s="187"/>
      <c r="AX127" s="1538"/>
      <c r="AY127" s="1443"/>
      <c r="AZ127" s="1444"/>
      <c r="BA127">
        <f t="shared" si="23"/>
        <v>0</v>
      </c>
      <c r="BB127" s="204"/>
      <c r="BC127" s="204"/>
      <c r="BD127" s="477">
        <f t="shared" si="17"/>
        <v>0</v>
      </c>
    </row>
    <row r="128" spans="1:64" ht="12" customHeight="1" x14ac:dyDescent="0.25">
      <c r="A128" s="35" t="s">
        <v>1118</v>
      </c>
      <c r="B128" s="201"/>
      <c r="C128" s="16">
        <f t="shared" ref="C128:C130" si="24">SUM(E128:AW128)</f>
        <v>0</v>
      </c>
      <c r="D128" s="1517"/>
      <c r="E128" s="187"/>
      <c r="F128" s="187"/>
      <c r="G128" s="187"/>
      <c r="H128" s="187"/>
      <c r="I128" s="187"/>
      <c r="J128" s="187"/>
      <c r="K128" s="187"/>
      <c r="L128" s="187"/>
      <c r="M128" s="187"/>
      <c r="N128" s="187"/>
      <c r="O128" s="187"/>
      <c r="P128" s="187"/>
      <c r="Q128" s="187"/>
      <c r="R128" s="187"/>
      <c r="S128" s="187"/>
      <c r="T128" s="187"/>
      <c r="U128" s="187"/>
      <c r="V128" s="187"/>
      <c r="W128" s="187"/>
      <c r="X128" s="187"/>
      <c r="Y128" s="187"/>
      <c r="Z128" s="187"/>
      <c r="AA128" s="187"/>
      <c r="AB128" s="187"/>
      <c r="AC128" s="187"/>
      <c r="AD128" s="187"/>
      <c r="AE128" s="187"/>
      <c r="AF128" s="187"/>
      <c r="AG128" s="187"/>
      <c r="AH128" s="187"/>
      <c r="AI128" s="187"/>
      <c r="AJ128" s="187"/>
      <c r="AK128" s="187"/>
      <c r="AL128" s="187"/>
      <c r="AM128" s="187"/>
      <c r="AN128" s="187"/>
      <c r="AO128" s="187"/>
      <c r="AP128" s="187"/>
      <c r="AQ128" s="187"/>
      <c r="AR128" s="187"/>
      <c r="AS128" s="187"/>
      <c r="AT128" s="187"/>
      <c r="AU128" s="187"/>
      <c r="AV128" s="187"/>
      <c r="AW128" s="187"/>
      <c r="AX128" s="1538"/>
      <c r="AY128" s="1411" t="s">
        <v>1124</v>
      </c>
      <c r="AZ128" s="1412"/>
      <c r="BA128">
        <f t="shared" si="23"/>
        <v>0</v>
      </c>
      <c r="BB128" s="204"/>
      <c r="BC128" s="204"/>
      <c r="BD128" s="477">
        <f t="shared" si="17"/>
        <v>0</v>
      </c>
    </row>
    <row r="129" spans="1:63" ht="12" customHeight="1" x14ac:dyDescent="0.25">
      <c r="A129" s="35" t="s">
        <v>1119</v>
      </c>
      <c r="B129" s="201"/>
      <c r="C129" s="16">
        <f t="shared" si="24"/>
        <v>0</v>
      </c>
      <c r="D129" s="1517"/>
      <c r="E129" s="645"/>
      <c r="F129" s="645"/>
      <c r="G129" s="645"/>
      <c r="H129" s="645"/>
      <c r="I129" s="645"/>
      <c r="J129" s="645"/>
      <c r="K129" s="645"/>
      <c r="L129" s="645"/>
      <c r="M129" s="645"/>
      <c r="N129" s="645"/>
      <c r="O129" s="645"/>
      <c r="P129" s="645"/>
      <c r="Q129" s="645"/>
      <c r="R129" s="645"/>
      <c r="S129" s="645"/>
      <c r="T129" s="645"/>
      <c r="U129" s="645"/>
      <c r="V129" s="645"/>
      <c r="W129" s="645"/>
      <c r="X129" s="645"/>
      <c r="Y129" s="645"/>
      <c r="Z129" s="645"/>
      <c r="AA129" s="645"/>
      <c r="AB129" s="645"/>
      <c r="AC129" s="645"/>
      <c r="AD129" s="645"/>
      <c r="AE129" s="645"/>
      <c r="AF129" s="645"/>
      <c r="AG129" s="645"/>
      <c r="AH129" s="645"/>
      <c r="AI129" s="645"/>
      <c r="AJ129" s="645"/>
      <c r="AK129" s="645"/>
      <c r="AL129" s="645"/>
      <c r="AM129" s="645"/>
      <c r="AN129" s="645"/>
      <c r="AO129" s="645"/>
      <c r="AP129" s="645"/>
      <c r="AQ129" s="645"/>
      <c r="AR129" s="645"/>
      <c r="AS129" s="645"/>
      <c r="AT129" s="645"/>
      <c r="AU129" s="645"/>
      <c r="AV129" s="645"/>
      <c r="AW129" s="645"/>
      <c r="AX129" s="1538"/>
      <c r="AY129" s="1413"/>
      <c r="AZ129" s="1414"/>
      <c r="BA129">
        <f t="shared" si="23"/>
        <v>0</v>
      </c>
      <c r="BB129" s="204"/>
      <c r="BC129" s="204"/>
      <c r="BD129" s="477">
        <f t="shared" si="17"/>
        <v>0</v>
      </c>
    </row>
    <row r="130" spans="1:63" ht="12" customHeight="1" x14ac:dyDescent="0.25">
      <c r="A130" s="35" t="s">
        <v>1120</v>
      </c>
      <c r="B130" s="201"/>
      <c r="C130" s="16">
        <f t="shared" si="24"/>
        <v>0</v>
      </c>
      <c r="D130" s="1517"/>
      <c r="E130" s="646"/>
      <c r="F130" s="646"/>
      <c r="G130" s="646"/>
      <c r="H130" s="646"/>
      <c r="I130" s="646"/>
      <c r="J130" s="646"/>
      <c r="K130" s="646"/>
      <c r="L130" s="646"/>
      <c r="M130" s="646"/>
      <c r="N130" s="646"/>
      <c r="O130" s="646"/>
      <c r="P130" s="646"/>
      <c r="Q130" s="646"/>
      <c r="R130" s="646"/>
      <c r="S130" s="646"/>
      <c r="T130" s="646"/>
      <c r="U130" s="646"/>
      <c r="V130" s="646"/>
      <c r="W130" s="646"/>
      <c r="X130" s="646"/>
      <c r="Y130" s="646"/>
      <c r="Z130" s="646"/>
      <c r="AA130" s="646"/>
      <c r="AB130" s="646"/>
      <c r="AC130" s="646"/>
      <c r="AD130" s="646"/>
      <c r="AE130" s="646"/>
      <c r="AF130" s="646"/>
      <c r="AG130" s="646"/>
      <c r="AH130" s="646"/>
      <c r="AI130" s="646"/>
      <c r="AJ130" s="646"/>
      <c r="AK130" s="646"/>
      <c r="AL130" s="646"/>
      <c r="AM130" s="646"/>
      <c r="AN130" s="646"/>
      <c r="AO130" s="646"/>
      <c r="AP130" s="646"/>
      <c r="AQ130" s="646"/>
      <c r="AR130" s="646"/>
      <c r="AS130" s="646"/>
      <c r="AT130" s="646"/>
      <c r="AU130" s="646"/>
      <c r="AV130" s="646"/>
      <c r="AW130" s="646"/>
      <c r="AX130" s="1538"/>
      <c r="AY130" s="1428">
        <f>SUM(BA123:BA130)</f>
        <v>0</v>
      </c>
      <c r="AZ130" s="1429"/>
      <c r="BA130" s="476">
        <f>SUM(BB130*2+BC130)*C130</f>
        <v>0</v>
      </c>
      <c r="BB130" s="204"/>
      <c r="BC130" s="204"/>
      <c r="BD130" s="478">
        <f t="shared" si="17"/>
        <v>0</v>
      </c>
    </row>
    <row r="131" spans="1:63" ht="12" customHeight="1" x14ac:dyDescent="0.2">
      <c r="A131" s="35" t="s">
        <v>269</v>
      </c>
      <c r="B131" s="201"/>
      <c r="C131" s="16">
        <f>SUM(C122)/1.5</f>
        <v>0</v>
      </c>
      <c r="D131" s="1517"/>
      <c r="E131" s="1551"/>
      <c r="F131" s="1551"/>
      <c r="G131" s="1551"/>
      <c r="H131" s="1551"/>
      <c r="I131" s="1551"/>
      <c r="J131" s="1551"/>
      <c r="K131" s="1551"/>
      <c r="L131" s="1551"/>
      <c r="M131" s="1551"/>
      <c r="N131" s="1551"/>
      <c r="O131" s="1551"/>
      <c r="P131" s="1551"/>
      <c r="Q131" s="1551"/>
      <c r="R131" s="1551"/>
      <c r="S131" s="1551"/>
      <c r="T131" s="1551"/>
      <c r="U131" s="1551"/>
      <c r="V131" s="1551"/>
      <c r="W131" s="1551"/>
      <c r="X131" s="1551"/>
      <c r="Y131" s="1551"/>
      <c r="Z131" s="1551"/>
      <c r="AA131" s="1551"/>
      <c r="AB131" s="1551"/>
      <c r="AC131" s="1551"/>
      <c r="AD131" s="1551"/>
      <c r="AE131" s="1551"/>
      <c r="AF131" s="1551"/>
      <c r="AG131" s="1551"/>
      <c r="AH131" s="1551"/>
      <c r="AI131" s="1551"/>
      <c r="AJ131" s="1551"/>
      <c r="AK131" s="1551"/>
      <c r="AL131" s="1551"/>
      <c r="AM131" s="1551"/>
      <c r="AN131" s="1551"/>
      <c r="AO131" s="1551"/>
      <c r="AP131" s="1551"/>
      <c r="AQ131" s="1551"/>
      <c r="AR131" s="1551"/>
      <c r="AS131" s="1551"/>
      <c r="AT131" s="1551"/>
      <c r="AU131" s="1551"/>
      <c r="AV131" s="1551"/>
      <c r="AW131" s="1558"/>
      <c r="AX131" s="1538"/>
      <c r="AY131" s="1403"/>
      <c r="AZ131" s="1404"/>
      <c r="BA131" s="1404"/>
      <c r="BB131" s="1404"/>
      <c r="BC131" s="1404"/>
      <c r="BD131" s="1405"/>
    </row>
    <row r="132" spans="1:63" ht="12" customHeight="1" x14ac:dyDescent="0.2">
      <c r="A132" s="35" t="s">
        <v>270</v>
      </c>
      <c r="B132" s="201"/>
      <c r="C132" s="16">
        <f>SUM(C122)/100</f>
        <v>0</v>
      </c>
      <c r="D132" s="1519"/>
      <c r="E132" s="1519"/>
      <c r="F132" s="1519"/>
      <c r="G132" s="1519"/>
      <c r="H132" s="1519"/>
      <c r="I132" s="1519"/>
      <c r="J132" s="1519"/>
      <c r="K132" s="1519"/>
      <c r="L132" s="1519"/>
      <c r="M132" s="1519"/>
      <c r="N132" s="1519"/>
      <c r="O132" s="1519"/>
      <c r="P132" s="1519"/>
      <c r="Q132" s="1519"/>
      <c r="R132" s="1519"/>
      <c r="S132" s="1519"/>
      <c r="T132" s="1519"/>
      <c r="U132" s="1519"/>
      <c r="V132" s="1519"/>
      <c r="W132" s="1519"/>
      <c r="X132" s="1519"/>
      <c r="Y132" s="1519"/>
      <c r="Z132" s="1519"/>
      <c r="AA132" s="1519"/>
      <c r="AB132" s="1519"/>
      <c r="AC132" s="1519"/>
      <c r="AD132" s="1519"/>
      <c r="AE132" s="1519"/>
      <c r="AF132" s="1519"/>
      <c r="AG132" s="1519"/>
      <c r="AH132" s="1519"/>
      <c r="AI132" s="1519"/>
      <c r="AJ132" s="1519"/>
      <c r="AK132" s="1519"/>
      <c r="AL132" s="1519"/>
      <c r="AM132" s="1519"/>
      <c r="AN132" s="1519"/>
      <c r="AO132" s="1519"/>
      <c r="AP132" s="1519"/>
      <c r="AQ132" s="1519"/>
      <c r="AR132" s="1519"/>
      <c r="AS132" s="1519"/>
      <c r="AT132" s="1519"/>
      <c r="AU132" s="1519"/>
      <c r="AV132" s="1519"/>
      <c r="AW132" s="1520"/>
      <c r="AX132" s="1539"/>
      <c r="AY132" s="1406"/>
      <c r="AZ132" s="1407"/>
      <c r="BA132" s="1407"/>
      <c r="BB132" s="1407"/>
      <c r="BC132" s="1407"/>
      <c r="BD132" s="1408"/>
    </row>
    <row r="133" spans="1:63" s="471" customFormat="1" ht="2.4500000000000002" customHeight="1" x14ac:dyDescent="0.2">
      <c r="A133" s="1433"/>
      <c r="B133" s="1434"/>
      <c r="C133" s="1434"/>
      <c r="D133" s="1434"/>
      <c r="E133" s="1435"/>
      <c r="F133" s="1435"/>
      <c r="G133" s="1435"/>
      <c r="H133" s="1435"/>
      <c r="I133" s="1435"/>
      <c r="J133" s="1435"/>
      <c r="K133" s="1435"/>
      <c r="L133" s="1435"/>
      <c r="M133" s="1435"/>
      <c r="N133" s="1435"/>
      <c r="O133" s="1435"/>
      <c r="P133" s="1435"/>
      <c r="Q133" s="1435"/>
      <c r="R133" s="1435"/>
      <c r="S133" s="1435"/>
      <c r="T133" s="1435"/>
      <c r="U133" s="1435"/>
      <c r="V133" s="1435"/>
      <c r="W133" s="1435"/>
      <c r="X133" s="1435"/>
      <c r="Y133" s="1435"/>
      <c r="Z133" s="1435"/>
      <c r="AA133" s="1435"/>
      <c r="AB133" s="1435"/>
      <c r="AC133" s="1435"/>
      <c r="AD133" s="1435"/>
      <c r="AE133" s="1435"/>
      <c r="AF133" s="1435"/>
      <c r="AG133" s="1435"/>
      <c r="AH133" s="1435"/>
      <c r="AI133" s="1435"/>
      <c r="AJ133" s="1435"/>
      <c r="AK133" s="1435"/>
      <c r="AL133" s="1435"/>
      <c r="AM133" s="1435"/>
      <c r="AN133" s="1435"/>
      <c r="AO133" s="1435"/>
      <c r="AP133" s="1435"/>
      <c r="AQ133" s="1435"/>
      <c r="AR133" s="1435"/>
      <c r="AS133" s="1435"/>
      <c r="AT133" s="1435"/>
      <c r="AU133" s="1435"/>
      <c r="AV133" s="1435"/>
      <c r="AW133" s="1435"/>
      <c r="AX133" s="1436"/>
    </row>
    <row r="134" spans="1:63" ht="12" customHeight="1" x14ac:dyDescent="0.25">
      <c r="A134" s="35" t="s">
        <v>10243</v>
      </c>
      <c r="B134" s="201"/>
      <c r="C134" s="16">
        <f t="shared" ref="C134:C140" si="25">SUM(E134:AV134)</f>
        <v>0</v>
      </c>
      <c r="D134" s="705"/>
      <c r="E134" s="187"/>
      <c r="F134" s="187"/>
      <c r="G134" s="187"/>
      <c r="H134" s="187"/>
      <c r="I134" s="187"/>
      <c r="J134" s="187"/>
      <c r="K134" s="187"/>
      <c r="L134" s="187"/>
      <c r="M134" s="187"/>
      <c r="N134" s="187"/>
      <c r="O134" s="187"/>
      <c r="P134" s="187"/>
      <c r="Q134" s="187"/>
      <c r="R134" s="187"/>
      <c r="S134" s="187"/>
      <c r="T134" s="187"/>
      <c r="U134" s="187"/>
      <c r="V134" s="187"/>
      <c r="W134" s="187"/>
      <c r="X134" s="187"/>
      <c r="Y134" s="187"/>
      <c r="Z134" s="187"/>
      <c r="AA134" s="187"/>
      <c r="AB134" s="187"/>
      <c r="AC134" s="187"/>
      <c r="AD134" s="187"/>
      <c r="AE134" s="187"/>
      <c r="AF134" s="187"/>
      <c r="AG134" s="187"/>
      <c r="AH134" s="187"/>
      <c r="AI134" s="187"/>
      <c r="AJ134" s="187"/>
      <c r="AK134" s="187"/>
      <c r="AL134" s="187"/>
      <c r="AM134" s="187"/>
      <c r="AN134" s="187"/>
      <c r="AO134" s="187"/>
      <c r="AP134" s="187"/>
      <c r="AQ134" s="187"/>
      <c r="AR134" s="187"/>
      <c r="AS134" s="187"/>
      <c r="AT134" s="187"/>
      <c r="AU134" s="187"/>
      <c r="AV134" s="187"/>
      <c r="AX134" s="1411" t="s">
        <v>1237</v>
      </c>
      <c r="AY134" s="1412"/>
      <c r="AZ134">
        <f t="shared" ref="AZ134:AZ140" si="26">SUM((BA134+BB134)*2)*C134</f>
        <v>0</v>
      </c>
      <c r="BA134" s="204"/>
      <c r="BB134" s="204"/>
      <c r="BC134" s="477">
        <f t="shared" ref="BC134:BC140" si="27">BA134*BB134*C134</f>
        <v>0</v>
      </c>
      <c r="BJ134" s="512"/>
      <c r="BK134" s="512"/>
    </row>
    <row r="135" spans="1:63" ht="12" customHeight="1" x14ac:dyDescent="0.25">
      <c r="A135" s="35" t="s">
        <v>10244</v>
      </c>
      <c r="B135" s="201"/>
      <c r="C135" s="16">
        <f t="shared" si="25"/>
        <v>0</v>
      </c>
      <c r="D135" s="705" t="s">
        <v>10245</v>
      </c>
      <c r="E135" s="645"/>
      <c r="F135" s="645"/>
      <c r="G135" s="645"/>
      <c r="H135" s="645"/>
      <c r="I135" s="645"/>
      <c r="J135" s="645"/>
      <c r="K135" s="645"/>
      <c r="L135" s="645"/>
      <c r="M135" s="645"/>
      <c r="N135" s="645"/>
      <c r="O135" s="645"/>
      <c r="P135" s="645"/>
      <c r="Q135" s="645"/>
      <c r="R135" s="645"/>
      <c r="S135" s="645"/>
      <c r="T135" s="645"/>
      <c r="U135" s="645"/>
      <c r="V135" s="645"/>
      <c r="W135" s="645"/>
      <c r="X135" s="645"/>
      <c r="Y135" s="645"/>
      <c r="Z135" s="645"/>
      <c r="AA135" s="645"/>
      <c r="AB135" s="645"/>
      <c r="AC135" s="645"/>
      <c r="AD135" s="645"/>
      <c r="AE135" s="645"/>
      <c r="AF135" s="645"/>
      <c r="AG135" s="645"/>
      <c r="AH135" s="645"/>
      <c r="AI135" s="645"/>
      <c r="AJ135" s="645"/>
      <c r="AK135" s="645"/>
      <c r="AL135" s="645"/>
      <c r="AM135" s="645"/>
      <c r="AN135" s="645"/>
      <c r="AO135" s="645"/>
      <c r="AP135" s="645"/>
      <c r="AQ135" s="645"/>
      <c r="AR135" s="645"/>
      <c r="AS135" s="645"/>
      <c r="AT135" s="645"/>
      <c r="AU135" s="645"/>
      <c r="AV135" s="645"/>
      <c r="AX135" s="1413"/>
      <c r="AY135" s="1414"/>
      <c r="AZ135">
        <f t="shared" si="26"/>
        <v>0</v>
      </c>
      <c r="BA135" s="204"/>
      <c r="BB135" s="204"/>
      <c r="BC135" s="477">
        <f t="shared" si="27"/>
        <v>0</v>
      </c>
      <c r="BJ135" s="512"/>
      <c r="BK135" s="512"/>
    </row>
    <row r="136" spans="1:63" ht="12" customHeight="1" x14ac:dyDescent="0.25">
      <c r="A136" s="35" t="s">
        <v>10246</v>
      </c>
      <c r="B136" s="201"/>
      <c r="C136" s="16">
        <f t="shared" si="25"/>
        <v>0</v>
      </c>
      <c r="D136" s="706" t="s">
        <v>10247</v>
      </c>
      <c r="E136" s="646"/>
      <c r="F136" s="646"/>
      <c r="G136" s="646"/>
      <c r="H136" s="646"/>
      <c r="I136" s="646"/>
      <c r="J136" s="646"/>
      <c r="K136" s="646"/>
      <c r="L136" s="646"/>
      <c r="M136" s="646"/>
      <c r="N136" s="646"/>
      <c r="O136" s="646"/>
      <c r="P136" s="646"/>
      <c r="Q136" s="646"/>
      <c r="R136" s="646"/>
      <c r="S136" s="646"/>
      <c r="T136" s="646"/>
      <c r="U136" s="646"/>
      <c r="V136" s="646"/>
      <c r="W136" s="646"/>
      <c r="X136" s="646"/>
      <c r="Y136" s="646"/>
      <c r="Z136" s="646"/>
      <c r="AA136" s="646"/>
      <c r="AB136" s="646"/>
      <c r="AC136" s="646"/>
      <c r="AD136" s="646"/>
      <c r="AE136" s="646"/>
      <c r="AF136" s="646"/>
      <c r="AG136" s="646"/>
      <c r="AH136" s="646"/>
      <c r="AI136" s="646"/>
      <c r="AJ136" s="646"/>
      <c r="AK136" s="646"/>
      <c r="AL136" s="646"/>
      <c r="AM136" s="646"/>
      <c r="AN136" s="646"/>
      <c r="AO136" s="646"/>
      <c r="AP136" s="646"/>
      <c r="AQ136" s="646"/>
      <c r="AR136" s="646"/>
      <c r="AS136" s="646"/>
      <c r="AT136" s="646"/>
      <c r="AU136" s="646"/>
      <c r="AV136" s="646"/>
      <c r="AZ136">
        <f t="shared" si="26"/>
        <v>0</v>
      </c>
      <c r="BA136" s="204"/>
      <c r="BB136" s="204"/>
      <c r="BC136" s="477">
        <f t="shared" si="27"/>
        <v>0</v>
      </c>
      <c r="BJ136" s="512"/>
      <c r="BK136" s="512"/>
    </row>
    <row r="137" spans="1:63" ht="12" customHeight="1" x14ac:dyDescent="0.25">
      <c r="A137" s="35" t="s">
        <v>10248</v>
      </c>
      <c r="B137" s="201"/>
      <c r="C137" s="16">
        <f t="shared" si="25"/>
        <v>0</v>
      </c>
      <c r="D137" s="707" t="s">
        <v>10249</v>
      </c>
      <c r="E137" s="187"/>
      <c r="F137" s="187"/>
      <c r="G137" s="187"/>
      <c r="H137" s="187"/>
      <c r="I137" s="187"/>
      <c r="J137" s="187"/>
      <c r="K137" s="187"/>
      <c r="L137" s="187"/>
      <c r="M137" s="187"/>
      <c r="N137" s="187"/>
      <c r="O137" s="187"/>
      <c r="P137" s="187"/>
      <c r="Q137" s="187"/>
      <c r="R137" s="187"/>
      <c r="S137" s="187"/>
      <c r="T137" s="187"/>
      <c r="U137" s="187"/>
      <c r="V137" s="187"/>
      <c r="W137" s="187"/>
      <c r="X137" s="187"/>
      <c r="Y137" s="187"/>
      <c r="Z137" s="187"/>
      <c r="AA137" s="187"/>
      <c r="AB137" s="187"/>
      <c r="AC137" s="187"/>
      <c r="AD137" s="187"/>
      <c r="AE137" s="187"/>
      <c r="AF137" s="187"/>
      <c r="AG137" s="187"/>
      <c r="AH137" s="187"/>
      <c r="AI137" s="187"/>
      <c r="AJ137" s="187"/>
      <c r="AK137" s="187"/>
      <c r="AL137" s="187"/>
      <c r="AM137" s="187"/>
      <c r="AN137" s="187"/>
      <c r="AO137" s="187"/>
      <c r="AP137" s="187"/>
      <c r="AQ137" s="187"/>
      <c r="AR137" s="187"/>
      <c r="AS137" s="187"/>
      <c r="AT137" s="187"/>
      <c r="AU137" s="187"/>
      <c r="AV137" s="187"/>
      <c r="AZ137">
        <f t="shared" si="26"/>
        <v>0</v>
      </c>
      <c r="BA137" s="204"/>
      <c r="BB137" s="204"/>
      <c r="BC137" s="477">
        <f t="shared" si="27"/>
        <v>0</v>
      </c>
      <c r="BJ137" s="512"/>
      <c r="BK137" s="512"/>
    </row>
    <row r="138" spans="1:63" ht="12" customHeight="1" x14ac:dyDescent="0.25">
      <c r="A138" s="35" t="s">
        <v>10250</v>
      </c>
      <c r="B138" s="201"/>
      <c r="C138" s="16">
        <f t="shared" si="25"/>
        <v>0</v>
      </c>
      <c r="D138" s="705"/>
      <c r="E138" s="187"/>
      <c r="F138" s="187"/>
      <c r="G138" s="187"/>
      <c r="H138" s="187"/>
      <c r="I138" s="187"/>
      <c r="J138" s="187"/>
      <c r="K138" s="187"/>
      <c r="L138" s="187"/>
      <c r="M138" s="187"/>
      <c r="N138" s="187"/>
      <c r="O138" s="187"/>
      <c r="P138" s="187"/>
      <c r="Q138" s="187"/>
      <c r="R138" s="187"/>
      <c r="S138" s="187"/>
      <c r="T138" s="187"/>
      <c r="U138" s="187"/>
      <c r="V138" s="187"/>
      <c r="W138" s="187"/>
      <c r="X138" s="187"/>
      <c r="Y138" s="187"/>
      <c r="Z138" s="187"/>
      <c r="AA138" s="187"/>
      <c r="AB138" s="187"/>
      <c r="AC138" s="187"/>
      <c r="AD138" s="187"/>
      <c r="AE138" s="187"/>
      <c r="AF138" s="187"/>
      <c r="AG138" s="187"/>
      <c r="AH138" s="187"/>
      <c r="AI138" s="187"/>
      <c r="AJ138" s="187"/>
      <c r="AK138" s="187"/>
      <c r="AL138" s="187"/>
      <c r="AM138" s="187"/>
      <c r="AN138" s="187"/>
      <c r="AO138" s="187"/>
      <c r="AP138" s="187"/>
      <c r="AQ138" s="187"/>
      <c r="AR138" s="187"/>
      <c r="AS138" s="187"/>
      <c r="AT138" s="187"/>
      <c r="AU138" s="187"/>
      <c r="AV138" s="187"/>
      <c r="AZ138">
        <f t="shared" si="26"/>
        <v>0</v>
      </c>
      <c r="BA138" s="204"/>
      <c r="BB138" s="204"/>
      <c r="BC138" s="477">
        <f t="shared" si="27"/>
        <v>0</v>
      </c>
      <c r="BJ138" s="512"/>
      <c r="BK138" s="512"/>
    </row>
    <row r="139" spans="1:63" ht="12" customHeight="1" x14ac:dyDescent="0.25">
      <c r="A139" s="35" t="s">
        <v>10251</v>
      </c>
      <c r="B139" s="201"/>
      <c r="C139" s="16">
        <f t="shared" si="25"/>
        <v>0</v>
      </c>
      <c r="D139" s="705" t="s">
        <v>7916</v>
      </c>
      <c r="E139" s="187"/>
      <c r="F139" s="187"/>
      <c r="G139" s="187"/>
      <c r="H139" s="187"/>
      <c r="I139" s="187"/>
      <c r="J139" s="187"/>
      <c r="K139" s="187"/>
      <c r="L139" s="187"/>
      <c r="M139" s="187"/>
      <c r="N139" s="187"/>
      <c r="O139" s="187"/>
      <c r="P139" s="187"/>
      <c r="Q139" s="187"/>
      <c r="R139" s="187"/>
      <c r="S139" s="187"/>
      <c r="T139" s="187"/>
      <c r="U139" s="187"/>
      <c r="V139" s="187"/>
      <c r="W139" s="187"/>
      <c r="X139" s="187"/>
      <c r="Y139" s="187"/>
      <c r="Z139" s="187"/>
      <c r="AA139" s="187"/>
      <c r="AB139" s="187"/>
      <c r="AC139" s="187"/>
      <c r="AD139" s="187"/>
      <c r="AE139" s="187"/>
      <c r="AF139" s="187"/>
      <c r="AG139" s="187"/>
      <c r="AH139" s="187"/>
      <c r="AI139" s="187"/>
      <c r="AJ139" s="187"/>
      <c r="AK139" s="187"/>
      <c r="AL139" s="187"/>
      <c r="AM139" s="187"/>
      <c r="AN139" s="187"/>
      <c r="AO139" s="187"/>
      <c r="AP139" s="187"/>
      <c r="AQ139" s="187"/>
      <c r="AR139" s="187"/>
      <c r="AS139" s="187"/>
      <c r="AT139" s="187"/>
      <c r="AU139" s="187"/>
      <c r="AV139" s="187"/>
      <c r="AZ139">
        <f t="shared" si="26"/>
        <v>0</v>
      </c>
      <c r="BA139" s="204"/>
      <c r="BB139" s="204"/>
      <c r="BC139" s="477">
        <f t="shared" si="27"/>
        <v>0</v>
      </c>
      <c r="BJ139" s="512"/>
      <c r="BK139" s="512"/>
    </row>
    <row r="140" spans="1:63" ht="12" customHeight="1" x14ac:dyDescent="0.25">
      <c r="A140" s="35" t="s">
        <v>10252</v>
      </c>
      <c r="B140" s="201"/>
      <c r="C140" s="16">
        <f t="shared" si="25"/>
        <v>0</v>
      </c>
      <c r="D140" s="705" t="s">
        <v>7916</v>
      </c>
      <c r="E140" s="187"/>
      <c r="F140" s="187"/>
      <c r="G140" s="187"/>
      <c r="H140" s="187"/>
      <c r="I140" s="187"/>
      <c r="J140" s="187"/>
      <c r="K140" s="187"/>
      <c r="L140" s="187"/>
      <c r="M140" s="187"/>
      <c r="N140" s="187"/>
      <c r="O140" s="187"/>
      <c r="P140" s="187"/>
      <c r="Q140" s="187"/>
      <c r="R140" s="187"/>
      <c r="S140" s="187"/>
      <c r="T140" s="187"/>
      <c r="U140" s="187"/>
      <c r="V140" s="187"/>
      <c r="W140" s="187"/>
      <c r="X140" s="187"/>
      <c r="Y140" s="187"/>
      <c r="Z140" s="187"/>
      <c r="AA140" s="187"/>
      <c r="AB140" s="187"/>
      <c r="AC140" s="187"/>
      <c r="AD140" s="187"/>
      <c r="AE140" s="187"/>
      <c r="AF140" s="187"/>
      <c r="AG140" s="187"/>
      <c r="AH140" s="187"/>
      <c r="AI140" s="187"/>
      <c r="AJ140" s="187"/>
      <c r="AK140" s="187"/>
      <c r="AL140" s="187"/>
      <c r="AM140" s="187"/>
      <c r="AN140" s="187"/>
      <c r="AO140" s="187"/>
      <c r="AP140" s="187"/>
      <c r="AQ140" s="187"/>
      <c r="AR140" s="187"/>
      <c r="AS140" s="187"/>
      <c r="AT140" s="187"/>
      <c r="AU140" s="187"/>
      <c r="AV140" s="187"/>
      <c r="AZ140">
        <f t="shared" si="26"/>
        <v>0</v>
      </c>
      <c r="BA140" s="204"/>
      <c r="BB140" s="204"/>
      <c r="BC140" s="477">
        <f t="shared" si="27"/>
        <v>0</v>
      </c>
      <c r="BJ140" s="512"/>
      <c r="BK140" s="512"/>
    </row>
  </sheetData>
  <mergeCells count="128">
    <mergeCell ref="AX109:AX132"/>
    <mergeCell ref="D110:D132"/>
    <mergeCell ref="C109:D109"/>
    <mergeCell ref="E109:AW109"/>
    <mergeCell ref="AU122:AW122"/>
    <mergeCell ref="A78:AX78"/>
    <mergeCell ref="C79:D79"/>
    <mergeCell ref="E79:AW79"/>
    <mergeCell ref="E131:AW132"/>
    <mergeCell ref="K88:AW90"/>
    <mergeCell ref="E101:AW102"/>
    <mergeCell ref="AU96:AW96"/>
    <mergeCell ref="H53:L53"/>
    <mergeCell ref="M52:AW53"/>
    <mergeCell ref="E88:I88"/>
    <mergeCell ref="E89:I89"/>
    <mergeCell ref="E90:I90"/>
    <mergeCell ref="BC1:BC3"/>
    <mergeCell ref="E3:AQ3"/>
    <mergeCell ref="BB55:BC55"/>
    <mergeCell ref="A56:AW56"/>
    <mergeCell ref="E68:AW71"/>
    <mergeCell ref="D58:D77"/>
    <mergeCell ref="E76:AW77"/>
    <mergeCell ref="D37:D45"/>
    <mergeCell ref="D22:D34"/>
    <mergeCell ref="B57:B77"/>
    <mergeCell ref="C57:D57"/>
    <mergeCell ref="C36:D36"/>
    <mergeCell ref="E36:AW36"/>
    <mergeCell ref="D52:F52"/>
    <mergeCell ref="E57:AW57"/>
    <mergeCell ref="E38:AW41"/>
    <mergeCell ref="E43:AW45"/>
    <mergeCell ref="AY82:AZ82"/>
    <mergeCell ref="E83:AW83"/>
    <mergeCell ref="BE1:BE3"/>
    <mergeCell ref="BB47:BC47"/>
    <mergeCell ref="BB48:BC48"/>
    <mergeCell ref="BB49:BC49"/>
    <mergeCell ref="BD42:BF42"/>
    <mergeCell ref="BB51:BC51"/>
    <mergeCell ref="AV23:AV24"/>
    <mergeCell ref="BD46:BF46"/>
    <mergeCell ref="BB46:BC46"/>
    <mergeCell ref="BB39:BC39"/>
    <mergeCell ref="BB41:BC41"/>
    <mergeCell ref="BB45:BC45"/>
    <mergeCell ref="BB42:BC42"/>
    <mergeCell ref="BB43:BC43"/>
    <mergeCell ref="BB44:BC44"/>
    <mergeCell ref="BB40:BC40"/>
    <mergeCell ref="AW3:AW20"/>
    <mergeCell ref="AR3:AV3"/>
    <mergeCell ref="BB50:BC50"/>
    <mergeCell ref="AX36:AX56"/>
    <mergeCell ref="AU37:AW37"/>
    <mergeCell ref="E22:AW22"/>
    <mergeCell ref="E29:AV29"/>
    <mergeCell ref="AW28:AW31"/>
    <mergeCell ref="BG36:BL36"/>
    <mergeCell ref="BG37:BL37"/>
    <mergeCell ref="AY37:BC37"/>
    <mergeCell ref="BB36:BC36"/>
    <mergeCell ref="BB38:BC38"/>
    <mergeCell ref="C1:D1"/>
    <mergeCell ref="E2:AQ2"/>
    <mergeCell ref="B22:B34"/>
    <mergeCell ref="B36:B55"/>
    <mergeCell ref="B1:B20"/>
    <mergeCell ref="A21:AW21"/>
    <mergeCell ref="AY1:BA2"/>
    <mergeCell ref="AY21:BA21"/>
    <mergeCell ref="AX1:AX35"/>
    <mergeCell ref="AU1:AW1"/>
    <mergeCell ref="D54:D55"/>
    <mergeCell ref="D53:F53"/>
    <mergeCell ref="AT54:AW55"/>
    <mergeCell ref="AR2:AV2"/>
    <mergeCell ref="A35:AW35"/>
    <mergeCell ref="AW23:AW27"/>
    <mergeCell ref="AV32:AV33"/>
    <mergeCell ref="AY35:BL35"/>
    <mergeCell ref="BB52:BC52"/>
    <mergeCell ref="AY126:AZ127"/>
    <mergeCell ref="AY91:AZ92"/>
    <mergeCell ref="BA99:BC108"/>
    <mergeCell ref="BA57:BC57"/>
    <mergeCell ref="BB53:BC53"/>
    <mergeCell ref="BB54:BC54"/>
    <mergeCell ref="AY56:BL56"/>
    <mergeCell ref="BK79:BN79"/>
    <mergeCell ref="AY84:AZ86"/>
    <mergeCell ref="AY89:AZ89"/>
    <mergeCell ref="BA79:BC79"/>
    <mergeCell ref="BH91:BI91"/>
    <mergeCell ref="AY100:AZ100"/>
    <mergeCell ref="AY101:AZ102"/>
    <mergeCell ref="BG79:BI79"/>
    <mergeCell ref="BA88:BC98"/>
    <mergeCell ref="BH87:BI87"/>
    <mergeCell ref="BH88:BI88"/>
    <mergeCell ref="BH89:BI89"/>
    <mergeCell ref="BH90:BI90"/>
    <mergeCell ref="AY131:BD132"/>
    <mergeCell ref="AU67:AW67"/>
    <mergeCell ref="AX134:AY135"/>
    <mergeCell ref="BH106:BI106"/>
    <mergeCell ref="BH107:BI107"/>
    <mergeCell ref="BD99:BI99"/>
    <mergeCell ref="BG100:BI101"/>
    <mergeCell ref="BH97:BI97"/>
    <mergeCell ref="BH103:BI103"/>
    <mergeCell ref="BH104:BI104"/>
    <mergeCell ref="BH105:BI105"/>
    <mergeCell ref="AY130:AZ130"/>
    <mergeCell ref="AY109:BA109"/>
    <mergeCell ref="AY122:BA122"/>
    <mergeCell ref="AY121:AZ121"/>
    <mergeCell ref="A108:AX108"/>
    <mergeCell ref="A133:AX133"/>
    <mergeCell ref="AY128:AZ129"/>
    <mergeCell ref="AY119:AZ120"/>
    <mergeCell ref="AY110:AZ111"/>
    <mergeCell ref="AY112:AZ112"/>
    <mergeCell ref="AY123:AZ124"/>
    <mergeCell ref="AY125:AZ125"/>
    <mergeCell ref="AY113:AZ118"/>
  </mergeCells>
  <phoneticPr fontId="57" type="noConversion"/>
  <dataValidations count="8">
    <dataValidation type="list" allowBlank="1" showInputMessage="1" showErrorMessage="1" sqref="A101 A69" xr:uid="{8D1945DB-9A51-408F-8CE8-6A896371350B}">
      <formula1>$BD$58:$BD$64</formula1>
    </dataValidation>
    <dataValidation type="list" allowBlank="1" showInputMessage="1" showErrorMessage="1" sqref="A90" xr:uid="{ADA75AAD-E94F-406C-9360-BC3D7F5371AE}">
      <formula1>$BD$99:$BD$101</formula1>
    </dataValidation>
    <dataValidation type="list" allowBlank="1" showInputMessage="1" showErrorMessage="1" sqref="A91:A92" xr:uid="{EE04D976-AA0F-474E-99D7-9EA0FB6C42C7}">
      <formula1>$BD$102:$BD$107</formula1>
    </dataValidation>
    <dataValidation type="list" allowBlank="1" showInputMessage="1" showErrorMessage="1" sqref="A81" xr:uid="{C3262DC2-2A60-40BD-8EAB-D743E22EE0AC}">
      <formula1>$BD$80:$BD$84</formula1>
    </dataValidation>
    <dataValidation type="list" allowBlank="1" showInputMessage="1" showErrorMessage="1" sqref="A122 A102 A70" xr:uid="{2309F8BF-D956-4429-89A5-83F808BC39BD}">
      <formula1>$BD$65:$BD$77</formula1>
    </dataValidation>
    <dataValidation type="list" allowBlank="1" showInputMessage="1" showErrorMessage="1" sqref="A80" xr:uid="{B6453E0B-E93C-46AE-A2A5-D28930EBDFBB}">
      <formula1>$BO$103:$BO$107</formula1>
    </dataValidation>
    <dataValidation type="list" allowBlank="1" showInputMessage="1" showErrorMessage="1" sqref="A82" xr:uid="{D5744158-22CF-4C4A-86CB-317031F523FF}">
      <formula1>$BO$80:$BO$102</formula1>
    </dataValidation>
    <dataValidation type="list" allowBlank="1" showInputMessage="1" showErrorMessage="1" sqref="A84:A87 A93" xr:uid="{96BCFBAC-06D7-43B8-A6AE-0975C77D17E9}">
      <formula1>$BD$86:$BD$97</formula1>
    </dataValidation>
  </dataValidations>
  <hyperlinks>
    <hyperlink ref="D137" r:id="rId1" xr:uid="{7B7854B1-0458-4575-A23E-80479D47B55E}"/>
    <hyperlink ref="D136" r:id="rId2" xr:uid="{EBC2D90F-D49D-4167-8422-E6019B7950FF}"/>
  </hyperlinks>
  <printOptions horizontalCentered="1" gridLines="1"/>
  <pageMargins left="0.19685039370078741" right="0.23622047244094491" top="0.23622047244094491" bottom="0.47244094488188981" header="0.23622047244094491" footer="0.19685039370078741"/>
  <pageSetup scale="85" fitToHeight="0" orientation="landscape" r:id="rId3"/>
  <headerFooter alignWithMargins="0">
    <oddFooter>&amp;L&amp;"Arial,Bold"&amp;8Printed &amp;D&amp;R&amp;"Arial,Bold"&amp;8Page &amp;P of &amp;N</oddFooter>
  </headerFooter>
  <rowBreaks count="1" manualBreakCount="1">
    <brk id="55" max="16383" man="1"/>
  </rowBreaks>
  <legacyDrawing r:id="rId4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F61EE50-BE30-4EDA-8396-C1816B09129F}">
          <x14:formula1>
            <xm:f>'R Data'!$A$10:$A$11</xm:f>
          </x14:formula1>
          <xm:sqref>J88:J90</xm:sqref>
        </x14:dataValidation>
        <x14:dataValidation type="list" allowBlank="1" showInputMessage="1" showErrorMessage="1" xr:uid="{9E09B930-44EF-4E67-B88C-D995F1DA1170}">
          <x14:formula1>
            <xm:f>'R Data'!$A$44:$A$45</xm:f>
          </x14:formula1>
          <xm:sqref>D82</xm:sqref>
        </x14:dataValidation>
        <x14:dataValidation type="list" allowBlank="1" showInputMessage="1" showErrorMessage="1" xr:uid="{49F81DD6-476F-4D24-983A-DC2E7CE1359E}">
          <x14:formula1>
            <xm:f>'R Data'!$A$47:$A$50</xm:f>
          </x14:formula1>
          <xm:sqref>D94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70AACD-5DDA-4E4B-B898-7F81508A8211}">
  <sheetPr codeName="Sheet1">
    <tabColor theme="9" tint="0.59999389629810485"/>
    <pageSetUpPr fitToPage="1"/>
  </sheetPr>
  <dimension ref="A1:BZ393"/>
  <sheetViews>
    <sheetView tabSelected="1" topLeftCell="A21" zoomScaleNormal="100" workbookViewId="0">
      <selection activeCell="D93" sqref="D93:S93"/>
    </sheetView>
  </sheetViews>
  <sheetFormatPr defaultRowHeight="21" customHeight="1" x14ac:dyDescent="0.25"/>
  <cols>
    <col min="1" max="1" width="9.140625" style="328"/>
    <col min="2" max="2" width="6.42578125" style="411" customWidth="1"/>
    <col min="3" max="3" width="29.85546875" style="328" customWidth="1"/>
    <col min="4" max="4" width="4.5703125" style="202" customWidth="1"/>
    <col min="5" max="7" width="4.5703125" style="412" customWidth="1"/>
    <col min="8" max="9" width="4.5703125" style="328" customWidth="1"/>
    <col min="10" max="10" width="6.5703125" style="382" customWidth="1"/>
    <col min="11" max="11" width="5" style="202" customWidth="1"/>
    <col min="12" max="12" width="5" style="381" customWidth="1"/>
    <col min="13" max="13" width="8.7109375" style="382" customWidth="1"/>
    <col min="14" max="14" width="5" style="381" customWidth="1"/>
    <col min="15" max="15" width="8.7109375" style="382" customWidth="1"/>
    <col min="16" max="16" width="5" style="381" customWidth="1"/>
    <col min="17" max="17" width="9.140625" style="383" customWidth="1"/>
    <col min="18" max="18" width="5" style="381" customWidth="1"/>
    <col min="19" max="19" width="6.5703125" style="383" bestFit="1" customWidth="1"/>
    <col min="20" max="20" width="8.42578125" style="383" bestFit="1" customWidth="1"/>
    <col min="21" max="21" width="12" style="384" customWidth="1"/>
    <col min="22" max="22" width="9.7109375" style="328" customWidth="1"/>
    <col min="23" max="23" width="1.85546875" style="363" customWidth="1"/>
    <col min="24" max="24" width="25.85546875" style="328" customWidth="1"/>
    <col min="25" max="25" width="4.7109375" style="328" customWidth="1"/>
    <col min="26" max="27" width="6.140625" style="328" customWidth="1"/>
    <col min="28" max="28" width="7.28515625" style="328" customWidth="1"/>
    <col min="29" max="29" width="11.7109375" style="328" customWidth="1"/>
    <col min="30" max="30" width="9.140625" style="328"/>
    <col min="31" max="31" width="1.5703125" style="363" customWidth="1"/>
    <col min="32" max="32" width="25.85546875" style="328" customWidth="1"/>
    <col min="33" max="33" width="4.7109375" style="328" customWidth="1"/>
    <col min="34" max="35" width="6.140625" style="328" customWidth="1"/>
    <col min="36" max="36" width="7.28515625" style="328" customWidth="1"/>
    <col min="37" max="37" width="11.7109375" style="328" customWidth="1"/>
    <col min="38" max="38" width="9.140625" style="328"/>
    <col min="39" max="39" width="1.5703125" style="363" customWidth="1"/>
    <col min="40" max="40" width="25.85546875" style="328" customWidth="1"/>
    <col min="41" max="41" width="4.7109375" style="328" customWidth="1"/>
    <col min="42" max="43" width="6.140625" style="328" customWidth="1"/>
    <col min="44" max="44" width="7.28515625" style="328" customWidth="1"/>
    <col min="45" max="45" width="11.7109375" style="328" customWidth="1"/>
    <col min="46" max="46" width="9.140625" style="328"/>
    <col min="47" max="47" width="1.5703125" style="363" customWidth="1"/>
    <col min="48" max="48" width="25.85546875" style="328" customWidth="1"/>
    <col min="49" max="49" width="4.7109375" style="328" customWidth="1"/>
    <col min="50" max="51" width="6.140625" style="328" customWidth="1"/>
    <col min="52" max="52" width="7.28515625" style="328" customWidth="1"/>
    <col min="53" max="53" width="11.7109375" style="328" customWidth="1"/>
    <col min="54" max="54" width="9.140625" style="328"/>
    <col min="55" max="55" width="1.5703125" style="363" customWidth="1"/>
    <col min="56" max="68" width="10.7109375" style="328" customWidth="1"/>
    <col min="69" max="16384" width="9.140625" style="328"/>
  </cols>
  <sheetData>
    <row r="1" spans="1:68" s="292" customFormat="1" ht="18" customHeight="1" x14ac:dyDescent="0.25">
      <c r="A1" s="1084" t="s">
        <v>223</v>
      </c>
      <c r="B1" s="1091"/>
      <c r="C1" s="1092"/>
      <c r="D1" s="1088" t="s">
        <v>1208</v>
      </c>
      <c r="E1" s="1088"/>
      <c r="F1" s="1088"/>
      <c r="G1" s="1106"/>
      <c r="H1" s="1106"/>
      <c r="I1" s="1106"/>
      <c r="J1" s="1106"/>
      <c r="K1" s="1106"/>
      <c r="L1" s="1106"/>
      <c r="M1" s="1106"/>
      <c r="N1" s="1106"/>
      <c r="O1" s="1106"/>
      <c r="P1" s="1106"/>
      <c r="Q1" s="131" t="s">
        <v>123</v>
      </c>
      <c r="R1" s="132" t="s">
        <v>10239</v>
      </c>
      <c r="S1" s="133"/>
      <c r="T1" s="134"/>
      <c r="U1" s="1068">
        <v>2</v>
      </c>
      <c r="V1" s="1069"/>
      <c r="W1" s="122" t="s">
        <v>130</v>
      </c>
      <c r="X1" s="1046" t="s">
        <v>596</v>
      </c>
      <c r="Y1" s="1047"/>
      <c r="Z1" s="1047"/>
      <c r="AA1" s="1047"/>
      <c r="AB1" s="1047"/>
      <c r="AC1" s="1047"/>
      <c r="AD1" s="1048"/>
      <c r="AE1" s="291"/>
      <c r="AF1" s="1046" t="s">
        <v>597</v>
      </c>
      <c r="AG1" s="1047"/>
      <c r="AH1" s="1047"/>
      <c r="AI1" s="1047"/>
      <c r="AJ1" s="1047"/>
      <c r="AK1" s="1047"/>
      <c r="AL1" s="1048"/>
      <c r="AM1" s="291"/>
      <c r="AN1" s="1046" t="s">
        <v>958</v>
      </c>
      <c r="AO1" s="1047"/>
      <c r="AP1" s="1047"/>
      <c r="AQ1" s="1047"/>
      <c r="AR1" s="1047"/>
      <c r="AS1" s="1047"/>
      <c r="AT1" s="1048"/>
      <c r="AU1" s="291"/>
      <c r="AV1" s="1046" t="s">
        <v>1232</v>
      </c>
      <c r="AW1" s="1047"/>
      <c r="AX1" s="1047"/>
      <c r="AY1" s="1047"/>
      <c r="AZ1" s="1047"/>
      <c r="BA1" s="1047"/>
      <c r="BB1" s="1048"/>
      <c r="BC1" s="291"/>
    </row>
    <row r="2" spans="1:68" s="13" customFormat="1" ht="12.75" customHeight="1" x14ac:dyDescent="0.25">
      <c r="A2" s="1085"/>
      <c r="B2" s="25"/>
      <c r="C2" s="117" t="s">
        <v>0</v>
      </c>
      <c r="D2" s="441" t="s">
        <v>214</v>
      </c>
      <c r="E2" s="135"/>
      <c r="F2" s="135"/>
      <c r="G2" s="135"/>
      <c r="H2" s="135"/>
      <c r="I2" s="135"/>
      <c r="J2" s="135"/>
      <c r="K2" s="135"/>
      <c r="L2" s="135"/>
      <c r="M2" s="135"/>
      <c r="N2" s="135"/>
      <c r="O2" s="135"/>
      <c r="P2" s="136"/>
      <c r="Q2" s="1109" t="s">
        <v>1</v>
      </c>
      <c r="R2" s="1109"/>
      <c r="S2" s="1099">
        <f>SUM(J12/B12+J13/W13+J14/W14)</f>
        <v>1.0799999999999999E-8</v>
      </c>
      <c r="T2" s="1100"/>
      <c r="U2" s="1070"/>
      <c r="V2" s="1071"/>
      <c r="W2" s="122" t="s">
        <v>1007</v>
      </c>
      <c r="X2" s="1049"/>
      <c r="Y2" s="1050"/>
      <c r="Z2" s="1050"/>
      <c r="AA2" s="1050"/>
      <c r="AB2" s="1050"/>
      <c r="AC2" s="1050"/>
      <c r="AD2" s="1051"/>
      <c r="AE2" s="121"/>
      <c r="AF2" s="1049"/>
      <c r="AG2" s="1050"/>
      <c r="AH2" s="1050"/>
      <c r="AI2" s="1050"/>
      <c r="AJ2" s="1050"/>
      <c r="AK2" s="1050"/>
      <c r="AL2" s="1051"/>
      <c r="AM2" s="121"/>
      <c r="AN2" s="1049"/>
      <c r="AO2" s="1050"/>
      <c r="AP2" s="1050"/>
      <c r="AQ2" s="1050"/>
      <c r="AR2" s="1050"/>
      <c r="AS2" s="1050"/>
      <c r="AT2" s="1051"/>
      <c r="AU2" s="121"/>
      <c r="AV2" s="1049"/>
      <c r="AW2" s="1050"/>
      <c r="AX2" s="1050"/>
      <c r="AY2" s="1050"/>
      <c r="AZ2" s="1050"/>
      <c r="BA2" s="1050"/>
      <c r="BB2" s="1051"/>
      <c r="BC2" s="121"/>
    </row>
    <row r="3" spans="1:68" s="13" customFormat="1" ht="12.75" customHeight="1" x14ac:dyDescent="0.25">
      <c r="A3" s="1085"/>
      <c r="B3" s="25"/>
      <c r="C3" s="117" t="s">
        <v>2</v>
      </c>
      <c r="D3" s="1114" t="s">
        <v>390</v>
      </c>
      <c r="E3" s="1114"/>
      <c r="F3" s="1114"/>
      <c r="G3" s="1114"/>
      <c r="H3" s="1114"/>
      <c r="I3" s="1114"/>
      <c r="J3" s="1114"/>
      <c r="K3" s="1114"/>
      <c r="L3" s="1114"/>
      <c r="M3" s="1114"/>
      <c r="N3" s="1114"/>
      <c r="O3" s="1114"/>
      <c r="P3" s="1115"/>
      <c r="Q3" s="1116" t="s">
        <v>107</v>
      </c>
      <c r="R3" s="1116"/>
      <c r="S3" s="1066" t="s">
        <v>1008</v>
      </c>
      <c r="T3" s="1067"/>
      <c r="U3" s="1070"/>
      <c r="V3" s="1071"/>
      <c r="W3" s="122" t="s">
        <v>1008</v>
      </c>
      <c r="X3" s="1049"/>
      <c r="Y3" s="1050"/>
      <c r="Z3" s="1050"/>
      <c r="AA3" s="1050"/>
      <c r="AB3" s="1050"/>
      <c r="AC3" s="1050"/>
      <c r="AD3" s="1051"/>
      <c r="AE3" s="121"/>
      <c r="AF3" s="1049"/>
      <c r="AG3" s="1050"/>
      <c r="AH3" s="1050"/>
      <c r="AI3" s="1050"/>
      <c r="AJ3" s="1050"/>
      <c r="AK3" s="1050"/>
      <c r="AL3" s="1051"/>
      <c r="AM3" s="121"/>
      <c r="AN3" s="1049"/>
      <c r="AO3" s="1050"/>
      <c r="AP3" s="1050"/>
      <c r="AQ3" s="1050"/>
      <c r="AR3" s="1050"/>
      <c r="AS3" s="1050"/>
      <c r="AT3" s="1051"/>
      <c r="AU3" s="121"/>
      <c r="AV3" s="1049"/>
      <c r="AW3" s="1050"/>
      <c r="AX3" s="1050"/>
      <c r="AY3" s="1050"/>
      <c r="AZ3" s="1050"/>
      <c r="BA3" s="1050"/>
      <c r="BB3" s="1051"/>
      <c r="BC3" s="121"/>
    </row>
    <row r="4" spans="1:68" s="13" customFormat="1" ht="12.75" customHeight="1" x14ac:dyDescent="0.25">
      <c r="A4" s="1085"/>
      <c r="B4" s="25"/>
      <c r="C4" s="117" t="s">
        <v>3</v>
      </c>
      <c r="D4" s="442" t="s">
        <v>1183</v>
      </c>
      <c r="E4" s="137"/>
      <c r="F4" s="137"/>
      <c r="G4" s="137"/>
      <c r="H4" s="137"/>
      <c r="I4" s="137"/>
      <c r="J4" s="137"/>
      <c r="K4" s="137"/>
      <c r="L4" s="137"/>
      <c r="M4" s="137"/>
      <c r="N4" s="137"/>
      <c r="O4" s="137"/>
      <c r="P4" s="138"/>
      <c r="Q4" s="1101" t="s">
        <v>106</v>
      </c>
      <c r="R4" s="1101"/>
      <c r="S4" s="1095">
        <v>45408</v>
      </c>
      <c r="T4" s="1096"/>
      <c r="U4" s="1070"/>
      <c r="V4" s="1071"/>
      <c r="W4" s="122" t="s">
        <v>1009</v>
      </c>
      <c r="X4" s="1049"/>
      <c r="Y4" s="1050"/>
      <c r="Z4" s="1050"/>
      <c r="AA4" s="1050"/>
      <c r="AB4" s="1050"/>
      <c r="AC4" s="1050"/>
      <c r="AD4" s="1051"/>
      <c r="AE4" s="121"/>
      <c r="AF4" s="1049"/>
      <c r="AG4" s="1050"/>
      <c r="AH4" s="1050"/>
      <c r="AI4" s="1050"/>
      <c r="AJ4" s="1050"/>
      <c r="AK4" s="1050"/>
      <c r="AL4" s="1051"/>
      <c r="AM4" s="121"/>
      <c r="AN4" s="1049"/>
      <c r="AO4" s="1050"/>
      <c r="AP4" s="1050"/>
      <c r="AQ4" s="1050"/>
      <c r="AR4" s="1050"/>
      <c r="AS4" s="1050"/>
      <c r="AT4" s="1051"/>
      <c r="AU4" s="121"/>
      <c r="AV4" s="1049"/>
      <c r="AW4" s="1050"/>
      <c r="AX4" s="1050"/>
      <c r="AY4" s="1050"/>
      <c r="AZ4" s="1050"/>
      <c r="BA4" s="1050"/>
      <c r="BB4" s="1051"/>
      <c r="BC4" s="121"/>
    </row>
    <row r="5" spans="1:68" s="13" customFormat="1" ht="12.75" customHeight="1" x14ac:dyDescent="0.25">
      <c r="A5" s="1085"/>
      <c r="B5" s="26"/>
      <c r="C5" s="118" t="s">
        <v>20</v>
      </c>
      <c r="D5" s="1080" t="s">
        <v>224</v>
      </c>
      <c r="E5" s="1080"/>
      <c r="F5" s="1080"/>
      <c r="G5" s="1080"/>
      <c r="H5" s="1080"/>
      <c r="I5" s="1080"/>
      <c r="J5" s="1080"/>
      <c r="K5" s="1080"/>
      <c r="L5" s="1080"/>
      <c r="M5" s="1080"/>
      <c r="N5" s="1080"/>
      <c r="O5" s="1080"/>
      <c r="P5" s="1081"/>
      <c r="Q5" s="1102" t="s">
        <v>108</v>
      </c>
      <c r="R5" s="1102"/>
      <c r="S5" s="1097"/>
      <c r="T5" s="1098"/>
      <c r="U5" s="1070"/>
      <c r="V5" s="1071"/>
      <c r="W5" s="122" t="s">
        <v>10374</v>
      </c>
      <c r="X5" s="1049"/>
      <c r="Y5" s="1050"/>
      <c r="Z5" s="1050"/>
      <c r="AA5" s="1050"/>
      <c r="AB5" s="1050"/>
      <c r="AC5" s="1050"/>
      <c r="AD5" s="1051"/>
      <c r="AE5" s="121"/>
      <c r="AF5" s="1049"/>
      <c r="AG5" s="1050"/>
      <c r="AH5" s="1050"/>
      <c r="AI5" s="1050"/>
      <c r="AJ5" s="1050"/>
      <c r="AK5" s="1050"/>
      <c r="AL5" s="1051"/>
      <c r="AM5" s="121"/>
      <c r="AN5" s="1049"/>
      <c r="AO5" s="1050"/>
      <c r="AP5" s="1050"/>
      <c r="AQ5" s="1050"/>
      <c r="AR5" s="1050"/>
      <c r="AS5" s="1050"/>
      <c r="AT5" s="1051"/>
      <c r="AU5" s="121"/>
      <c r="AV5" s="1049"/>
      <c r="AW5" s="1050"/>
      <c r="AX5" s="1050"/>
      <c r="AY5" s="1050"/>
      <c r="AZ5" s="1050"/>
      <c r="BA5" s="1050"/>
      <c r="BB5" s="1051"/>
      <c r="BC5" s="121"/>
    </row>
    <row r="6" spans="1:68" s="293" customFormat="1" ht="11.1" customHeight="1" x14ac:dyDescent="0.25">
      <c r="A6" s="1086"/>
      <c r="B6" s="1093" t="s">
        <v>5</v>
      </c>
      <c r="C6" s="1107" t="s">
        <v>4</v>
      </c>
      <c r="D6" s="1108"/>
      <c r="E6" s="1108"/>
      <c r="F6" s="1108"/>
      <c r="G6" s="1108"/>
      <c r="H6" s="1108"/>
      <c r="I6" s="1108"/>
      <c r="J6" s="1093" t="s">
        <v>564</v>
      </c>
      <c r="K6" s="1110" t="s">
        <v>6</v>
      </c>
      <c r="L6" s="1078" t="s">
        <v>7</v>
      </c>
      <c r="M6" s="1078"/>
      <c r="N6" s="1078" t="s">
        <v>8</v>
      </c>
      <c r="O6" s="1078"/>
      <c r="P6" s="1078" t="s">
        <v>9</v>
      </c>
      <c r="Q6" s="1078"/>
      <c r="R6" s="1078" t="s">
        <v>10</v>
      </c>
      <c r="S6" s="1078"/>
      <c r="T6" s="1111" t="s">
        <v>11</v>
      </c>
      <c r="U6" s="1070"/>
      <c r="V6" s="1071"/>
      <c r="W6" s="122" t="s">
        <v>1010</v>
      </c>
      <c r="X6" s="1049"/>
      <c r="Y6" s="1050"/>
      <c r="Z6" s="1050"/>
      <c r="AA6" s="1050"/>
      <c r="AB6" s="1050"/>
      <c r="AC6" s="1050"/>
      <c r="AD6" s="1051"/>
      <c r="AE6" s="122"/>
      <c r="AF6" s="1049"/>
      <c r="AG6" s="1050"/>
      <c r="AH6" s="1050"/>
      <c r="AI6" s="1050"/>
      <c r="AJ6" s="1050"/>
      <c r="AK6" s="1050"/>
      <c r="AL6" s="1051"/>
      <c r="AM6" s="122"/>
      <c r="AN6" s="1049"/>
      <c r="AO6" s="1050"/>
      <c r="AP6" s="1050"/>
      <c r="AQ6" s="1050"/>
      <c r="AR6" s="1050"/>
      <c r="AS6" s="1050"/>
      <c r="AT6" s="1051"/>
      <c r="AU6" s="122"/>
      <c r="AV6" s="1049"/>
      <c r="AW6" s="1050"/>
      <c r="AX6" s="1050"/>
      <c r="AY6" s="1050"/>
      <c r="AZ6" s="1050"/>
      <c r="BA6" s="1050"/>
      <c r="BB6" s="1051"/>
      <c r="BC6" s="122"/>
    </row>
    <row r="7" spans="1:68" s="293" customFormat="1" ht="11.1" customHeight="1" x14ac:dyDescent="0.25">
      <c r="A7" s="1087"/>
      <c r="B7" s="1094"/>
      <c r="C7" s="14"/>
      <c r="D7" s="14" t="s">
        <v>5</v>
      </c>
      <c r="E7" s="15" t="s">
        <v>12</v>
      </c>
      <c r="F7" s="15" t="s">
        <v>13</v>
      </c>
      <c r="G7" s="15" t="s">
        <v>14</v>
      </c>
      <c r="H7" s="14" t="s">
        <v>15</v>
      </c>
      <c r="I7" s="14" t="s">
        <v>16</v>
      </c>
      <c r="J7" s="1094"/>
      <c r="K7" s="1094"/>
      <c r="L7" s="37" t="s">
        <v>17</v>
      </c>
      <c r="M7" s="34" t="s">
        <v>11</v>
      </c>
      <c r="N7" s="37" t="s">
        <v>17</v>
      </c>
      <c r="O7" s="34" t="s">
        <v>11</v>
      </c>
      <c r="P7" s="37" t="s">
        <v>17</v>
      </c>
      <c r="Q7" s="34" t="s">
        <v>11</v>
      </c>
      <c r="R7" s="37" t="s">
        <v>17</v>
      </c>
      <c r="S7" s="34" t="s">
        <v>11</v>
      </c>
      <c r="T7" s="1112"/>
      <c r="U7" s="1070"/>
      <c r="V7" s="1071"/>
      <c r="W7" s="122" t="s">
        <v>390</v>
      </c>
      <c r="X7" s="1052"/>
      <c r="Y7" s="1053"/>
      <c r="Z7" s="1053"/>
      <c r="AA7" s="1053"/>
      <c r="AB7" s="1053"/>
      <c r="AC7" s="1053"/>
      <c r="AD7" s="1054"/>
      <c r="AE7" s="294"/>
      <c r="AF7" s="1052"/>
      <c r="AG7" s="1053"/>
      <c r="AH7" s="1053"/>
      <c r="AI7" s="1053"/>
      <c r="AJ7" s="1053"/>
      <c r="AK7" s="1053"/>
      <c r="AL7" s="1054"/>
      <c r="AM7" s="122"/>
      <c r="AN7" s="1052"/>
      <c r="AO7" s="1053"/>
      <c r="AP7" s="1053"/>
      <c r="AQ7" s="1053"/>
      <c r="AR7" s="1053"/>
      <c r="AS7" s="1053"/>
      <c r="AT7" s="1054"/>
      <c r="AU7" s="122"/>
      <c r="AV7" s="1052"/>
      <c r="AW7" s="1053"/>
      <c r="AX7" s="1053"/>
      <c r="AY7" s="1053"/>
      <c r="AZ7" s="1053"/>
      <c r="BA7" s="1053"/>
      <c r="BB7" s="1054"/>
      <c r="BC7" s="122"/>
    </row>
    <row r="8" spans="1:68" s="17" customFormat="1" ht="4.5" customHeight="1" x14ac:dyDescent="0.25">
      <c r="A8" s="1103"/>
      <c r="B8" s="1104"/>
      <c r="C8" s="1104"/>
      <c r="D8" s="1104"/>
      <c r="E8" s="1104"/>
      <c r="F8" s="1104"/>
      <c r="G8" s="1104"/>
      <c r="H8" s="1104"/>
      <c r="I8" s="1104"/>
      <c r="J8" s="1104"/>
      <c r="K8" s="1104"/>
      <c r="L8" s="1104"/>
      <c r="M8" s="1104"/>
      <c r="N8" s="1104"/>
      <c r="O8" s="1104"/>
      <c r="P8" s="1104"/>
      <c r="Q8" s="1104"/>
      <c r="R8" s="1104"/>
      <c r="S8" s="1104"/>
      <c r="T8" s="1105"/>
      <c r="U8" s="1072"/>
      <c r="V8" s="1073"/>
      <c r="W8" s="122" t="s">
        <v>391</v>
      </c>
      <c r="X8" s="947"/>
      <c r="Y8" s="947"/>
      <c r="Z8" s="947"/>
      <c r="AA8" s="947"/>
      <c r="AB8" s="947"/>
      <c r="AC8" s="947"/>
      <c r="AD8" s="947"/>
      <c r="AE8" s="1159"/>
      <c r="AF8" s="947"/>
      <c r="AG8" s="947"/>
      <c r="AH8" s="947"/>
      <c r="AI8" s="947"/>
      <c r="AJ8" s="947"/>
      <c r="AK8" s="947"/>
      <c r="AL8" s="947"/>
      <c r="AM8" s="295"/>
      <c r="AN8" s="296"/>
      <c r="AO8" s="296"/>
      <c r="AP8" s="296"/>
      <c r="AQ8" s="296"/>
      <c r="AR8" s="296"/>
      <c r="AS8" s="296"/>
      <c r="AT8" s="296"/>
      <c r="AU8" s="295"/>
      <c r="AV8" s="296"/>
      <c r="AW8" s="296"/>
      <c r="AX8" s="296"/>
      <c r="AY8" s="296"/>
      <c r="AZ8" s="296"/>
      <c r="BA8" s="296"/>
      <c r="BB8" s="296"/>
      <c r="BC8" s="295"/>
    </row>
    <row r="9" spans="1:68" s="17" customFormat="1" ht="15.95" customHeight="1" x14ac:dyDescent="0.25">
      <c r="A9" s="995" t="s">
        <v>739</v>
      </c>
      <c r="B9" s="995"/>
      <c r="C9" s="995"/>
      <c r="D9" s="995"/>
      <c r="E9" s="995"/>
      <c r="F9" s="995"/>
      <c r="G9" s="995"/>
      <c r="H9" s="995"/>
      <c r="I9" s="995"/>
      <c r="J9" s="995"/>
      <c r="K9" s="995"/>
      <c r="L9" s="995"/>
      <c r="M9" s="995"/>
      <c r="N9" s="995"/>
      <c r="O9" s="995"/>
      <c r="P9" s="995"/>
      <c r="Q9" s="1113" t="s">
        <v>10254</v>
      </c>
      <c r="R9" s="1113"/>
      <c r="S9" s="1113"/>
      <c r="T9" s="708">
        <v>7.0000000000000007E-2</v>
      </c>
      <c r="U9" s="224" t="s">
        <v>33</v>
      </c>
      <c r="V9" s="224" t="s">
        <v>49</v>
      </c>
      <c r="W9" s="122"/>
      <c r="X9" s="1055"/>
      <c r="Y9" s="1055"/>
      <c r="Z9" s="1055"/>
      <c r="AA9" s="1055"/>
      <c r="AB9" s="1056"/>
      <c r="AC9" s="224" t="s">
        <v>33</v>
      </c>
      <c r="AD9" s="224" t="s">
        <v>49</v>
      </c>
      <c r="AE9" s="297"/>
      <c r="AF9" s="1055"/>
      <c r="AG9" s="1055"/>
      <c r="AH9" s="1055"/>
      <c r="AI9" s="1055"/>
      <c r="AJ9" s="1056"/>
      <c r="AK9" s="224" t="s">
        <v>33</v>
      </c>
      <c r="AL9" s="224" t="s">
        <v>49</v>
      </c>
      <c r="AM9" s="122"/>
      <c r="AN9" s="1055"/>
      <c r="AO9" s="1055"/>
      <c r="AP9" s="1055"/>
      <c r="AQ9" s="1055"/>
      <c r="AR9" s="1056"/>
      <c r="AS9" s="224" t="s">
        <v>33</v>
      </c>
      <c r="AT9" s="224" t="s">
        <v>49</v>
      </c>
      <c r="AU9" s="122"/>
      <c r="AV9" s="1055"/>
      <c r="AW9" s="1055"/>
      <c r="AX9" s="1055"/>
      <c r="AY9" s="1055"/>
      <c r="AZ9" s="1056"/>
      <c r="BA9" s="224" t="s">
        <v>33</v>
      </c>
      <c r="BB9" s="224" t="s">
        <v>49</v>
      </c>
      <c r="BC9" s="122"/>
    </row>
    <row r="10" spans="1:68" s="17" customFormat="1" ht="3.75" customHeight="1" x14ac:dyDescent="0.25">
      <c r="A10" s="1074"/>
      <c r="B10" s="1075"/>
      <c r="C10" s="1075"/>
      <c r="D10" s="1075"/>
      <c r="E10" s="1075"/>
      <c r="F10" s="1075"/>
      <c r="G10" s="1075"/>
      <c r="H10" s="1075"/>
      <c r="I10" s="1075"/>
      <c r="J10" s="1075"/>
      <c r="K10" s="1075"/>
      <c r="L10" s="1075"/>
      <c r="M10" s="1075"/>
      <c r="N10" s="1075"/>
      <c r="O10" s="1075"/>
      <c r="P10" s="1075"/>
      <c r="Q10" s="1075"/>
      <c r="R10" s="1075"/>
      <c r="S10" s="1075"/>
      <c r="T10" s="1075"/>
      <c r="U10" s="1076"/>
      <c r="V10" s="1077"/>
      <c r="W10" s="122"/>
      <c r="X10" s="947"/>
      <c r="Y10" s="947"/>
      <c r="Z10" s="947"/>
      <c r="AA10" s="947"/>
      <c r="AB10" s="947"/>
      <c r="AC10" s="947"/>
      <c r="AD10" s="947"/>
      <c r="AE10" s="1025"/>
      <c r="AF10" s="947"/>
      <c r="AG10" s="947"/>
      <c r="AH10" s="947"/>
      <c r="AI10" s="947"/>
      <c r="AJ10" s="947"/>
      <c r="AK10" s="947"/>
      <c r="AL10" s="947"/>
      <c r="AM10" s="295"/>
      <c r="AN10" s="296"/>
      <c r="AO10" s="296"/>
      <c r="AP10" s="296"/>
      <c r="AQ10" s="296"/>
      <c r="AR10" s="296"/>
      <c r="AS10" s="296"/>
      <c r="AT10" s="296"/>
      <c r="AU10" s="295"/>
      <c r="AV10" s="296"/>
      <c r="AW10" s="296"/>
      <c r="AX10" s="296"/>
      <c r="AY10" s="296"/>
      <c r="AZ10" s="296"/>
      <c r="BA10" s="296"/>
      <c r="BB10" s="296"/>
      <c r="BC10" s="295"/>
    </row>
    <row r="11" spans="1:68" s="17" customFormat="1" ht="15.95" customHeight="1" x14ac:dyDescent="0.25">
      <c r="A11" s="1082"/>
      <c r="B11" s="1083"/>
      <c r="C11" s="1057" t="s">
        <v>21</v>
      </c>
      <c r="D11" s="1057"/>
      <c r="E11" s="1057"/>
      <c r="F11" s="1057"/>
      <c r="G11" s="1057"/>
      <c r="H11" s="1057"/>
      <c r="I11" s="1057"/>
      <c r="J11" s="1057"/>
      <c r="K11" s="1057"/>
      <c r="L11" s="1057"/>
      <c r="M11" s="1057"/>
      <c r="N11" s="1057"/>
      <c r="O11" s="1057"/>
      <c r="P11" s="1057"/>
      <c r="Q11" s="1057"/>
      <c r="R11" s="1057"/>
      <c r="S11" s="1057"/>
      <c r="T11" s="1059"/>
      <c r="U11" s="428">
        <f>SUM(T12:T39)*(1+T9)</f>
        <v>0</v>
      </c>
      <c r="V11" s="299">
        <f>U11/S2</f>
        <v>0</v>
      </c>
      <c r="W11" s="122"/>
      <c r="X11" s="1057" t="s">
        <v>21</v>
      </c>
      <c r="Y11" s="1058"/>
      <c r="Z11" s="1058"/>
      <c r="AA11" s="1058"/>
      <c r="AB11" s="1059"/>
      <c r="AC11" s="298">
        <f>SUM(AB12:AB39)*(1+T9)</f>
        <v>2.2607473600000001E-6</v>
      </c>
      <c r="AD11" s="299">
        <f>AC11/S2</f>
        <v>209.32845925925929</v>
      </c>
      <c r="AE11" s="300"/>
      <c r="AF11" s="1057" t="s">
        <v>21</v>
      </c>
      <c r="AG11" s="1058"/>
      <c r="AH11" s="1058"/>
      <c r="AI11" s="1058"/>
      <c r="AJ11" s="1059"/>
      <c r="AK11" s="298">
        <f>SUM(AJ12:AJ39)*(1+T9)</f>
        <v>2.9044165599999996E-6</v>
      </c>
      <c r="AL11" s="299">
        <f>AK11/S2</f>
        <v>268.92745925925925</v>
      </c>
      <c r="AM11" s="122"/>
      <c r="AN11" s="1057" t="s">
        <v>21</v>
      </c>
      <c r="AO11" s="1058"/>
      <c r="AP11" s="1058"/>
      <c r="AQ11" s="1058"/>
      <c r="AR11" s="1059"/>
      <c r="AS11" s="298">
        <f>SUM(AR12:AR39)*(1+T9)</f>
        <v>1.5829751200000003E-6</v>
      </c>
      <c r="AT11" s="299">
        <f>AS11/S2</f>
        <v>146.57177037037042</v>
      </c>
      <c r="AU11" s="122"/>
      <c r="AV11" s="1057" t="s">
        <v>21</v>
      </c>
      <c r="AW11" s="1058"/>
      <c r="AX11" s="1058"/>
      <c r="AY11" s="1058"/>
      <c r="AZ11" s="1059"/>
      <c r="BA11" s="298">
        <f>SUM(AZ12:AZ39)</f>
        <v>4.8651600000000002E-6</v>
      </c>
      <c r="BB11" s="299">
        <f>BA11/S2</f>
        <v>450.47777777777782</v>
      </c>
      <c r="BC11" s="122"/>
      <c r="BD11" s="940" t="s">
        <v>603</v>
      </c>
      <c r="BE11" s="941"/>
      <c r="BF11" s="941"/>
      <c r="BG11" s="941"/>
      <c r="BH11" s="941"/>
      <c r="BI11" s="941"/>
      <c r="BJ11" s="941"/>
      <c r="BK11" s="941"/>
      <c r="BL11" s="941"/>
      <c r="BM11" s="941"/>
      <c r="BN11" s="941"/>
      <c r="BO11" s="941"/>
      <c r="BP11" s="942"/>
    </row>
    <row r="12" spans="1:68" s="17" customFormat="1" ht="14.1" customHeight="1" x14ac:dyDescent="0.25">
      <c r="A12" s="425">
        <f>Input!C3</f>
        <v>9.9999999999999995E-7</v>
      </c>
      <c r="B12" s="301">
        <f>VLOOKUP(C12,'R Data'!F1:G79,2,FALSE)</f>
        <v>3</v>
      </c>
      <c r="C12" s="429" t="s">
        <v>914</v>
      </c>
      <c r="D12" s="173">
        <f>SUM(A12/(10/B12))/10</f>
        <v>2.9999999999999997E-8</v>
      </c>
      <c r="E12" s="266"/>
      <c r="F12" s="266"/>
      <c r="G12" s="266"/>
      <c r="H12" s="649">
        <v>1.08</v>
      </c>
      <c r="I12" s="176"/>
      <c r="J12" s="180">
        <f>IF(D12&lt;&gt;0,D12,0)*IF(E12&lt;&gt;0,E12,1)*IF(F12&lt;&gt;0,F12,1)*IF(G12&lt;&gt;0,G12,1)*IF(H12&lt;&gt;0,H12,1)/IF(I12&lt;&gt;0,I12,1)</f>
        <v>3.2399999999999999E-8</v>
      </c>
      <c r="K12" s="82" t="s">
        <v>24</v>
      </c>
      <c r="L12" s="1089"/>
      <c r="M12" s="1090"/>
      <c r="N12" s="79">
        <f>VLOOKUP(C12,'R Data'!F1:H79,3,FALSE)</f>
        <v>40.25</v>
      </c>
      <c r="O12" s="180">
        <f>ROUND(J12*N12,0)</f>
        <v>0</v>
      </c>
      <c r="P12" s="1040"/>
      <c r="Q12" s="1041"/>
      <c r="R12" s="1041"/>
      <c r="S12" s="1042"/>
      <c r="T12" s="180">
        <f>ROUND(M12+O12+P12+S12,0)</f>
        <v>0</v>
      </c>
      <c r="U12" s="1015" t="s">
        <v>740</v>
      </c>
      <c r="V12" s="1016"/>
      <c r="W12" s="122"/>
      <c r="X12" s="302" t="s">
        <v>188</v>
      </c>
      <c r="Y12" s="650">
        <f>VLOOKUP(X12,'R Data'!F1:G79,2,FALSE)</f>
        <v>3</v>
      </c>
      <c r="Z12" s="651">
        <f>VLOOKUP(X12,'R Data'!F1:H79,3,FALSE)</f>
        <v>53.5</v>
      </c>
      <c r="AA12" s="652">
        <f>SUM(A12/(10/Y12))/10*H12</f>
        <v>3.2399999999999999E-8</v>
      </c>
      <c r="AB12" s="303">
        <f>SUM(Z12*AA12)</f>
        <v>1.7334E-6</v>
      </c>
      <c r="AC12" s="1060"/>
      <c r="AD12" s="1061"/>
      <c r="AE12" s="122"/>
      <c r="AF12" s="302" t="s">
        <v>189</v>
      </c>
      <c r="AG12" s="650">
        <f>VLOOKUP(AF12,'R Data'!F1:G79,2,FALSE)</f>
        <v>4</v>
      </c>
      <c r="AH12" s="651">
        <f>VLOOKUP(AF12,'R Data'!F1:H79,3,FALSE)</f>
        <v>54.05</v>
      </c>
      <c r="AI12" s="652">
        <f>SUM(A12/(10/AG12))/10*H12</f>
        <v>4.3200000000000003E-8</v>
      </c>
      <c r="AJ12" s="303">
        <f t="shared" ref="AJ12:AJ22" si="0">SUM(AH12*AI12)</f>
        <v>2.3349599999999998E-6</v>
      </c>
      <c r="AK12" s="1060"/>
      <c r="AL12" s="1061"/>
      <c r="AM12" s="122"/>
      <c r="AN12" s="302" t="s">
        <v>1224</v>
      </c>
      <c r="AO12" s="650">
        <f>VLOOKUP(AN12,'R Data'!F2:G79,2,FALSE)</f>
        <v>3</v>
      </c>
      <c r="AP12" s="651">
        <f>VLOOKUP(AN12,'R Data'!F1:H79,3,FALSE)</f>
        <v>41.34</v>
      </c>
      <c r="AQ12" s="652">
        <f>SUM(A12/(10/AO12))/10*H12</f>
        <v>3.2399999999999999E-8</v>
      </c>
      <c r="AR12" s="303">
        <f t="shared" ref="AR12:AR22" si="1">SUM(AP12*AQ12)</f>
        <v>1.3394160000000001E-6</v>
      </c>
      <c r="AS12" s="1060"/>
      <c r="AT12" s="1061"/>
      <c r="AU12" s="122"/>
      <c r="AV12" s="302" t="s">
        <v>208</v>
      </c>
      <c r="AW12" s="650">
        <f>VLOOKUP(AV12,'R Data'!F2:G79,2,FALSE)</f>
        <v>4</v>
      </c>
      <c r="AX12" s="651">
        <f>VLOOKUP(AV12,'R Data'!F1:H79,3,FALSE)</f>
        <v>108.8</v>
      </c>
      <c r="AY12" s="652">
        <f>SUM(A12/(10/AW12))/10*H12</f>
        <v>4.3200000000000003E-8</v>
      </c>
      <c r="AZ12" s="303">
        <f t="shared" ref="AZ12:AZ22" si="2">SUM(AX12*AY12)</f>
        <v>4.7001600000000001E-6</v>
      </c>
      <c r="BA12" s="1060"/>
      <c r="BB12" s="1061"/>
      <c r="BC12" s="122"/>
      <c r="BD12" s="497"/>
      <c r="BE12" s="943" t="s">
        <v>979</v>
      </c>
      <c r="BF12" s="944"/>
      <c r="BG12" s="945"/>
      <c r="BH12" s="943" t="s">
        <v>288</v>
      </c>
      <c r="BI12" s="944"/>
      <c r="BJ12" s="945"/>
      <c r="BK12" s="943" t="s">
        <v>289</v>
      </c>
      <c r="BL12" s="944"/>
      <c r="BM12" s="945"/>
      <c r="BN12" s="943" t="s">
        <v>980</v>
      </c>
      <c r="BO12" s="944"/>
      <c r="BP12" s="945"/>
    </row>
    <row r="13" spans="1:68" s="17" customFormat="1" ht="14.1" customHeight="1" x14ac:dyDescent="0.25">
      <c r="A13" s="304">
        <f>SUM(Input!C25+Input!C26)</f>
        <v>0</v>
      </c>
      <c r="B13" s="301">
        <f>VLOOKUP(C13,'R Data'!K2:L39,2,FALSE)</f>
        <v>100</v>
      </c>
      <c r="C13" s="302" t="s">
        <v>915</v>
      </c>
      <c r="D13" s="173">
        <f>SUM(A13/B13)</f>
        <v>0</v>
      </c>
      <c r="E13" s="266"/>
      <c r="F13" s="266"/>
      <c r="G13" s="266"/>
      <c r="H13" s="175">
        <v>1.1000000000000001</v>
      </c>
      <c r="I13" s="176"/>
      <c r="J13" s="180">
        <f>IF(D13&lt;&gt;0,D13,0)*IF(E13&lt;&gt;0,E13,1)*IF(F13&lt;&gt;0,F13,1)*IF(G13&lt;&gt;0,G13,1)*IF(H13&lt;&gt;0,H13,1)/IF(I13&lt;&gt;0,I13,1)</f>
        <v>0</v>
      </c>
      <c r="K13" s="82" t="s">
        <v>24</v>
      </c>
      <c r="L13" s="1089"/>
      <c r="M13" s="1090"/>
      <c r="N13" s="79">
        <f>VLOOKUP(C13,'R Data'!K1:M39,3,FALSE)</f>
        <v>52.25</v>
      </c>
      <c r="O13" s="180">
        <f t="shared" ref="O13:O39" si="3">ROUND(J13*N13,0)</f>
        <v>0</v>
      </c>
      <c r="P13" s="1040"/>
      <c r="Q13" s="1041"/>
      <c r="R13" s="1041"/>
      <c r="S13" s="1042"/>
      <c r="T13" s="180">
        <f t="shared" ref="T13:T32" si="4">ROUND(M13+O13+Q13+S13,0)</f>
        <v>0</v>
      </c>
      <c r="U13" s="1017"/>
      <c r="V13" s="1018"/>
      <c r="W13" s="164">
        <f>VLOOKUP(C13,'R Data'!K1:N18,4,FALSE)</f>
        <v>3</v>
      </c>
      <c r="X13" s="302" t="s">
        <v>377</v>
      </c>
      <c r="Y13" s="650">
        <f>VLOOKUP(X13,'R Data'!K2:L39,2,FALSE)</f>
        <v>114</v>
      </c>
      <c r="Z13" s="651">
        <f>VLOOKUP(X13,'R Data'!K1:M39,3,FALSE)</f>
        <v>73.349999999999994</v>
      </c>
      <c r="AA13" s="652">
        <f>(A13/Y13)*H13</f>
        <v>0</v>
      </c>
      <c r="AB13" s="303">
        <f t="shared" ref="AB13:AB22" si="5">SUM(Z13*AA13)</f>
        <v>0</v>
      </c>
      <c r="AC13" s="1062"/>
      <c r="AD13" s="1063"/>
      <c r="AE13" s="122"/>
      <c r="AF13" s="302" t="s">
        <v>377</v>
      </c>
      <c r="AG13" s="650">
        <f>VLOOKUP(AF13,'R Data'!K2:L39,2,FALSE)</f>
        <v>114</v>
      </c>
      <c r="AH13" s="651">
        <f>VLOOKUP(AF13,'R Data'!K1:M39,3,FALSE)</f>
        <v>73.349999999999994</v>
      </c>
      <c r="AI13" s="652">
        <f>(A13/AG13)*H13</f>
        <v>0</v>
      </c>
      <c r="AJ13" s="303">
        <f t="shared" si="0"/>
        <v>0</v>
      </c>
      <c r="AK13" s="1062"/>
      <c r="AL13" s="1063"/>
      <c r="AM13" s="122"/>
      <c r="AN13" s="302" t="s">
        <v>378</v>
      </c>
      <c r="AO13" s="650">
        <f>VLOOKUP(AN13,'R Data'!K2:L39,2,FALSE)</f>
        <v>100</v>
      </c>
      <c r="AP13" s="651">
        <f>VLOOKUP(AN13,'R Data'!K1:M39,3,FALSE)</f>
        <v>83.19</v>
      </c>
      <c r="AQ13" s="652">
        <f>(A13/AO13)*H13</f>
        <v>0</v>
      </c>
      <c r="AR13" s="303">
        <f t="shared" si="1"/>
        <v>0</v>
      </c>
      <c r="AS13" s="1062"/>
      <c r="AT13" s="1063"/>
      <c r="AU13" s="122"/>
      <c r="AV13" s="302" t="s">
        <v>376</v>
      </c>
      <c r="AW13" s="650">
        <f>VLOOKUP(AV13,'R Data'!K2:L39,2,FALSE)</f>
        <v>30</v>
      </c>
      <c r="AX13" s="651">
        <f>VLOOKUP(AV13,'R Data'!K1:M39,3,FALSE)</f>
        <v>55.78</v>
      </c>
      <c r="AY13" s="652">
        <f>(A13/AW13)*H13</f>
        <v>0</v>
      </c>
      <c r="AZ13" s="303">
        <f t="shared" si="2"/>
        <v>0</v>
      </c>
      <c r="BA13" s="1062"/>
      <c r="BB13" s="1063"/>
      <c r="BC13" s="122"/>
      <c r="BD13" s="497"/>
      <c r="BE13" s="305" t="s">
        <v>982</v>
      </c>
      <c r="BF13" s="305" t="s">
        <v>983</v>
      </c>
      <c r="BG13" s="305" t="s">
        <v>981</v>
      </c>
      <c r="BH13" s="305" t="s">
        <v>982</v>
      </c>
      <c r="BI13" s="305" t="s">
        <v>983</v>
      </c>
      <c r="BJ13" s="305" t="s">
        <v>981</v>
      </c>
      <c r="BK13" s="305" t="s">
        <v>982</v>
      </c>
      <c r="BL13" s="305" t="s">
        <v>983</v>
      </c>
      <c r="BM13" s="305" t="s">
        <v>984</v>
      </c>
      <c r="BN13" s="305" t="s">
        <v>982</v>
      </c>
      <c r="BO13" s="305" t="s">
        <v>983</v>
      </c>
      <c r="BP13" s="305" t="s">
        <v>981</v>
      </c>
    </row>
    <row r="14" spans="1:68" s="17" customFormat="1" ht="14.1" customHeight="1" x14ac:dyDescent="0.25">
      <c r="A14" s="304">
        <f>SUM(Input!C23)</f>
        <v>0</v>
      </c>
      <c r="B14" s="301">
        <f>VLOOKUP(C14,'R Data'!O2:P39,2,FALSE)</f>
        <v>25</v>
      </c>
      <c r="C14" s="302" t="s">
        <v>907</v>
      </c>
      <c r="D14" s="173">
        <f>SUM(A14/B14)</f>
        <v>0</v>
      </c>
      <c r="E14" s="266"/>
      <c r="F14" s="266"/>
      <c r="G14" s="266"/>
      <c r="H14" s="175">
        <v>1.1000000000000001</v>
      </c>
      <c r="I14" s="176"/>
      <c r="J14" s="180">
        <f t="shared" ref="J14:J17" si="6">IF(D14&lt;&gt;0,D14,0)*IF(E14&lt;&gt;0,E14,1)*IF(F14&lt;&gt;0,F14,1)*IF(G14&lt;&gt;0,G14,1)*IF(H14&lt;&gt;0,H14,1)/IF(I14&lt;&gt;0,I14,1)</f>
        <v>0</v>
      </c>
      <c r="K14" s="82" t="s">
        <v>24</v>
      </c>
      <c r="L14" s="1089"/>
      <c r="M14" s="1090"/>
      <c r="N14" s="79">
        <f>VLOOKUP(C14,'R Data'!O1:Q39,3,FALSE)</f>
        <v>52.2</v>
      </c>
      <c r="O14" s="180">
        <f t="shared" si="3"/>
        <v>0</v>
      </c>
      <c r="P14" s="1040"/>
      <c r="Q14" s="1041"/>
      <c r="R14" s="1041"/>
      <c r="S14" s="1042"/>
      <c r="T14" s="180">
        <f t="shared" si="4"/>
        <v>0</v>
      </c>
      <c r="U14" s="1017"/>
      <c r="V14" s="1018"/>
      <c r="W14" s="164">
        <f>VLOOKUP(C14,'R Data'!O1:R20,4,FALSE)</f>
        <v>3</v>
      </c>
      <c r="X14" s="302" t="s">
        <v>386</v>
      </c>
      <c r="Y14" s="650">
        <f>VLOOKUP(X14,'R Data'!O2:P39,2,FALSE)</f>
        <v>20</v>
      </c>
      <c r="Z14" s="651">
        <f>VLOOKUP(X14,'R Data'!O1:Q39,3,FALSE)</f>
        <v>98</v>
      </c>
      <c r="AA14" s="652">
        <f>(A14/Y14)*H14</f>
        <v>0</v>
      </c>
      <c r="AB14" s="303">
        <f t="shared" si="5"/>
        <v>0</v>
      </c>
      <c r="AC14" s="1062"/>
      <c r="AD14" s="1063"/>
      <c r="AE14" s="122"/>
      <c r="AF14" s="302" t="s">
        <v>386</v>
      </c>
      <c r="AG14" s="650">
        <f>VLOOKUP(AF14,'R Data'!O2:P39,2,FALSE)</f>
        <v>20</v>
      </c>
      <c r="AH14" s="651">
        <f>VLOOKUP(AF14,'R Data'!O1:Q39,3,FALSE)</f>
        <v>98</v>
      </c>
      <c r="AI14" s="652">
        <f t="shared" ref="AI14:AI22" si="7">(A14/AG14)*H14</f>
        <v>0</v>
      </c>
      <c r="AJ14" s="303">
        <f t="shared" si="0"/>
        <v>0</v>
      </c>
      <c r="AK14" s="1062"/>
      <c r="AL14" s="1063"/>
      <c r="AM14" s="122"/>
      <c r="AN14" s="302" t="s">
        <v>384</v>
      </c>
      <c r="AO14" s="650">
        <f>VLOOKUP(AN14,'R Data'!O2:P39,2,FALSE)</f>
        <v>20</v>
      </c>
      <c r="AP14" s="651">
        <f>VLOOKUP(AN14,'R Data'!O1:Q39,3,FALSE)</f>
        <v>125</v>
      </c>
      <c r="AQ14" s="652">
        <f t="shared" ref="AQ14:AQ22" si="8">(A14/AO14)*H14</f>
        <v>0</v>
      </c>
      <c r="AR14" s="303">
        <f t="shared" si="1"/>
        <v>0</v>
      </c>
      <c r="AS14" s="1062"/>
      <c r="AT14" s="1063"/>
      <c r="AU14" s="122"/>
      <c r="AV14" s="302" t="s">
        <v>10164</v>
      </c>
      <c r="AW14" s="650">
        <f>VLOOKUP(AV14,'R Data'!O2:P39,2,FALSE)</f>
        <v>10</v>
      </c>
      <c r="AX14" s="651">
        <f>VLOOKUP(AV14,'R Data'!O1:Q39,3,FALSE)</f>
        <v>48.09</v>
      </c>
      <c r="AY14" s="652">
        <f t="shared" ref="AY14:AY22" si="9">(A14/AW14)*H14</f>
        <v>0</v>
      </c>
      <c r="AZ14" s="303">
        <f t="shared" si="2"/>
        <v>0</v>
      </c>
      <c r="BA14" s="1062"/>
      <c r="BB14" s="1063"/>
      <c r="BC14" s="122"/>
      <c r="BD14" s="305" t="s">
        <v>599</v>
      </c>
      <c r="BE14" s="498"/>
      <c r="BF14" s="498"/>
      <c r="BG14" s="498"/>
      <c r="BH14" s="498"/>
      <c r="BI14" s="498"/>
      <c r="BJ14" s="498"/>
      <c r="BK14" s="498"/>
      <c r="BL14" s="498"/>
      <c r="BM14" s="498"/>
      <c r="BN14" s="498"/>
      <c r="BO14" s="498"/>
      <c r="BP14" s="498"/>
    </row>
    <row r="15" spans="1:68" s="17" customFormat="1" ht="14.1" customHeight="1" x14ac:dyDescent="0.25">
      <c r="A15" s="306">
        <f>SUM(Input!C26)</f>
        <v>0</v>
      </c>
      <c r="B15" s="301">
        <f>VLOOKUP(C15,'R Data'!K40:L49,2,FALSE)</f>
        <v>1</v>
      </c>
      <c r="C15" s="307" t="s">
        <v>379</v>
      </c>
      <c r="D15" s="173">
        <f>SUM(A15/B15)</f>
        <v>0</v>
      </c>
      <c r="E15" s="266"/>
      <c r="F15" s="266"/>
      <c r="G15" s="266"/>
      <c r="H15" s="175">
        <v>1.1000000000000001</v>
      </c>
      <c r="I15" s="176"/>
      <c r="J15" s="180">
        <f t="shared" si="6"/>
        <v>0</v>
      </c>
      <c r="K15" s="82" t="s">
        <v>24</v>
      </c>
      <c r="L15" s="1089"/>
      <c r="M15" s="1090"/>
      <c r="N15" s="79">
        <f>VLOOKUP(C15,'R Data'!K40:M49,3,FALSE)</f>
        <v>0</v>
      </c>
      <c r="O15" s="180">
        <f t="shared" si="3"/>
        <v>0</v>
      </c>
      <c r="P15" s="1040"/>
      <c r="Q15" s="1041"/>
      <c r="R15" s="1041"/>
      <c r="S15" s="1042"/>
      <c r="T15" s="180">
        <f t="shared" si="4"/>
        <v>0</v>
      </c>
      <c r="U15" s="1017"/>
      <c r="V15" s="1018"/>
      <c r="W15" s="122"/>
      <c r="X15" s="307" t="s">
        <v>379</v>
      </c>
      <c r="Y15" s="650">
        <f>VLOOKUP(X15,'R Data'!K40:L49,2,FALSE)</f>
        <v>1</v>
      </c>
      <c r="Z15" s="651">
        <f>VLOOKUP(X15,'R Data'!K40:M49,3,FALSE)</f>
        <v>0</v>
      </c>
      <c r="AA15" s="652">
        <f t="shared" ref="AA15:AA22" si="10">(A15/Y15)*H15</f>
        <v>0</v>
      </c>
      <c r="AB15" s="303">
        <f t="shared" si="5"/>
        <v>0</v>
      </c>
      <c r="AC15" s="1062"/>
      <c r="AD15" s="1063"/>
      <c r="AE15" s="122"/>
      <c r="AF15" s="307" t="s">
        <v>379</v>
      </c>
      <c r="AG15" s="650">
        <f>VLOOKUP(AF15,'R Data'!K40:L49,2,FALSE)</f>
        <v>1</v>
      </c>
      <c r="AH15" s="651">
        <f>VLOOKUP(AF15,'R Data'!K40:M49,3,FALSE)</f>
        <v>0</v>
      </c>
      <c r="AI15" s="652">
        <f t="shared" si="7"/>
        <v>0</v>
      </c>
      <c r="AJ15" s="303">
        <f t="shared" si="0"/>
        <v>0</v>
      </c>
      <c r="AK15" s="1062"/>
      <c r="AL15" s="1063"/>
      <c r="AM15" s="122"/>
      <c r="AN15" s="307" t="s">
        <v>379</v>
      </c>
      <c r="AO15" s="650">
        <f>VLOOKUP(AN15,'R Data'!K40:L49,2,FALSE)</f>
        <v>1</v>
      </c>
      <c r="AP15" s="651">
        <f>VLOOKUP(AN15,'R Data'!K40:M49,3,FALSE)</f>
        <v>0</v>
      </c>
      <c r="AQ15" s="652">
        <f t="shared" si="8"/>
        <v>0</v>
      </c>
      <c r="AR15" s="303">
        <f t="shared" si="1"/>
        <v>0</v>
      </c>
      <c r="AS15" s="1062"/>
      <c r="AT15" s="1063"/>
      <c r="AU15" s="122"/>
      <c r="AV15" s="307" t="s">
        <v>10328</v>
      </c>
      <c r="AW15" s="650">
        <f>VLOOKUP(AV15,'R Data'!K40:L49,2,FALSE)</f>
        <v>33.299999999999997</v>
      </c>
      <c r="AX15" s="651">
        <f>VLOOKUP(AV15,'R Data'!K40:M49,3,FALSE)</f>
        <v>55.78</v>
      </c>
      <c r="AY15" s="652">
        <f t="shared" si="9"/>
        <v>0</v>
      </c>
      <c r="AZ15" s="303">
        <f t="shared" si="2"/>
        <v>0</v>
      </c>
      <c r="BA15" s="1062"/>
      <c r="BB15" s="1063"/>
      <c r="BC15" s="122"/>
      <c r="BD15" s="305" t="s">
        <v>605</v>
      </c>
      <c r="BE15" s="498"/>
      <c r="BF15" s="498"/>
      <c r="BG15" s="498"/>
      <c r="BH15" s="498"/>
      <c r="BI15" s="498"/>
      <c r="BJ15" s="498"/>
      <c r="BK15" s="498"/>
      <c r="BL15" s="498"/>
      <c r="BM15" s="498"/>
      <c r="BN15" s="498"/>
      <c r="BO15" s="498"/>
      <c r="BP15" s="498"/>
    </row>
    <row r="16" spans="1:68" s="17" customFormat="1" ht="14.1" customHeight="1" x14ac:dyDescent="0.25">
      <c r="A16" s="306">
        <f>SUM(Input!C25)</f>
        <v>0</v>
      </c>
      <c r="B16" s="301">
        <f>VLOOKUP(C16,'R Data'!K50:L59,2,FALSE)</f>
        <v>1</v>
      </c>
      <c r="C16" s="307" t="s">
        <v>380</v>
      </c>
      <c r="D16" s="173">
        <f>SUM(A16/B16)</f>
        <v>0</v>
      </c>
      <c r="E16" s="266"/>
      <c r="F16" s="266"/>
      <c r="G16" s="266"/>
      <c r="H16" s="175">
        <v>1.1000000000000001</v>
      </c>
      <c r="I16" s="176"/>
      <c r="J16" s="180">
        <f t="shared" si="6"/>
        <v>0</v>
      </c>
      <c r="K16" s="82" t="s">
        <v>24</v>
      </c>
      <c r="L16" s="1089"/>
      <c r="M16" s="1090"/>
      <c r="N16" s="79">
        <f>VLOOKUP(C16,'R Data'!K40:M59,3,FALSE)</f>
        <v>0</v>
      </c>
      <c r="O16" s="180">
        <f t="shared" si="3"/>
        <v>0</v>
      </c>
      <c r="P16" s="1040"/>
      <c r="Q16" s="1041"/>
      <c r="R16" s="1041"/>
      <c r="S16" s="1042"/>
      <c r="T16" s="180">
        <f t="shared" si="4"/>
        <v>0</v>
      </c>
      <c r="U16" s="1017"/>
      <c r="V16" s="1018"/>
      <c r="W16" s="308"/>
      <c r="X16" s="307" t="s">
        <v>380</v>
      </c>
      <c r="Y16" s="650">
        <f>VLOOKUP(X16,'R Data'!K50:L59,2,FALSE)</f>
        <v>1</v>
      </c>
      <c r="Z16" s="651">
        <f>VLOOKUP(X16,'R Data'!K40:M59,3,FALSE)</f>
        <v>0</v>
      </c>
      <c r="AA16" s="652">
        <f t="shared" si="10"/>
        <v>0</v>
      </c>
      <c r="AB16" s="303">
        <f t="shared" si="5"/>
        <v>0</v>
      </c>
      <c r="AC16" s="1062"/>
      <c r="AD16" s="1063"/>
      <c r="AE16" s="308"/>
      <c r="AF16" s="307" t="s">
        <v>380</v>
      </c>
      <c r="AG16" s="650">
        <f>VLOOKUP(AF16,'R Data'!K50:L59,2,FALSE)</f>
        <v>1</v>
      </c>
      <c r="AH16" s="651">
        <f>VLOOKUP(AF16,'R Data'!K40:M59,3,FALSE)</f>
        <v>0</v>
      </c>
      <c r="AI16" s="652">
        <f t="shared" si="7"/>
        <v>0</v>
      </c>
      <c r="AJ16" s="303">
        <f t="shared" si="0"/>
        <v>0</v>
      </c>
      <c r="AK16" s="1062"/>
      <c r="AL16" s="1063"/>
      <c r="AM16" s="308"/>
      <c r="AN16" s="307" t="s">
        <v>380</v>
      </c>
      <c r="AO16" s="650">
        <f>VLOOKUP(AN16,'R Data'!K50:L59,2,FALSE)</f>
        <v>1</v>
      </c>
      <c r="AP16" s="651">
        <f>VLOOKUP(AN16,'R Data'!K40:M59,3,FALSE)</f>
        <v>0</v>
      </c>
      <c r="AQ16" s="652">
        <f t="shared" si="8"/>
        <v>0</v>
      </c>
      <c r="AR16" s="303">
        <f t="shared" si="1"/>
        <v>0</v>
      </c>
      <c r="AS16" s="1062"/>
      <c r="AT16" s="1063"/>
      <c r="AU16" s="308"/>
      <c r="AV16" s="307" t="s">
        <v>10330</v>
      </c>
      <c r="AW16" s="650">
        <f>VLOOKUP(AV16,'R Data'!K50:L59,2,FALSE)</f>
        <v>33.299999999999997</v>
      </c>
      <c r="AX16" s="651">
        <f>VLOOKUP(AV16,'R Data'!K40:M59,3,FALSE)</f>
        <v>55.78</v>
      </c>
      <c r="AY16" s="652">
        <f t="shared" si="9"/>
        <v>0</v>
      </c>
      <c r="AZ16" s="303">
        <f t="shared" si="2"/>
        <v>0</v>
      </c>
      <c r="BA16" s="1062"/>
      <c r="BB16" s="1063"/>
      <c r="BC16" s="308"/>
      <c r="BD16" s="305" t="s">
        <v>600</v>
      </c>
      <c r="BE16" s="498"/>
      <c r="BF16" s="498"/>
      <c r="BG16" s="498"/>
      <c r="BH16" s="498"/>
      <c r="BI16" s="498"/>
      <c r="BJ16" s="498"/>
      <c r="BK16" s="498"/>
      <c r="BL16" s="498"/>
      <c r="BM16" s="498"/>
      <c r="BN16" s="498"/>
      <c r="BO16" s="498"/>
      <c r="BP16" s="498"/>
    </row>
    <row r="17" spans="1:78" s="17" customFormat="1" ht="14.1" customHeight="1" x14ac:dyDescent="0.25">
      <c r="A17" s="306">
        <f>SUM(Input!C24)*2</f>
        <v>0</v>
      </c>
      <c r="B17" s="301">
        <f>VLOOKUP(C17,'R Data'!K60:L79,2,FALSE)</f>
        <v>1</v>
      </c>
      <c r="C17" s="307" t="s">
        <v>381</v>
      </c>
      <c r="D17" s="173">
        <f>SUM(A17/B17)</f>
        <v>0</v>
      </c>
      <c r="E17" s="266"/>
      <c r="F17" s="266"/>
      <c r="G17" s="266"/>
      <c r="H17" s="175">
        <v>1.1000000000000001</v>
      </c>
      <c r="I17" s="176"/>
      <c r="J17" s="180">
        <f t="shared" si="6"/>
        <v>0</v>
      </c>
      <c r="K17" s="82" t="s">
        <v>24</v>
      </c>
      <c r="L17" s="1089"/>
      <c r="M17" s="1090"/>
      <c r="N17" s="79">
        <f>VLOOKUP(C17,'R Data'!K60:M79,3,FALSE)</f>
        <v>0</v>
      </c>
      <c r="O17" s="180">
        <f t="shared" si="3"/>
        <v>0</v>
      </c>
      <c r="P17" s="1040"/>
      <c r="Q17" s="1041"/>
      <c r="R17" s="1041"/>
      <c r="S17" s="1042"/>
      <c r="T17" s="180">
        <f t="shared" si="4"/>
        <v>0</v>
      </c>
      <c r="U17" s="1017"/>
      <c r="V17" s="1018"/>
      <c r="W17" s="308" t="s">
        <v>217</v>
      </c>
      <c r="X17" s="307" t="s">
        <v>381</v>
      </c>
      <c r="Y17" s="650">
        <f>VLOOKUP(X17,'R Data'!K60:L79,2,FALSE)</f>
        <v>1</v>
      </c>
      <c r="Z17" s="651">
        <f>VLOOKUP(X17,'R Data'!K60:M79,3,FALSE)</f>
        <v>0</v>
      </c>
      <c r="AA17" s="652">
        <f t="shared" si="10"/>
        <v>0</v>
      </c>
      <c r="AB17" s="303">
        <f t="shared" si="5"/>
        <v>0</v>
      </c>
      <c r="AC17" s="1062"/>
      <c r="AD17" s="1063"/>
      <c r="AE17" s="308"/>
      <c r="AF17" s="307" t="s">
        <v>381</v>
      </c>
      <c r="AG17" s="650">
        <f>VLOOKUP(AF17,'R Data'!K60:L79,2,FALSE)</f>
        <v>1</v>
      </c>
      <c r="AH17" s="651">
        <f>VLOOKUP(AF17,'R Data'!K60:M79,3,FALSE)</f>
        <v>0</v>
      </c>
      <c r="AI17" s="652">
        <f t="shared" si="7"/>
        <v>0</v>
      </c>
      <c r="AJ17" s="303">
        <f t="shared" si="0"/>
        <v>0</v>
      </c>
      <c r="AK17" s="1062"/>
      <c r="AL17" s="1063"/>
      <c r="AM17" s="308"/>
      <c r="AN17" s="307" t="s">
        <v>381</v>
      </c>
      <c r="AO17" s="650">
        <f>VLOOKUP(AN17,'R Data'!K60:L79,2,FALSE)</f>
        <v>1</v>
      </c>
      <c r="AP17" s="651">
        <f>VLOOKUP(AN17,'R Data'!K60:M79,3,FALSE)</f>
        <v>0</v>
      </c>
      <c r="AQ17" s="652">
        <f t="shared" si="8"/>
        <v>0</v>
      </c>
      <c r="AR17" s="303">
        <f t="shared" si="1"/>
        <v>0</v>
      </c>
      <c r="AS17" s="1062"/>
      <c r="AT17" s="1063"/>
      <c r="AU17" s="308"/>
      <c r="AV17" s="307" t="s">
        <v>10332</v>
      </c>
      <c r="AW17" s="650">
        <f>VLOOKUP(AV17,'R Data'!K60:L79,2,FALSE)</f>
        <v>40</v>
      </c>
      <c r="AX17" s="651">
        <f>VLOOKUP(AV17,'R Data'!K60:M79,3,FALSE)</f>
        <v>55.78</v>
      </c>
      <c r="AY17" s="652">
        <f t="shared" si="9"/>
        <v>0</v>
      </c>
      <c r="AZ17" s="303">
        <f t="shared" si="2"/>
        <v>0</v>
      </c>
      <c r="BA17" s="1062"/>
      <c r="BB17" s="1063"/>
      <c r="BC17" s="308"/>
      <c r="BD17" s="305" t="s">
        <v>601</v>
      </c>
      <c r="BE17" s="498"/>
      <c r="BF17" s="498"/>
      <c r="BG17" s="498"/>
      <c r="BH17" s="498"/>
      <c r="BI17" s="498"/>
      <c r="BJ17" s="498"/>
      <c r="BK17" s="498"/>
      <c r="BL17" s="498"/>
      <c r="BM17" s="498"/>
      <c r="BN17" s="498"/>
      <c r="BO17" s="498"/>
      <c r="BP17" s="498"/>
    </row>
    <row r="18" spans="1:78" s="17" customFormat="1" ht="14.1" customHeight="1" x14ac:dyDescent="0.25">
      <c r="A18" s="304">
        <f>SUM(Input!C24+Input!C26*E18+Input!C27+(A21*(W21-1)))</f>
        <v>0</v>
      </c>
      <c r="B18" s="301">
        <f>VLOOKUP(C18,'R Data'!S1:T39,2,FALSE)</f>
        <v>65</v>
      </c>
      <c r="C18" s="302" t="s">
        <v>400</v>
      </c>
      <c r="D18" s="173">
        <f>SUM((A18)/B18)</f>
        <v>0</v>
      </c>
      <c r="E18" s="267">
        <v>1</v>
      </c>
      <c r="F18" s="267"/>
      <c r="G18" s="266"/>
      <c r="H18" s="175">
        <v>1.02</v>
      </c>
      <c r="I18" s="176"/>
      <c r="J18" s="180">
        <f>IF(D18&lt;&gt;0,D18,0)*IF(F18&lt;&gt;0,F18,1)*IF(G18&lt;&gt;0,G18,1)*IF(H18&lt;&gt;0,H18,1)/IF(I18&lt;&gt;0,I18,1)</f>
        <v>0</v>
      </c>
      <c r="K18" s="82" t="s">
        <v>23</v>
      </c>
      <c r="L18" s="1089"/>
      <c r="M18" s="1090"/>
      <c r="N18" s="79">
        <f>VLOOKUP(C18,'R Data'!S1:U39,3,FALSE)</f>
        <v>66</v>
      </c>
      <c r="O18" s="180">
        <f t="shared" si="3"/>
        <v>0</v>
      </c>
      <c r="P18" s="1040"/>
      <c r="Q18" s="1041"/>
      <c r="R18" s="1041"/>
      <c r="S18" s="1042"/>
      <c r="T18" s="180">
        <f t="shared" si="4"/>
        <v>0</v>
      </c>
      <c r="U18" s="1017"/>
      <c r="V18" s="1018"/>
      <c r="W18" s="308" t="s">
        <v>218</v>
      </c>
      <c r="X18" s="302" t="s">
        <v>399</v>
      </c>
      <c r="Y18" s="650">
        <f>VLOOKUP(X18,'R Data'!S1:T39,2,FALSE)</f>
        <v>65</v>
      </c>
      <c r="Z18" s="651">
        <f>VLOOKUP(X18,'R Data'!S1:U39,3,FALSE)</f>
        <v>98.05</v>
      </c>
      <c r="AA18" s="652">
        <f t="shared" si="10"/>
        <v>0</v>
      </c>
      <c r="AB18" s="303">
        <f t="shared" si="5"/>
        <v>0</v>
      </c>
      <c r="AC18" s="1062"/>
      <c r="AD18" s="1063"/>
      <c r="AE18" s="308"/>
      <c r="AF18" s="302" t="s">
        <v>399</v>
      </c>
      <c r="AG18" s="650">
        <f>VLOOKUP(AF18,'R Data'!S1:T39,2,FALSE)</f>
        <v>65</v>
      </c>
      <c r="AH18" s="651">
        <f>VLOOKUP(AF18,'R Data'!S1:U39,3,FALSE)</f>
        <v>98.05</v>
      </c>
      <c r="AI18" s="652">
        <f t="shared" si="7"/>
        <v>0</v>
      </c>
      <c r="AJ18" s="303">
        <f t="shared" si="0"/>
        <v>0</v>
      </c>
      <c r="AK18" s="1062"/>
      <c r="AL18" s="1063"/>
      <c r="AM18" s="308"/>
      <c r="AN18" s="302" t="s">
        <v>400</v>
      </c>
      <c r="AO18" s="650">
        <f>VLOOKUP(AN18,'R Data'!S1:T39,2,FALSE)</f>
        <v>65</v>
      </c>
      <c r="AP18" s="651">
        <f>VLOOKUP(AN18,'R Data'!S1:U39,3,FALSE)</f>
        <v>66</v>
      </c>
      <c r="AQ18" s="652">
        <f t="shared" si="8"/>
        <v>0</v>
      </c>
      <c r="AR18" s="303">
        <f t="shared" si="1"/>
        <v>0</v>
      </c>
      <c r="AS18" s="1062"/>
      <c r="AT18" s="1063"/>
      <c r="AU18" s="308"/>
      <c r="AV18" s="302" t="s">
        <v>1228</v>
      </c>
      <c r="AW18" s="650">
        <f>VLOOKUP(AV18,'R Data'!S1:T39,2,FALSE)</f>
        <v>65</v>
      </c>
      <c r="AX18" s="651">
        <f>VLOOKUP(AV18,'R Data'!S1:U39,3,FALSE)</f>
        <v>80</v>
      </c>
      <c r="AY18" s="652">
        <f t="shared" si="9"/>
        <v>0</v>
      </c>
      <c r="AZ18" s="303">
        <f t="shared" si="2"/>
        <v>0</v>
      </c>
      <c r="BA18" s="1062"/>
      <c r="BB18" s="1063"/>
      <c r="BC18" s="308"/>
      <c r="BD18" s="305" t="s">
        <v>602</v>
      </c>
      <c r="BE18" s="498"/>
      <c r="BF18" s="498"/>
      <c r="BG18" s="498"/>
      <c r="BH18" s="498"/>
      <c r="BI18" s="498"/>
      <c r="BJ18" s="498"/>
      <c r="BK18" s="498"/>
      <c r="BL18" s="498"/>
      <c r="BM18" s="498"/>
      <c r="BN18" s="498"/>
      <c r="BO18" s="498"/>
      <c r="BP18" s="498"/>
    </row>
    <row r="19" spans="1:78" s="17" customFormat="1" ht="14.1" customHeight="1" x14ac:dyDescent="0.25">
      <c r="A19" s="304">
        <f>SUM(A12-(A18*(W25-1)))</f>
        <v>9.9999999999999995E-7</v>
      </c>
      <c r="B19" s="301">
        <f>VLOOKUP(C19,'R Data'!S41:T79,2,FALSE)</f>
        <v>1000</v>
      </c>
      <c r="C19" s="500" t="s">
        <v>406</v>
      </c>
      <c r="D19" s="173">
        <f>A19/B19</f>
        <v>9.9999999999999986E-10</v>
      </c>
      <c r="E19" s="266"/>
      <c r="F19" s="266"/>
      <c r="G19" s="266"/>
      <c r="H19" s="175">
        <v>1.1000000000000001</v>
      </c>
      <c r="I19" s="176"/>
      <c r="J19" s="180">
        <f t="shared" ref="J19:J39" si="11">IF(D19&lt;&gt;0,D19,0)*IF(E19&lt;&gt;0,E19,1)*IF(F19&lt;&gt;0,F19,1)*IF(G19&lt;&gt;0,G19,1)*IF(H19&lt;&gt;0,H19,1)/IF(I19&lt;&gt;0,I19,1)</f>
        <v>1.0999999999999999E-9</v>
      </c>
      <c r="K19" s="82" t="s">
        <v>23</v>
      </c>
      <c r="L19" s="1089"/>
      <c r="M19" s="1090"/>
      <c r="N19" s="79">
        <f>VLOOKUP(C19,'R Data'!S41:U79,3,FALSE)</f>
        <v>72.489999999999995</v>
      </c>
      <c r="O19" s="180">
        <f t="shared" si="3"/>
        <v>0</v>
      </c>
      <c r="P19" s="1040"/>
      <c r="Q19" s="1041"/>
      <c r="R19" s="1041"/>
      <c r="S19" s="1042"/>
      <c r="T19" s="180">
        <f t="shared" si="4"/>
        <v>0</v>
      </c>
      <c r="U19" s="1017"/>
      <c r="V19" s="1018"/>
      <c r="W19" s="309" t="s">
        <v>862</v>
      </c>
      <c r="X19" s="302" t="s">
        <v>411</v>
      </c>
      <c r="Y19" s="650">
        <f>VLOOKUP(X19,'R Data'!S41:T79,2,FALSE)</f>
        <v>500</v>
      </c>
      <c r="Z19" s="651">
        <f>VLOOKUP(X19,'R Data'!S41:U79,3,FALSE)</f>
        <v>146.34</v>
      </c>
      <c r="AA19" s="652">
        <f t="shared" si="10"/>
        <v>2.1999999999999998E-9</v>
      </c>
      <c r="AB19" s="303">
        <f t="shared" si="5"/>
        <v>3.2194799999999999E-7</v>
      </c>
      <c r="AC19" s="1062"/>
      <c r="AD19" s="1063"/>
      <c r="AE19" s="308"/>
      <c r="AF19" s="302" t="s">
        <v>411</v>
      </c>
      <c r="AG19" s="650">
        <f>VLOOKUP(AF19,'R Data'!S41:T79,2,FALSE)</f>
        <v>500</v>
      </c>
      <c r="AH19" s="651">
        <f>VLOOKUP(AF19,'R Data'!S41:U79,3,FALSE)</f>
        <v>146.34</v>
      </c>
      <c r="AI19" s="652">
        <f t="shared" si="7"/>
        <v>2.1999999999999998E-9</v>
      </c>
      <c r="AJ19" s="303">
        <f t="shared" si="0"/>
        <v>3.2194799999999999E-7</v>
      </c>
      <c r="AK19" s="1062"/>
      <c r="AL19" s="1063"/>
      <c r="AM19" s="308"/>
      <c r="AN19" s="302" t="s">
        <v>10059</v>
      </c>
      <c r="AO19" s="650">
        <f>VLOOKUP(AN19,'R Data'!S41:T79,2,FALSE)</f>
        <v>1000</v>
      </c>
      <c r="AP19" s="651">
        <f>VLOOKUP(AN19,'R Data'!S41:U79,3,FALSE)</f>
        <v>75</v>
      </c>
      <c r="AQ19" s="652">
        <f t="shared" si="8"/>
        <v>1.0999999999999999E-9</v>
      </c>
      <c r="AR19" s="303">
        <f t="shared" si="1"/>
        <v>8.2499999999999991E-8</v>
      </c>
      <c r="AS19" s="1062"/>
      <c r="AT19" s="1063"/>
      <c r="AU19" s="308"/>
      <c r="AV19" s="302" t="s">
        <v>1229</v>
      </c>
      <c r="AW19" s="650">
        <f>VLOOKUP(AV19,'R Data'!S41:T79,2,FALSE)</f>
        <v>1000</v>
      </c>
      <c r="AX19" s="651">
        <f>VLOOKUP(AV19,'R Data'!S41:U79,3,FALSE)</f>
        <v>150</v>
      </c>
      <c r="AY19" s="652">
        <f t="shared" si="9"/>
        <v>1.0999999999999999E-9</v>
      </c>
      <c r="AZ19" s="303">
        <f t="shared" si="2"/>
        <v>1.6499999999999998E-7</v>
      </c>
      <c r="BA19" s="1062"/>
      <c r="BB19" s="1063"/>
      <c r="BC19" s="308"/>
      <c r="BD19" s="499" t="s">
        <v>985</v>
      </c>
      <c r="BE19" s="310"/>
      <c r="BF19" s="310"/>
      <c r="BG19" s="310"/>
      <c r="BH19" s="310"/>
      <c r="BI19" s="310"/>
      <c r="BJ19" s="310"/>
      <c r="BK19" s="310"/>
      <c r="BL19" s="310"/>
      <c r="BM19" s="310"/>
      <c r="BN19" s="310"/>
      <c r="BO19" s="310"/>
      <c r="BP19" s="310"/>
    </row>
    <row r="20" spans="1:78" s="17" customFormat="1" ht="14.1" customHeight="1" x14ac:dyDescent="0.25">
      <c r="A20" s="304">
        <f>SUM(Input!C26)</f>
        <v>0</v>
      </c>
      <c r="B20" s="301">
        <v>10</v>
      </c>
      <c r="C20" s="302" t="s">
        <v>10191</v>
      </c>
      <c r="D20" s="179">
        <f>SUM(A20/10)</f>
        <v>0</v>
      </c>
      <c r="E20" s="266"/>
      <c r="F20" s="266"/>
      <c r="G20" s="266"/>
      <c r="H20" s="175">
        <v>1.1499999999999999</v>
      </c>
      <c r="I20" s="176"/>
      <c r="J20" s="180">
        <f t="shared" si="11"/>
        <v>0</v>
      </c>
      <c r="K20" s="82" t="s">
        <v>22</v>
      </c>
      <c r="L20" s="1089"/>
      <c r="M20" s="1090"/>
      <c r="N20" s="79">
        <f>VLOOKUP(C20,'R Data'!O40:Q49,3,FALSE)</f>
        <v>8.7799999999999994</v>
      </c>
      <c r="O20" s="180">
        <f t="shared" si="3"/>
        <v>0</v>
      </c>
      <c r="P20" s="1040"/>
      <c r="Q20" s="1041"/>
      <c r="R20" s="1041"/>
      <c r="S20" s="1042"/>
      <c r="T20" s="180">
        <f t="shared" si="4"/>
        <v>0</v>
      </c>
      <c r="U20" s="1017"/>
      <c r="V20" s="1018"/>
      <c r="W20" s="308" t="s">
        <v>283</v>
      </c>
      <c r="X20" s="302" t="s">
        <v>10192</v>
      </c>
      <c r="Y20" s="650">
        <v>10</v>
      </c>
      <c r="Z20" s="651">
        <f>VLOOKUP(X20,'R Data'!O40:Q49,3,FALSE)</f>
        <v>9</v>
      </c>
      <c r="AA20" s="652">
        <f t="shared" si="10"/>
        <v>0</v>
      </c>
      <c r="AB20" s="303">
        <f t="shared" si="5"/>
        <v>0</v>
      </c>
      <c r="AC20" s="1062"/>
      <c r="AD20" s="1063"/>
      <c r="AE20" s="308"/>
      <c r="AF20" s="302" t="s">
        <v>10192</v>
      </c>
      <c r="AG20" s="650">
        <v>10</v>
      </c>
      <c r="AH20" s="651">
        <f>VLOOKUP(AF20,'R Data'!O40:Q49,3,FALSE)</f>
        <v>9</v>
      </c>
      <c r="AI20" s="652">
        <f t="shared" si="7"/>
        <v>0</v>
      </c>
      <c r="AJ20" s="303">
        <f t="shared" si="0"/>
        <v>0</v>
      </c>
      <c r="AK20" s="1062"/>
      <c r="AL20" s="1063"/>
      <c r="AM20" s="308"/>
      <c r="AN20" s="302" t="s">
        <v>10192</v>
      </c>
      <c r="AO20" s="650">
        <v>10</v>
      </c>
      <c r="AP20" s="651">
        <f>VLOOKUP(AN20,'R Data'!O40:Q49,3,FALSE)</f>
        <v>9</v>
      </c>
      <c r="AQ20" s="652">
        <f t="shared" si="8"/>
        <v>0</v>
      </c>
      <c r="AR20" s="303">
        <f t="shared" si="1"/>
        <v>0</v>
      </c>
      <c r="AS20" s="1062"/>
      <c r="AT20" s="1063"/>
      <c r="AU20" s="308"/>
      <c r="AV20" s="302" t="s">
        <v>10191</v>
      </c>
      <c r="AW20" s="650">
        <v>10</v>
      </c>
      <c r="AX20" s="651">
        <f>VLOOKUP(AV20,'R Data'!O40:Q49,3,FALSE)</f>
        <v>8.7799999999999994</v>
      </c>
      <c r="AY20" s="652">
        <f t="shared" si="9"/>
        <v>0</v>
      </c>
      <c r="AZ20" s="303">
        <f t="shared" si="2"/>
        <v>0</v>
      </c>
      <c r="BA20" s="1062"/>
      <c r="BB20" s="1063"/>
      <c r="BC20" s="308"/>
      <c r="BD20" s="558" t="s">
        <v>199</v>
      </c>
      <c r="BE20" s="559">
        <f>SUM(BE14:BE19)</f>
        <v>0</v>
      </c>
      <c r="BF20" s="559">
        <f t="shared" ref="BF20:BP20" si="12">SUM(BF14:BF19)</f>
        <v>0</v>
      </c>
      <c r="BG20" s="559">
        <f t="shared" si="12"/>
        <v>0</v>
      </c>
      <c r="BH20" s="559">
        <f t="shared" si="12"/>
        <v>0</v>
      </c>
      <c r="BI20" s="559">
        <f t="shared" si="12"/>
        <v>0</v>
      </c>
      <c r="BJ20" s="559">
        <f t="shared" si="12"/>
        <v>0</v>
      </c>
      <c r="BK20" s="559">
        <f t="shared" si="12"/>
        <v>0</v>
      </c>
      <c r="BL20" s="559">
        <f t="shared" si="12"/>
        <v>0</v>
      </c>
      <c r="BM20" s="559">
        <f t="shared" si="12"/>
        <v>0</v>
      </c>
      <c r="BN20" s="559">
        <f t="shared" si="12"/>
        <v>0</v>
      </c>
      <c r="BO20" s="559">
        <f t="shared" si="12"/>
        <v>0</v>
      </c>
      <c r="BP20" s="559">
        <f t="shared" si="12"/>
        <v>0</v>
      </c>
    </row>
    <row r="21" spans="1:78" s="17" customFormat="1" ht="14.1" customHeight="1" x14ac:dyDescent="0.25">
      <c r="A21" s="304">
        <f>SUM(Input!C25)</f>
        <v>0</v>
      </c>
      <c r="B21" s="301">
        <v>10</v>
      </c>
      <c r="C21" s="302" t="s">
        <v>10215</v>
      </c>
      <c r="D21" s="179">
        <f>SUM(A21/10)</f>
        <v>0</v>
      </c>
      <c r="E21" s="266"/>
      <c r="F21" s="266"/>
      <c r="G21" s="266"/>
      <c r="H21" s="175">
        <v>1.1499999999999999</v>
      </c>
      <c r="I21" s="176"/>
      <c r="J21" s="180">
        <f t="shared" si="11"/>
        <v>0</v>
      </c>
      <c r="K21" s="82" t="s">
        <v>22</v>
      </c>
      <c r="L21" s="1089"/>
      <c r="M21" s="1090"/>
      <c r="N21" s="79">
        <f>VLOOKUP(C21,'R Data'!O50:Q59,3,FALSE)</f>
        <v>7.32</v>
      </c>
      <c r="O21" s="180">
        <f t="shared" si="3"/>
        <v>0</v>
      </c>
      <c r="P21" s="1040"/>
      <c r="Q21" s="1041"/>
      <c r="R21" s="1041"/>
      <c r="S21" s="1042"/>
      <c r="T21" s="180">
        <f t="shared" si="4"/>
        <v>0</v>
      </c>
      <c r="U21" s="1017"/>
      <c r="V21" s="1018"/>
      <c r="W21" s="122">
        <v>1</v>
      </c>
      <c r="X21" s="302" t="s">
        <v>10200</v>
      </c>
      <c r="Y21" s="650">
        <v>10</v>
      </c>
      <c r="Z21" s="651">
        <f>VLOOKUP(X21,'R Data'!O50:Q59,3,FALSE)</f>
        <v>7.5</v>
      </c>
      <c r="AA21" s="652">
        <f t="shared" si="10"/>
        <v>0</v>
      </c>
      <c r="AB21" s="303">
        <f t="shared" si="5"/>
        <v>0</v>
      </c>
      <c r="AC21" s="1062"/>
      <c r="AD21" s="1063"/>
      <c r="AE21" s="122"/>
      <c r="AF21" s="302" t="s">
        <v>10200</v>
      </c>
      <c r="AG21" s="650">
        <v>10</v>
      </c>
      <c r="AH21" s="651">
        <f>VLOOKUP(AF21,'R Data'!O50:Q59,3,FALSE)</f>
        <v>7.5</v>
      </c>
      <c r="AI21" s="652">
        <f t="shared" si="7"/>
        <v>0</v>
      </c>
      <c r="AJ21" s="303">
        <f t="shared" si="0"/>
        <v>0</v>
      </c>
      <c r="AK21" s="1062"/>
      <c r="AL21" s="1063"/>
      <c r="AM21" s="122"/>
      <c r="AN21" s="302" t="s">
        <v>10200</v>
      </c>
      <c r="AO21" s="650">
        <v>10</v>
      </c>
      <c r="AP21" s="651">
        <f>VLOOKUP(AN21,'R Data'!O50:Q59,3,FALSE)</f>
        <v>7.5</v>
      </c>
      <c r="AQ21" s="652">
        <f t="shared" si="8"/>
        <v>0</v>
      </c>
      <c r="AR21" s="303">
        <f t="shared" si="1"/>
        <v>0</v>
      </c>
      <c r="AS21" s="1062"/>
      <c r="AT21" s="1063"/>
      <c r="AU21" s="122"/>
      <c r="AV21" s="302" t="s">
        <v>10215</v>
      </c>
      <c r="AW21" s="650">
        <v>10</v>
      </c>
      <c r="AX21" s="651">
        <f>VLOOKUP(AV21,'R Data'!O50:Q59,3,FALSE)</f>
        <v>7.32</v>
      </c>
      <c r="AY21" s="652">
        <f t="shared" si="9"/>
        <v>0</v>
      </c>
      <c r="AZ21" s="303">
        <f t="shared" si="2"/>
        <v>0</v>
      </c>
      <c r="BA21" s="1062"/>
      <c r="BB21" s="1063"/>
      <c r="BC21" s="122"/>
      <c r="BD21" s="565"/>
      <c r="BE21" s="560">
        <f>SUM(BE20:BG20)+BG20</f>
        <v>0</v>
      </c>
      <c r="BF21" s="311" t="s">
        <v>982</v>
      </c>
      <c r="BG21" s="566">
        <f>BE20+BG20</f>
        <v>0</v>
      </c>
      <c r="BH21" s="560">
        <f>SUM(BH20:BJ20)+BJ20</f>
        <v>0</v>
      </c>
      <c r="BI21" s="311" t="s">
        <v>982</v>
      </c>
      <c r="BJ21" s="566">
        <f>BH20+BJ20</f>
        <v>0</v>
      </c>
      <c r="BK21" s="560">
        <f>SUM(BK20:BM20)+BM20</f>
        <v>0</v>
      </c>
      <c r="BL21" s="311" t="s">
        <v>982</v>
      </c>
      <c r="BM21" s="566">
        <f>BK20+BM20</f>
        <v>0</v>
      </c>
      <c r="BN21" s="567">
        <f>SUM(BN20:BP20)+BP20</f>
        <v>0</v>
      </c>
      <c r="BO21" s="311" t="s">
        <v>982</v>
      </c>
      <c r="BP21" s="568">
        <f>BN20+BP20</f>
        <v>0</v>
      </c>
    </row>
    <row r="22" spans="1:78" s="17" customFormat="1" ht="14.1" customHeight="1" x14ac:dyDescent="0.25">
      <c r="A22" s="304">
        <f>SUM(Input!C24)</f>
        <v>0</v>
      </c>
      <c r="B22" s="301">
        <v>10</v>
      </c>
      <c r="C22" s="302" t="s">
        <v>10208</v>
      </c>
      <c r="D22" s="179">
        <f>SUM(A22/10)</f>
        <v>0</v>
      </c>
      <c r="E22" s="266"/>
      <c r="F22" s="266"/>
      <c r="G22" s="266"/>
      <c r="H22" s="175">
        <v>1.1499999999999999</v>
      </c>
      <c r="I22" s="176"/>
      <c r="J22" s="180">
        <f t="shared" si="11"/>
        <v>0</v>
      </c>
      <c r="K22" s="82" t="s">
        <v>22</v>
      </c>
      <c r="L22" s="1089"/>
      <c r="M22" s="1090"/>
      <c r="N22" s="79">
        <f>VLOOKUP(C22,'R Data'!O60:Q69,3,FALSE)</f>
        <v>30</v>
      </c>
      <c r="O22" s="180">
        <f t="shared" si="3"/>
        <v>0</v>
      </c>
      <c r="P22" s="1040"/>
      <c r="Q22" s="1041"/>
      <c r="R22" s="1041"/>
      <c r="S22" s="1042"/>
      <c r="T22" s="180">
        <f t="shared" si="4"/>
        <v>0</v>
      </c>
      <c r="U22" s="1017"/>
      <c r="V22" s="1018"/>
      <c r="W22" s="122" t="s">
        <v>863</v>
      </c>
      <c r="X22" s="302" t="s">
        <v>10208</v>
      </c>
      <c r="Y22" s="653">
        <v>10</v>
      </c>
      <c r="Z22" s="654">
        <f>VLOOKUP(X22,'R Data'!O60:Q69,3,FALSE)</f>
        <v>30</v>
      </c>
      <c r="AA22" s="655">
        <f t="shared" si="10"/>
        <v>0</v>
      </c>
      <c r="AB22" s="303">
        <f t="shared" si="5"/>
        <v>0</v>
      </c>
      <c r="AC22" s="1062"/>
      <c r="AD22" s="1063"/>
      <c r="AE22" s="122"/>
      <c r="AF22" s="302" t="s">
        <v>10209</v>
      </c>
      <c r="AG22" s="650">
        <v>10</v>
      </c>
      <c r="AH22" s="651">
        <f>VLOOKUP(AF22,'R Data'!O60:Q69,3,FALSE)</f>
        <v>33.869999999999997</v>
      </c>
      <c r="AI22" s="652">
        <f t="shared" si="7"/>
        <v>0</v>
      </c>
      <c r="AJ22" s="303">
        <f t="shared" si="0"/>
        <v>0</v>
      </c>
      <c r="AK22" s="1062"/>
      <c r="AL22" s="1063"/>
      <c r="AM22" s="122"/>
      <c r="AN22" s="302" t="s">
        <v>10208</v>
      </c>
      <c r="AO22" s="650">
        <v>10</v>
      </c>
      <c r="AP22" s="651">
        <f>VLOOKUP(AN22,'R Data'!O60:Q69,3,FALSE)</f>
        <v>30</v>
      </c>
      <c r="AQ22" s="652">
        <f t="shared" si="8"/>
        <v>0</v>
      </c>
      <c r="AR22" s="303">
        <f t="shared" si="1"/>
        <v>0</v>
      </c>
      <c r="AS22" s="1062"/>
      <c r="AT22" s="1063"/>
      <c r="AU22" s="122"/>
      <c r="AV22" s="302" t="s">
        <v>10212</v>
      </c>
      <c r="AW22" s="650">
        <v>10</v>
      </c>
      <c r="AX22" s="651">
        <f>VLOOKUP(AV22,'R Data'!O60:Q69,3,FALSE)</f>
        <v>38.75</v>
      </c>
      <c r="AY22" s="652">
        <f t="shared" si="9"/>
        <v>0</v>
      </c>
      <c r="AZ22" s="303">
        <f t="shared" si="2"/>
        <v>0</v>
      </c>
      <c r="BA22" s="1062"/>
      <c r="BB22" s="1063"/>
      <c r="BC22" s="122"/>
      <c r="BD22" s="565"/>
      <c r="BF22" s="311" t="s">
        <v>983</v>
      </c>
      <c r="BG22" s="566">
        <f>BF20+BG20</f>
        <v>0</v>
      </c>
      <c r="BI22" s="311" t="s">
        <v>983</v>
      </c>
      <c r="BJ22" s="566">
        <f>BI20+BJ20</f>
        <v>0</v>
      </c>
      <c r="BL22" s="311" t="s">
        <v>983</v>
      </c>
      <c r="BM22" s="566">
        <f>BL20+BM20</f>
        <v>0</v>
      </c>
      <c r="BN22" s="311"/>
      <c r="BO22" s="311" t="s">
        <v>983</v>
      </c>
      <c r="BP22" s="568">
        <f>BO20+BP20</f>
        <v>0</v>
      </c>
    </row>
    <row r="23" spans="1:78" s="17" customFormat="1" ht="14.1" customHeight="1" x14ac:dyDescent="0.25">
      <c r="A23" s="304">
        <f>SUM(Input!C27)</f>
        <v>0</v>
      </c>
      <c r="B23" s="301">
        <v>10</v>
      </c>
      <c r="C23" s="75" t="str">
        <f>Input!A27</f>
        <v>Transition Flashing</v>
      </c>
      <c r="D23" s="179">
        <f>SUM(A23/10)</f>
        <v>0</v>
      </c>
      <c r="E23" s="266"/>
      <c r="F23" s="266"/>
      <c r="G23" s="266"/>
      <c r="H23" s="175">
        <v>1.1499999999999999</v>
      </c>
      <c r="I23" s="176"/>
      <c r="J23" s="180">
        <f t="shared" si="11"/>
        <v>0</v>
      </c>
      <c r="K23" s="82" t="s">
        <v>22</v>
      </c>
      <c r="L23" s="1089"/>
      <c r="M23" s="1090"/>
      <c r="N23" s="656">
        <v>23</v>
      </c>
      <c r="O23" s="180">
        <f t="shared" si="3"/>
        <v>0</v>
      </c>
      <c r="P23" s="1040"/>
      <c r="Q23" s="1041"/>
      <c r="R23" s="1041"/>
      <c r="S23" s="1042"/>
      <c r="T23" s="180">
        <f t="shared" si="4"/>
        <v>0</v>
      </c>
      <c r="U23" s="1017"/>
      <c r="V23" s="1018"/>
      <c r="W23" s="122" t="s">
        <v>864</v>
      </c>
      <c r="X23" s="312" t="s">
        <v>205</v>
      </c>
      <c r="Y23" s="952"/>
      <c r="Z23" s="953"/>
      <c r="AA23" s="954"/>
      <c r="AB23" s="180">
        <f>T23</f>
        <v>0</v>
      </c>
      <c r="AC23" s="1062"/>
      <c r="AD23" s="1063"/>
      <c r="AE23" s="122"/>
      <c r="AF23" s="312" t="s">
        <v>205</v>
      </c>
      <c r="AG23" s="952"/>
      <c r="AH23" s="953"/>
      <c r="AI23" s="954"/>
      <c r="AJ23" s="180">
        <f>T23</f>
        <v>0</v>
      </c>
      <c r="AK23" s="1062"/>
      <c r="AL23" s="1063"/>
      <c r="AM23" s="122"/>
      <c r="AN23" s="312" t="s">
        <v>205</v>
      </c>
      <c r="AO23" s="952"/>
      <c r="AP23" s="953"/>
      <c r="AQ23" s="954"/>
      <c r="AR23" s="180">
        <f>T23</f>
        <v>0</v>
      </c>
      <c r="AS23" s="1062"/>
      <c r="AT23" s="1063"/>
      <c r="AU23" s="122"/>
      <c r="AV23" s="312" t="s">
        <v>205</v>
      </c>
      <c r="AW23" s="952"/>
      <c r="AX23" s="953"/>
      <c r="AY23" s="954"/>
      <c r="AZ23" s="180">
        <f>T23</f>
        <v>0</v>
      </c>
      <c r="BA23" s="1062"/>
      <c r="BB23" s="1063"/>
      <c r="BC23" s="122"/>
      <c r="BD23" s="561"/>
      <c r="BE23" s="562"/>
      <c r="BF23" s="562"/>
      <c r="BG23" s="562"/>
      <c r="BH23" s="562"/>
      <c r="BI23" s="563"/>
      <c r="BJ23" s="563"/>
      <c r="BK23" s="563"/>
      <c r="BL23" s="562"/>
      <c r="BM23" s="562"/>
      <c r="BN23" s="562"/>
      <c r="BO23" s="562"/>
      <c r="BP23" s="564"/>
      <c r="BQ23" s="311"/>
      <c r="BR23" s="311"/>
      <c r="BS23" s="311"/>
      <c r="BT23" s="311"/>
      <c r="BU23" s="311"/>
      <c r="BV23" s="311"/>
      <c r="BW23" s="311"/>
      <c r="BX23" s="311"/>
      <c r="BY23" s="311"/>
      <c r="BZ23" s="311"/>
    </row>
    <row r="24" spans="1:78" s="17" customFormat="1" ht="14.1" customHeight="1" x14ac:dyDescent="0.25">
      <c r="A24" s="306">
        <f>SUM(Input!C32)</f>
        <v>0</v>
      </c>
      <c r="B24" s="301">
        <v>0.67</v>
      </c>
      <c r="C24" s="75" t="s">
        <v>10221</v>
      </c>
      <c r="D24" s="179">
        <f>SUM(A24)/0.5*B64</f>
        <v>0</v>
      </c>
      <c r="E24" s="266"/>
      <c r="F24" s="266"/>
      <c r="G24" s="266"/>
      <c r="H24" s="175">
        <v>1.1000000000000001</v>
      </c>
      <c r="I24" s="176"/>
      <c r="J24" s="180">
        <f t="shared" ref="J24" si="13">IF(D24&lt;&gt;0,D24,0)*IF(E24&lt;&gt;0,E24,1)*IF(F24&lt;&gt;0,F24,1)*IF(G24&lt;&gt;0,G24,1)*IF(H24&lt;&gt;0,H24,1)/IF(I24&lt;&gt;0,I24,1)</f>
        <v>0</v>
      </c>
      <c r="K24" s="82" t="s">
        <v>22</v>
      </c>
      <c r="L24" s="1089"/>
      <c r="M24" s="1090"/>
      <c r="N24" s="661">
        <v>0.67</v>
      </c>
      <c r="O24" s="180">
        <f t="shared" ref="O24" si="14">ROUND(J24*N24,0)</f>
        <v>0</v>
      </c>
      <c r="P24" s="1040"/>
      <c r="Q24" s="1041"/>
      <c r="R24" s="1041"/>
      <c r="S24" s="1042"/>
      <c r="T24" s="180">
        <f>ROUND(M24+O24+Q24+S24,0)</f>
        <v>0</v>
      </c>
      <c r="U24" s="1017"/>
      <c r="V24" s="1018"/>
      <c r="W24" s="122"/>
      <c r="X24" s="75" t="s">
        <v>10217</v>
      </c>
      <c r="Y24" s="955"/>
      <c r="Z24" s="956"/>
      <c r="AA24" s="957"/>
      <c r="AB24" s="180">
        <f t="shared" ref="AB24" si="15">T24</f>
        <v>0</v>
      </c>
      <c r="AC24" s="1062"/>
      <c r="AD24" s="1063"/>
      <c r="AE24" s="122"/>
      <c r="AF24" s="75" t="s">
        <v>10217</v>
      </c>
      <c r="AG24" s="955"/>
      <c r="AH24" s="956"/>
      <c r="AI24" s="957"/>
      <c r="AJ24" s="180">
        <f t="shared" ref="AJ24" si="16">T24</f>
        <v>0</v>
      </c>
      <c r="AK24" s="1062"/>
      <c r="AL24" s="1063"/>
      <c r="AM24" s="122"/>
      <c r="AN24" s="75" t="s">
        <v>10217</v>
      </c>
      <c r="AO24" s="955"/>
      <c r="AP24" s="956"/>
      <c r="AQ24" s="957"/>
      <c r="AR24" s="180">
        <f>T24</f>
        <v>0</v>
      </c>
      <c r="AS24" s="1062"/>
      <c r="AT24" s="1063"/>
      <c r="AU24" s="122"/>
      <c r="AV24" s="75" t="s">
        <v>10217</v>
      </c>
      <c r="AW24" s="955"/>
      <c r="AX24" s="956"/>
      <c r="AY24" s="957"/>
      <c r="AZ24" s="180">
        <f t="shared" ref="AZ24:AZ26" si="17">T24</f>
        <v>0</v>
      </c>
      <c r="BA24" s="1062"/>
      <c r="BB24" s="1063"/>
      <c r="BC24" s="122"/>
    </row>
    <row r="25" spans="1:78" s="17" customFormat="1" ht="14.1" customHeight="1" x14ac:dyDescent="0.25">
      <c r="A25" s="306">
        <f>SUM(Input!C33)</f>
        <v>0</v>
      </c>
      <c r="B25" s="301">
        <v>10</v>
      </c>
      <c r="C25" s="75" t="s">
        <v>10222</v>
      </c>
      <c r="D25" s="179">
        <f>SUM(A25/10)*B64</f>
        <v>0</v>
      </c>
      <c r="E25" s="266"/>
      <c r="F25" s="266"/>
      <c r="G25" s="266"/>
      <c r="H25" s="175"/>
      <c r="I25" s="176"/>
      <c r="J25" s="180">
        <f t="shared" si="11"/>
        <v>0</v>
      </c>
      <c r="K25" s="82" t="s">
        <v>22</v>
      </c>
      <c r="L25" s="1089"/>
      <c r="M25" s="1090"/>
      <c r="N25" s="740">
        <v>12.75</v>
      </c>
      <c r="O25" s="180">
        <f t="shared" si="3"/>
        <v>0</v>
      </c>
      <c r="P25" s="1040"/>
      <c r="Q25" s="1041"/>
      <c r="R25" s="1041"/>
      <c r="S25" s="1042"/>
      <c r="T25" s="180">
        <f t="shared" si="4"/>
        <v>0</v>
      </c>
      <c r="U25" s="1017"/>
      <c r="V25" s="1018"/>
      <c r="W25" s="122">
        <v>2</v>
      </c>
      <c r="X25" s="75" t="s">
        <v>10216</v>
      </c>
      <c r="Y25" s="955"/>
      <c r="Z25" s="956"/>
      <c r="AA25" s="957"/>
      <c r="AB25" s="180">
        <f>T25</f>
        <v>0</v>
      </c>
      <c r="AC25" s="1062"/>
      <c r="AD25" s="1063"/>
      <c r="AE25" s="122"/>
      <c r="AF25" s="75" t="s">
        <v>10216</v>
      </c>
      <c r="AG25" s="955"/>
      <c r="AH25" s="956"/>
      <c r="AI25" s="957"/>
      <c r="AJ25" s="180">
        <f>T25</f>
        <v>0</v>
      </c>
      <c r="AK25" s="1062"/>
      <c r="AL25" s="1063"/>
      <c r="AM25" s="122"/>
      <c r="AN25" s="75" t="s">
        <v>10216</v>
      </c>
      <c r="AO25" s="955"/>
      <c r="AP25" s="956"/>
      <c r="AQ25" s="957"/>
      <c r="AR25" s="180">
        <f>T25</f>
        <v>0</v>
      </c>
      <c r="AS25" s="1062"/>
      <c r="AT25" s="1063"/>
      <c r="AU25" s="122"/>
      <c r="AV25" s="75" t="s">
        <v>10216</v>
      </c>
      <c r="AW25" s="955"/>
      <c r="AX25" s="956"/>
      <c r="AY25" s="957"/>
      <c r="AZ25" s="180">
        <f t="shared" si="17"/>
        <v>0</v>
      </c>
      <c r="BA25" s="1062"/>
      <c r="BB25" s="1063"/>
      <c r="BC25" s="122"/>
      <c r="BD25" s="311"/>
      <c r="BE25" s="311"/>
      <c r="BF25" s="311"/>
      <c r="BG25" s="311"/>
      <c r="BH25" s="311"/>
    </row>
    <row r="26" spans="1:78" s="17" customFormat="1" ht="14.1" customHeight="1" x14ac:dyDescent="0.25">
      <c r="A26" s="425">
        <f>SUM(Input!C28)</f>
        <v>0</v>
      </c>
      <c r="B26" s="301">
        <v>1</v>
      </c>
      <c r="C26" s="75" t="s">
        <v>312</v>
      </c>
      <c r="D26" s="268">
        <f>SUM(A26)</f>
        <v>0</v>
      </c>
      <c r="E26" s="266"/>
      <c r="F26" s="266"/>
      <c r="G26" s="266"/>
      <c r="H26" s="175"/>
      <c r="I26" s="176"/>
      <c r="J26" s="180">
        <f t="shared" si="11"/>
        <v>0</v>
      </c>
      <c r="K26" s="82" t="s">
        <v>612</v>
      </c>
      <c r="L26" s="1089"/>
      <c r="M26" s="1090"/>
      <c r="N26" s="740">
        <v>18.98</v>
      </c>
      <c r="O26" s="180">
        <f t="shared" si="3"/>
        <v>0</v>
      </c>
      <c r="P26" s="1040"/>
      <c r="Q26" s="1041"/>
      <c r="R26" s="1041"/>
      <c r="S26" s="1042"/>
      <c r="T26" s="180">
        <f t="shared" si="4"/>
        <v>0</v>
      </c>
      <c r="U26" s="1017"/>
      <c r="V26" s="1018"/>
      <c r="W26" s="122"/>
      <c r="X26" s="312" t="s">
        <v>312</v>
      </c>
      <c r="Y26" s="958"/>
      <c r="Z26" s="959"/>
      <c r="AA26" s="960"/>
      <c r="AB26" s="180">
        <f>T26</f>
        <v>0</v>
      </c>
      <c r="AC26" s="1062"/>
      <c r="AD26" s="1063"/>
      <c r="AE26" s="122"/>
      <c r="AF26" s="312" t="s">
        <v>312</v>
      </c>
      <c r="AG26" s="958"/>
      <c r="AH26" s="959"/>
      <c r="AI26" s="960"/>
      <c r="AJ26" s="180">
        <f>T26</f>
        <v>0</v>
      </c>
      <c r="AK26" s="1062"/>
      <c r="AL26" s="1063"/>
      <c r="AM26" s="122"/>
      <c r="AN26" s="312" t="s">
        <v>312</v>
      </c>
      <c r="AO26" s="958"/>
      <c r="AP26" s="959"/>
      <c r="AQ26" s="960"/>
      <c r="AR26" s="180">
        <f>T26</f>
        <v>0</v>
      </c>
      <c r="AS26" s="1062"/>
      <c r="AT26" s="1063"/>
      <c r="AU26" s="122"/>
      <c r="AV26" s="312" t="s">
        <v>312</v>
      </c>
      <c r="AW26" s="958"/>
      <c r="AX26" s="959"/>
      <c r="AY26" s="960"/>
      <c r="AZ26" s="180">
        <f t="shared" si="17"/>
        <v>0</v>
      </c>
      <c r="BA26" s="1062"/>
      <c r="BB26" s="1063"/>
      <c r="BC26" s="122"/>
    </row>
    <row r="27" spans="1:78" s="17" customFormat="1" ht="14.1" customHeight="1" x14ac:dyDescent="0.25">
      <c r="A27" s="304">
        <f>SUM(Input!C29)</f>
        <v>9.9999999999999995E-7</v>
      </c>
      <c r="B27" s="301">
        <f>VLOOKUP(C27,'R Data'!K80:L120,2,FALSE)</f>
        <v>200</v>
      </c>
      <c r="C27" s="302" t="s">
        <v>326</v>
      </c>
      <c r="D27" s="179">
        <f>SUM(A27)/B27</f>
        <v>5.0000000000000001E-9</v>
      </c>
      <c r="E27" s="266"/>
      <c r="F27" s="266"/>
      <c r="G27" s="266"/>
      <c r="H27" s="175">
        <v>1</v>
      </c>
      <c r="I27" s="176"/>
      <c r="J27" s="180">
        <f t="shared" si="11"/>
        <v>5.0000000000000001E-9</v>
      </c>
      <c r="K27" s="82" t="s">
        <v>612</v>
      </c>
      <c r="L27" s="1089"/>
      <c r="M27" s="1090"/>
      <c r="N27" s="79">
        <f>VLOOKUP(C27,'R Data'!K80:M120,3,FALSE)</f>
        <v>12.45</v>
      </c>
      <c r="O27" s="180">
        <f t="shared" si="3"/>
        <v>0</v>
      </c>
      <c r="P27" s="1040"/>
      <c r="Q27" s="1041"/>
      <c r="R27" s="1041"/>
      <c r="S27" s="1042"/>
      <c r="T27" s="180">
        <f t="shared" si="4"/>
        <v>0</v>
      </c>
      <c r="U27" s="1017"/>
      <c r="V27" s="1018"/>
      <c r="W27" s="122"/>
      <c r="X27" s="302" t="s">
        <v>327</v>
      </c>
      <c r="Y27" s="657">
        <f>VLOOKUP(X27,'R Data'!K80:L120,2,FALSE)</f>
        <v>300</v>
      </c>
      <c r="Z27" s="658">
        <f>VLOOKUP(X27,'R Data'!K80:M120,3,FALSE)</f>
        <v>17.25</v>
      </c>
      <c r="AA27" s="659">
        <f>(A27/Y27)*H27</f>
        <v>3.333333333333333E-9</v>
      </c>
      <c r="AB27" s="303">
        <f>SUM(Z27*AA27)</f>
        <v>5.7499999999999992E-8</v>
      </c>
      <c r="AC27" s="1062"/>
      <c r="AD27" s="1063"/>
      <c r="AE27" s="122"/>
      <c r="AF27" s="302" t="s">
        <v>327</v>
      </c>
      <c r="AG27" s="650">
        <f>VLOOKUP(AF27,'R Data'!K80:L120,2,FALSE)</f>
        <v>300</v>
      </c>
      <c r="AH27" s="651">
        <f>VLOOKUP(AF27,'R Data'!K80:M120,3,FALSE)</f>
        <v>17.25</v>
      </c>
      <c r="AI27" s="652">
        <f>(A27/AG27)*H27</f>
        <v>3.333333333333333E-9</v>
      </c>
      <c r="AJ27" s="303">
        <f>SUM(AH27*AI27)</f>
        <v>5.7499999999999992E-8</v>
      </c>
      <c r="AK27" s="1062"/>
      <c r="AL27" s="1063"/>
      <c r="AM27" s="122"/>
      <c r="AN27" s="302" t="s">
        <v>327</v>
      </c>
      <c r="AO27" s="650">
        <f>VLOOKUP(AN27,'R Data'!K80:L120,2,FALSE)</f>
        <v>300</v>
      </c>
      <c r="AP27" s="651">
        <f>VLOOKUP(AN27,'R Data'!K80:M120,3,FALSE)</f>
        <v>17.25</v>
      </c>
      <c r="AQ27" s="652">
        <f t="shared" ref="AQ27" si="18">(A27/AO27)*H27</f>
        <v>3.333333333333333E-9</v>
      </c>
      <c r="AR27" s="303">
        <f>SUM(AP27*AQ27)</f>
        <v>5.7499999999999992E-8</v>
      </c>
      <c r="AS27" s="1062"/>
      <c r="AT27" s="1063"/>
      <c r="AU27" s="122"/>
      <c r="AV27" s="302" t="s">
        <v>1230</v>
      </c>
      <c r="AW27" s="650">
        <f>VLOOKUP(AV27,'R Data'!K80:L120,2,FALSE)</f>
        <v>20</v>
      </c>
      <c r="AX27" s="651">
        <f>VLOOKUP(AV27,'R Data'!K80:M120,3,FALSE)</f>
        <v>80</v>
      </c>
      <c r="AY27" s="652">
        <f>(A14/AW27)*H27</f>
        <v>0</v>
      </c>
      <c r="AZ27" s="303">
        <f>SUM(AX27*AY27)</f>
        <v>0</v>
      </c>
      <c r="BA27" s="1062"/>
      <c r="BB27" s="1063"/>
      <c r="BC27" s="122"/>
    </row>
    <row r="28" spans="1:78" s="17" customFormat="1" ht="14.1" customHeight="1" x14ac:dyDescent="0.25">
      <c r="A28" s="323">
        <v>0</v>
      </c>
      <c r="B28" s="301">
        <f>VLOOKUP(C28,'R Data'!K80:L120,2,FALSE)</f>
        <v>200</v>
      </c>
      <c r="C28" s="302" t="s">
        <v>326</v>
      </c>
      <c r="D28" s="323">
        <v>0</v>
      </c>
      <c r="E28" s="266"/>
      <c r="F28" s="266"/>
      <c r="G28" s="266"/>
      <c r="H28" s="175">
        <v>1</v>
      </c>
      <c r="I28" s="176"/>
      <c r="J28" s="180">
        <f t="shared" si="11"/>
        <v>0</v>
      </c>
      <c r="K28" s="82" t="s">
        <v>612</v>
      </c>
      <c r="L28" s="1089"/>
      <c r="M28" s="1090"/>
      <c r="N28" s="79">
        <f>VLOOKUP(C28,'R Data'!K80:M120,3,FALSE)</f>
        <v>12.45</v>
      </c>
      <c r="O28" s="180">
        <f t="shared" si="3"/>
        <v>0</v>
      </c>
      <c r="P28" s="1040"/>
      <c r="Q28" s="1041"/>
      <c r="R28" s="1041"/>
      <c r="S28" s="1042"/>
      <c r="T28" s="180">
        <f t="shared" si="4"/>
        <v>0</v>
      </c>
      <c r="U28" s="1017"/>
      <c r="V28" s="1018"/>
      <c r="W28" s="122"/>
      <c r="X28" s="302" t="s">
        <v>326</v>
      </c>
      <c r="Y28" s="952"/>
      <c r="Z28" s="953"/>
      <c r="AA28" s="954"/>
      <c r="AB28" s="180">
        <f t="shared" ref="AB28:AB39" si="19">T28</f>
        <v>0</v>
      </c>
      <c r="AC28" s="1062"/>
      <c r="AD28" s="1063"/>
      <c r="AE28" s="122"/>
      <c r="AF28" s="302" t="s">
        <v>326</v>
      </c>
      <c r="AG28" s="952"/>
      <c r="AH28" s="953"/>
      <c r="AI28" s="954"/>
      <c r="AJ28" s="180">
        <f t="shared" ref="AJ28:AJ39" si="20">T28</f>
        <v>0</v>
      </c>
      <c r="AK28" s="1062"/>
      <c r="AL28" s="1063"/>
      <c r="AM28" s="122"/>
      <c r="AN28" s="302" t="s">
        <v>326</v>
      </c>
      <c r="AO28" s="952"/>
      <c r="AP28" s="953"/>
      <c r="AQ28" s="954"/>
      <c r="AR28" s="180">
        <f>T28</f>
        <v>0</v>
      </c>
      <c r="AS28" s="1062"/>
      <c r="AT28" s="1063"/>
      <c r="AU28" s="122"/>
      <c r="AV28" s="302" t="s">
        <v>327</v>
      </c>
      <c r="AW28" s="952"/>
      <c r="AX28" s="953"/>
      <c r="AY28" s="954"/>
      <c r="AZ28" s="180">
        <f>T28</f>
        <v>0</v>
      </c>
      <c r="BA28" s="1062"/>
      <c r="BB28" s="1063"/>
      <c r="BC28" s="122"/>
    </row>
    <row r="29" spans="1:78" s="17" customFormat="1" ht="14.1" customHeight="1" x14ac:dyDescent="0.25">
      <c r="A29" s="304">
        <f>SUM(Input!C30)</f>
        <v>0</v>
      </c>
      <c r="B29" s="301">
        <v>1</v>
      </c>
      <c r="C29" s="75" t="s">
        <v>613</v>
      </c>
      <c r="D29" s="179">
        <f>SUM(A29)</f>
        <v>0</v>
      </c>
      <c r="E29" s="266"/>
      <c r="F29" s="266"/>
      <c r="G29" s="266"/>
      <c r="H29" s="175"/>
      <c r="I29" s="176"/>
      <c r="J29" s="180">
        <f t="shared" si="11"/>
        <v>0</v>
      </c>
      <c r="K29" s="82" t="s">
        <v>612</v>
      </c>
      <c r="L29" s="1089"/>
      <c r="M29" s="1090"/>
      <c r="N29" s="740">
        <v>7.95</v>
      </c>
      <c r="O29" s="180">
        <f t="shared" si="3"/>
        <v>0</v>
      </c>
      <c r="P29" s="1040"/>
      <c r="Q29" s="1041"/>
      <c r="R29" s="1041"/>
      <c r="S29" s="1042"/>
      <c r="T29" s="180">
        <f t="shared" si="4"/>
        <v>0</v>
      </c>
      <c r="U29" s="1017"/>
      <c r="V29" s="1018"/>
      <c r="W29" s="122"/>
      <c r="X29" s="312" t="s">
        <v>613</v>
      </c>
      <c r="Y29" s="955"/>
      <c r="Z29" s="956"/>
      <c r="AA29" s="957"/>
      <c r="AB29" s="180">
        <f t="shared" si="19"/>
        <v>0</v>
      </c>
      <c r="AC29" s="1062"/>
      <c r="AD29" s="1063"/>
      <c r="AE29" s="122"/>
      <c r="AF29" s="312" t="s">
        <v>613</v>
      </c>
      <c r="AG29" s="955"/>
      <c r="AH29" s="956"/>
      <c r="AI29" s="957"/>
      <c r="AJ29" s="180">
        <f t="shared" si="20"/>
        <v>0</v>
      </c>
      <c r="AK29" s="1062"/>
      <c r="AL29" s="1063"/>
      <c r="AM29" s="122"/>
      <c r="AN29" s="312" t="s">
        <v>613</v>
      </c>
      <c r="AO29" s="955"/>
      <c r="AP29" s="956"/>
      <c r="AQ29" s="957"/>
      <c r="AR29" s="180">
        <f>T29</f>
        <v>0</v>
      </c>
      <c r="AS29" s="1062"/>
      <c r="AT29" s="1063"/>
      <c r="AU29" s="122"/>
      <c r="AV29" s="312" t="s">
        <v>613</v>
      </c>
      <c r="AW29" s="955"/>
      <c r="AX29" s="956"/>
      <c r="AY29" s="957"/>
      <c r="AZ29" s="180">
        <f>T29</f>
        <v>0</v>
      </c>
      <c r="BA29" s="1062"/>
      <c r="BB29" s="1063"/>
      <c r="BC29" s="122"/>
    </row>
    <row r="30" spans="1:78" s="17" customFormat="1" ht="14.1" customHeight="1" x14ac:dyDescent="0.25">
      <c r="A30" s="975">
        <f>SUM(Input!C31)</f>
        <v>0</v>
      </c>
      <c r="B30" s="323">
        <v>1</v>
      </c>
      <c r="C30" s="75" t="s">
        <v>45</v>
      </c>
      <c r="D30" s="179">
        <f>SUM(A30)*B30</f>
        <v>0</v>
      </c>
      <c r="E30" s="266"/>
      <c r="F30" s="266"/>
      <c r="G30" s="266"/>
      <c r="H30" s="175"/>
      <c r="I30" s="176"/>
      <c r="J30" s="180">
        <f t="shared" si="11"/>
        <v>0</v>
      </c>
      <c r="K30" s="82" t="s">
        <v>612</v>
      </c>
      <c r="L30" s="1089"/>
      <c r="M30" s="1090"/>
      <c r="N30" s="79">
        <v>22</v>
      </c>
      <c r="O30" s="180">
        <f t="shared" si="3"/>
        <v>0</v>
      </c>
      <c r="P30" s="1040"/>
      <c r="Q30" s="1041"/>
      <c r="R30" s="1041"/>
      <c r="S30" s="1042"/>
      <c r="T30" s="180">
        <f t="shared" si="4"/>
        <v>0</v>
      </c>
      <c r="U30" s="1017"/>
      <c r="V30" s="1018"/>
      <c r="W30" s="122"/>
      <c r="X30" s="312" t="s">
        <v>45</v>
      </c>
      <c r="Y30" s="955"/>
      <c r="Z30" s="956"/>
      <c r="AA30" s="957"/>
      <c r="AB30" s="180">
        <f t="shared" si="19"/>
        <v>0</v>
      </c>
      <c r="AC30" s="1062"/>
      <c r="AD30" s="1063"/>
      <c r="AE30" s="122"/>
      <c r="AF30" s="312" t="s">
        <v>45</v>
      </c>
      <c r="AG30" s="955"/>
      <c r="AH30" s="956"/>
      <c r="AI30" s="957"/>
      <c r="AJ30" s="180">
        <f t="shared" si="20"/>
        <v>0</v>
      </c>
      <c r="AK30" s="1062"/>
      <c r="AL30" s="1063"/>
      <c r="AM30" s="122"/>
      <c r="AN30" s="312" t="s">
        <v>45</v>
      </c>
      <c r="AO30" s="955"/>
      <c r="AP30" s="956"/>
      <c r="AQ30" s="957"/>
      <c r="AR30" s="180">
        <f t="shared" ref="AR30:AR35" si="21">T30</f>
        <v>0</v>
      </c>
      <c r="AS30" s="1062"/>
      <c r="AT30" s="1063"/>
      <c r="AU30" s="122"/>
      <c r="AV30" s="312" t="s">
        <v>45</v>
      </c>
      <c r="AW30" s="955"/>
      <c r="AX30" s="956"/>
      <c r="AY30" s="957"/>
      <c r="AZ30" s="180">
        <f t="shared" ref="AZ30:AZ39" si="22">T30</f>
        <v>0</v>
      </c>
      <c r="BA30" s="1062"/>
      <c r="BB30" s="1063"/>
      <c r="BC30" s="122"/>
    </row>
    <row r="31" spans="1:78" s="17" customFormat="1" ht="14.1" customHeight="1" x14ac:dyDescent="0.25">
      <c r="A31" s="975"/>
      <c r="B31" s="323">
        <v>1</v>
      </c>
      <c r="C31" s="75" t="s">
        <v>44</v>
      </c>
      <c r="D31" s="179">
        <f>SUM(A30)*B31</f>
        <v>0</v>
      </c>
      <c r="E31" s="266"/>
      <c r="F31" s="266"/>
      <c r="G31" s="266"/>
      <c r="H31" s="175"/>
      <c r="I31" s="176"/>
      <c r="J31" s="180">
        <f t="shared" si="11"/>
        <v>0</v>
      </c>
      <c r="K31" s="82" t="s">
        <v>612</v>
      </c>
      <c r="L31" s="1089"/>
      <c r="M31" s="1090"/>
      <c r="N31" s="79">
        <v>13</v>
      </c>
      <c r="O31" s="180">
        <f t="shared" si="3"/>
        <v>0</v>
      </c>
      <c r="P31" s="1040"/>
      <c r="Q31" s="1041"/>
      <c r="R31" s="1041"/>
      <c r="S31" s="1042"/>
      <c r="T31" s="180">
        <f t="shared" si="4"/>
        <v>0</v>
      </c>
      <c r="U31" s="1017"/>
      <c r="V31" s="1018"/>
      <c r="W31" s="122"/>
      <c r="X31" s="312" t="s">
        <v>44</v>
      </c>
      <c r="Y31" s="955"/>
      <c r="Z31" s="956"/>
      <c r="AA31" s="957"/>
      <c r="AB31" s="180">
        <f t="shared" si="19"/>
        <v>0</v>
      </c>
      <c r="AC31" s="1062"/>
      <c r="AD31" s="1063"/>
      <c r="AE31" s="122"/>
      <c r="AF31" s="312" t="s">
        <v>44</v>
      </c>
      <c r="AG31" s="955"/>
      <c r="AH31" s="956"/>
      <c r="AI31" s="957"/>
      <c r="AJ31" s="180">
        <f t="shared" si="20"/>
        <v>0</v>
      </c>
      <c r="AK31" s="1062"/>
      <c r="AL31" s="1063"/>
      <c r="AM31" s="122"/>
      <c r="AN31" s="312" t="s">
        <v>44</v>
      </c>
      <c r="AO31" s="955"/>
      <c r="AP31" s="956"/>
      <c r="AQ31" s="957"/>
      <c r="AR31" s="180">
        <f t="shared" si="21"/>
        <v>0</v>
      </c>
      <c r="AS31" s="1062"/>
      <c r="AT31" s="1063"/>
      <c r="AU31" s="122"/>
      <c r="AV31" s="312" t="s">
        <v>44</v>
      </c>
      <c r="AW31" s="955"/>
      <c r="AX31" s="956"/>
      <c r="AY31" s="957"/>
      <c r="AZ31" s="180">
        <f t="shared" si="22"/>
        <v>0</v>
      </c>
      <c r="BA31" s="1062"/>
      <c r="BB31" s="1063"/>
      <c r="BC31" s="122"/>
    </row>
    <row r="32" spans="1:78" s="17" customFormat="1" ht="14.1" customHeight="1" x14ac:dyDescent="0.25">
      <c r="A32" s="976"/>
      <c r="B32" s="323">
        <v>1</v>
      </c>
      <c r="C32" s="75" t="s">
        <v>1135</v>
      </c>
      <c r="D32" s="179">
        <f>SUM(A30)*B32</f>
        <v>0</v>
      </c>
      <c r="E32" s="266"/>
      <c r="F32" s="266"/>
      <c r="G32" s="266"/>
      <c r="H32" s="175"/>
      <c r="I32" s="176"/>
      <c r="J32" s="180">
        <f t="shared" si="11"/>
        <v>0</v>
      </c>
      <c r="K32" s="82" t="s">
        <v>612</v>
      </c>
      <c r="L32" s="1089"/>
      <c r="M32" s="1090"/>
      <c r="N32" s="79">
        <v>13</v>
      </c>
      <c r="O32" s="180">
        <f t="shared" si="3"/>
        <v>0</v>
      </c>
      <c r="P32" s="1040"/>
      <c r="Q32" s="1041"/>
      <c r="R32" s="1041"/>
      <c r="S32" s="1042"/>
      <c r="T32" s="180">
        <f t="shared" si="4"/>
        <v>0</v>
      </c>
      <c r="U32" s="1017"/>
      <c r="V32" s="1018"/>
      <c r="W32" s="122"/>
      <c r="X32" s="75" t="s">
        <v>1135</v>
      </c>
      <c r="Y32" s="955"/>
      <c r="Z32" s="956"/>
      <c r="AA32" s="957"/>
      <c r="AB32" s="180">
        <f t="shared" si="19"/>
        <v>0</v>
      </c>
      <c r="AC32" s="1062"/>
      <c r="AD32" s="1063"/>
      <c r="AE32" s="122"/>
      <c r="AF32" s="75" t="s">
        <v>1135</v>
      </c>
      <c r="AG32" s="955"/>
      <c r="AH32" s="956"/>
      <c r="AI32" s="957"/>
      <c r="AJ32" s="180">
        <f t="shared" si="20"/>
        <v>0</v>
      </c>
      <c r="AK32" s="1062"/>
      <c r="AL32" s="1063"/>
      <c r="AM32" s="122"/>
      <c r="AN32" s="75" t="s">
        <v>1135</v>
      </c>
      <c r="AO32" s="955"/>
      <c r="AP32" s="956"/>
      <c r="AQ32" s="957"/>
      <c r="AR32" s="180">
        <f t="shared" si="21"/>
        <v>0</v>
      </c>
      <c r="AS32" s="1062"/>
      <c r="AT32" s="1063"/>
      <c r="AU32" s="122"/>
      <c r="AV32" s="75" t="s">
        <v>1135</v>
      </c>
      <c r="AW32" s="955"/>
      <c r="AX32" s="956"/>
      <c r="AY32" s="957"/>
      <c r="AZ32" s="180">
        <f t="shared" si="22"/>
        <v>0</v>
      </c>
      <c r="BA32" s="1062"/>
      <c r="BB32" s="1063"/>
      <c r="BC32" s="122"/>
    </row>
    <row r="33" spans="1:55" s="17" customFormat="1" ht="14.1" customHeight="1" x14ac:dyDescent="0.25">
      <c r="A33" s="1037">
        <f>SUM(Input!C4:C6)</f>
        <v>0</v>
      </c>
      <c r="B33" s="977">
        <v>0</v>
      </c>
      <c r="C33" s="313" t="s">
        <v>953</v>
      </c>
      <c r="D33" s="173">
        <f>A33*B33/100</f>
        <v>0</v>
      </c>
      <c r="E33" s="266"/>
      <c r="F33" s="266"/>
      <c r="G33" s="433"/>
      <c r="H33" s="175">
        <v>1.3</v>
      </c>
      <c r="I33" s="433">
        <v>2</v>
      </c>
      <c r="J33" s="180">
        <f>IF(D33&lt;&gt;0,D33,0)*IF(E33&lt;&gt;0,E33,1)*IF(F33&lt;&gt;0,F33,1)*IF(G33&lt;&gt;0,G33,1)*IF(H33&lt;&gt;0,H33,1)/IF(I33&lt;&gt;0,I33,1)</f>
        <v>0</v>
      </c>
      <c r="K33" s="82" t="s">
        <v>23</v>
      </c>
      <c r="L33" s="1089"/>
      <c r="M33" s="1090"/>
      <c r="N33" s="79">
        <v>141.02000000000001</v>
      </c>
      <c r="O33" s="180">
        <f t="shared" si="3"/>
        <v>0</v>
      </c>
      <c r="P33" s="1040"/>
      <c r="Q33" s="1041"/>
      <c r="R33" s="1041"/>
      <c r="S33" s="1042"/>
      <c r="T33" s="180">
        <f>ROUND(M33+O33+P33+S33,0)</f>
        <v>0</v>
      </c>
      <c r="U33" s="1017"/>
      <c r="V33" s="1018"/>
      <c r="W33" s="122"/>
      <c r="X33" s="314" t="str">
        <f>C33</f>
        <v>Omniseal 410 Base (Mechanical)</v>
      </c>
      <c r="Y33" s="955"/>
      <c r="Z33" s="956"/>
      <c r="AA33" s="957"/>
      <c r="AB33" s="180">
        <f t="shared" si="19"/>
        <v>0</v>
      </c>
      <c r="AC33" s="1062"/>
      <c r="AD33" s="1063"/>
      <c r="AE33" s="122"/>
      <c r="AF33" s="314" t="str">
        <f>C33</f>
        <v>Omniseal 410 Base (Mechanical)</v>
      </c>
      <c r="AG33" s="955"/>
      <c r="AH33" s="956"/>
      <c r="AI33" s="957"/>
      <c r="AJ33" s="180">
        <f t="shared" si="20"/>
        <v>0</v>
      </c>
      <c r="AK33" s="1062"/>
      <c r="AL33" s="1063"/>
      <c r="AM33" s="122"/>
      <c r="AN33" s="314" t="str">
        <f>C33</f>
        <v>Omniseal 410 Base (Mechanical)</v>
      </c>
      <c r="AO33" s="955"/>
      <c r="AP33" s="956"/>
      <c r="AQ33" s="957"/>
      <c r="AR33" s="180">
        <f t="shared" si="21"/>
        <v>0</v>
      </c>
      <c r="AS33" s="1062"/>
      <c r="AT33" s="1063"/>
      <c r="AU33" s="122"/>
      <c r="AV33" s="314" t="str">
        <f>C33</f>
        <v>Omniseal 410 Base (Mechanical)</v>
      </c>
      <c r="AW33" s="955"/>
      <c r="AX33" s="956"/>
      <c r="AY33" s="957"/>
      <c r="AZ33" s="180">
        <f t="shared" si="22"/>
        <v>0</v>
      </c>
      <c r="BA33" s="1062"/>
      <c r="BB33" s="1063"/>
      <c r="BC33" s="122"/>
    </row>
    <row r="34" spans="1:55" s="17" customFormat="1" ht="14.1" customHeight="1" x14ac:dyDescent="0.25">
      <c r="A34" s="1038"/>
      <c r="B34" s="1079"/>
      <c r="C34" s="313" t="s">
        <v>954</v>
      </c>
      <c r="D34" s="173">
        <f>A33*B33/100</f>
        <v>0</v>
      </c>
      <c r="E34" s="266"/>
      <c r="F34" s="266"/>
      <c r="G34" s="433"/>
      <c r="H34" s="175">
        <f>H33</f>
        <v>1.3</v>
      </c>
      <c r="I34" s="433">
        <v>2</v>
      </c>
      <c r="J34" s="180">
        <f>IF(D34&lt;&gt;0,D34,0)*IF(E34&lt;&gt;0,E34,1)*IF(F34&lt;&gt;0,F34,1)*IF(G34&lt;&gt;0,G34,1)*IF(H34&lt;&gt;0,H34,1)/IF(I34&lt;&gt;0,I34,1)</f>
        <v>0</v>
      </c>
      <c r="K34" s="82" t="s">
        <v>23</v>
      </c>
      <c r="L34" s="1089"/>
      <c r="M34" s="1090"/>
      <c r="N34" s="79">
        <v>163.08000000000001</v>
      </c>
      <c r="O34" s="180">
        <f t="shared" si="3"/>
        <v>0</v>
      </c>
      <c r="P34" s="1040"/>
      <c r="Q34" s="1041"/>
      <c r="R34" s="1041"/>
      <c r="S34" s="1042"/>
      <c r="T34" s="180">
        <f>ROUND(M34+O34+P34+S34,0)</f>
        <v>0</v>
      </c>
      <c r="U34" s="1017"/>
      <c r="V34" s="1018"/>
      <c r="W34" s="122"/>
      <c r="X34" s="314" t="str">
        <f>C34</f>
        <v>Omniseal 420 Base (Self-adhered)</v>
      </c>
      <c r="Y34" s="955"/>
      <c r="Z34" s="956"/>
      <c r="AA34" s="957"/>
      <c r="AB34" s="180">
        <f t="shared" si="19"/>
        <v>0</v>
      </c>
      <c r="AC34" s="1062"/>
      <c r="AD34" s="1063"/>
      <c r="AE34" s="122"/>
      <c r="AF34" s="314" t="str">
        <f>C34</f>
        <v>Omniseal 420 Base (Self-adhered)</v>
      </c>
      <c r="AG34" s="955"/>
      <c r="AH34" s="956"/>
      <c r="AI34" s="957"/>
      <c r="AJ34" s="180">
        <f t="shared" si="20"/>
        <v>0</v>
      </c>
      <c r="AK34" s="1062"/>
      <c r="AL34" s="1063"/>
      <c r="AM34" s="122"/>
      <c r="AN34" s="314" t="str">
        <f>C34</f>
        <v>Omniseal 420 Base (Self-adhered)</v>
      </c>
      <c r="AO34" s="955"/>
      <c r="AP34" s="956"/>
      <c r="AQ34" s="957"/>
      <c r="AR34" s="180">
        <f t="shared" si="21"/>
        <v>0</v>
      </c>
      <c r="AS34" s="1062"/>
      <c r="AT34" s="1063"/>
      <c r="AU34" s="122"/>
      <c r="AV34" s="314" t="str">
        <f t="shared" ref="AV34:AV35" si="23">C34</f>
        <v>Omniseal 420 Base (Self-adhered)</v>
      </c>
      <c r="AW34" s="955"/>
      <c r="AX34" s="956"/>
      <c r="AY34" s="957"/>
      <c r="AZ34" s="180">
        <f t="shared" si="22"/>
        <v>0</v>
      </c>
      <c r="BA34" s="1062"/>
      <c r="BB34" s="1063"/>
      <c r="BC34" s="122"/>
    </row>
    <row r="35" spans="1:55" s="17" customFormat="1" ht="14.1" customHeight="1" x14ac:dyDescent="0.25">
      <c r="A35" s="1039"/>
      <c r="B35" s="978"/>
      <c r="C35" s="313" t="s">
        <v>955</v>
      </c>
      <c r="D35" s="173">
        <f>A33*B33/100</f>
        <v>0</v>
      </c>
      <c r="E35" s="266"/>
      <c r="F35" s="266"/>
      <c r="G35" s="433"/>
      <c r="H35" s="175">
        <f>H33</f>
        <v>1.3</v>
      </c>
      <c r="I35" s="433">
        <v>1</v>
      </c>
      <c r="J35" s="180">
        <f>IF(D35&lt;&gt;0,D35,0)*IF(E35&lt;&gt;0,E35,1)*IF(F35&lt;&gt;0,F35,1)*IF(G35&lt;&gt;0,G35,1)*IF(H35&lt;&gt;0,H35,1)/IF(I35&lt;&gt;0,I35,1)</f>
        <v>0</v>
      </c>
      <c r="K35" s="82" t="s">
        <v>23</v>
      </c>
      <c r="L35" s="1089"/>
      <c r="M35" s="1090"/>
      <c r="N35" s="79">
        <v>182.11</v>
      </c>
      <c r="O35" s="180">
        <f t="shared" si="3"/>
        <v>0</v>
      </c>
      <c r="P35" s="1040"/>
      <c r="Q35" s="1041"/>
      <c r="R35" s="1041"/>
      <c r="S35" s="1042"/>
      <c r="T35" s="180">
        <f>ROUND(M35+O35+P35+S35,0)</f>
        <v>0</v>
      </c>
      <c r="U35" s="1017"/>
      <c r="V35" s="1018"/>
      <c r="W35" s="122"/>
      <c r="X35" s="314" t="str">
        <f>C35</f>
        <v>Omniseal 430 Cap Sheet</v>
      </c>
      <c r="Y35" s="955"/>
      <c r="Z35" s="956"/>
      <c r="AA35" s="957"/>
      <c r="AB35" s="180">
        <f t="shared" si="19"/>
        <v>0</v>
      </c>
      <c r="AC35" s="1062"/>
      <c r="AD35" s="1063"/>
      <c r="AE35" s="122"/>
      <c r="AF35" s="314" t="str">
        <f>C35</f>
        <v>Omniseal 430 Cap Sheet</v>
      </c>
      <c r="AG35" s="955"/>
      <c r="AH35" s="956"/>
      <c r="AI35" s="957"/>
      <c r="AJ35" s="180">
        <f t="shared" si="20"/>
        <v>0</v>
      </c>
      <c r="AK35" s="1062"/>
      <c r="AL35" s="1063"/>
      <c r="AM35" s="122"/>
      <c r="AN35" s="314" t="str">
        <f>C35</f>
        <v>Omniseal 430 Cap Sheet</v>
      </c>
      <c r="AO35" s="955"/>
      <c r="AP35" s="956"/>
      <c r="AQ35" s="957"/>
      <c r="AR35" s="180">
        <f t="shared" si="21"/>
        <v>0</v>
      </c>
      <c r="AS35" s="1062"/>
      <c r="AT35" s="1063"/>
      <c r="AU35" s="122"/>
      <c r="AV35" s="314" t="str">
        <f t="shared" si="23"/>
        <v>Omniseal 430 Cap Sheet</v>
      </c>
      <c r="AW35" s="955"/>
      <c r="AX35" s="956"/>
      <c r="AY35" s="957"/>
      <c r="AZ35" s="180">
        <f t="shared" si="22"/>
        <v>0</v>
      </c>
      <c r="BA35" s="1062"/>
      <c r="BB35" s="1063"/>
      <c r="BC35" s="122"/>
    </row>
    <row r="36" spans="1:55" s="17" customFormat="1" ht="14.1" customHeight="1" x14ac:dyDescent="0.25">
      <c r="A36" s="315"/>
      <c r="B36" s="301">
        <v>1</v>
      </c>
      <c r="C36" s="75" t="s">
        <v>34</v>
      </c>
      <c r="D36" s="179">
        <f>J22</f>
        <v>0</v>
      </c>
      <c r="E36" s="266"/>
      <c r="F36" s="266"/>
      <c r="G36" s="266"/>
      <c r="H36" s="175"/>
      <c r="I36" s="176"/>
      <c r="J36" s="180">
        <f t="shared" si="11"/>
        <v>0</v>
      </c>
      <c r="K36" s="82" t="s">
        <v>37</v>
      </c>
      <c r="L36" s="1089"/>
      <c r="M36" s="1090"/>
      <c r="N36" s="79">
        <v>9.8800000000000008</v>
      </c>
      <c r="O36" s="180">
        <f t="shared" si="3"/>
        <v>0</v>
      </c>
      <c r="P36" s="1040"/>
      <c r="Q36" s="1041"/>
      <c r="R36" s="1041"/>
      <c r="S36" s="1042"/>
      <c r="T36" s="180">
        <f>ROUND(L12+O36+Q36+S36,0)</f>
        <v>0</v>
      </c>
      <c r="U36" s="1017"/>
      <c r="V36" s="1018"/>
      <c r="W36" s="122"/>
      <c r="X36" s="312" t="s">
        <v>34</v>
      </c>
      <c r="Y36" s="955"/>
      <c r="Z36" s="956"/>
      <c r="AA36" s="957"/>
      <c r="AB36" s="180">
        <f t="shared" si="19"/>
        <v>0</v>
      </c>
      <c r="AC36" s="1062"/>
      <c r="AD36" s="1063"/>
      <c r="AE36" s="122"/>
      <c r="AF36" s="312" t="s">
        <v>34</v>
      </c>
      <c r="AG36" s="955"/>
      <c r="AH36" s="956"/>
      <c r="AI36" s="957"/>
      <c r="AJ36" s="180">
        <f t="shared" si="20"/>
        <v>0</v>
      </c>
      <c r="AK36" s="1062"/>
      <c r="AL36" s="1063"/>
      <c r="AM36" s="122"/>
      <c r="AN36" s="312" t="s">
        <v>34</v>
      </c>
      <c r="AO36" s="955"/>
      <c r="AP36" s="956"/>
      <c r="AQ36" s="957"/>
      <c r="AR36" s="180">
        <f>T36</f>
        <v>0</v>
      </c>
      <c r="AS36" s="1062"/>
      <c r="AT36" s="1063"/>
      <c r="AU36" s="122"/>
      <c r="AV36" s="312" t="s">
        <v>34</v>
      </c>
      <c r="AW36" s="955"/>
      <c r="AX36" s="956"/>
      <c r="AY36" s="957"/>
      <c r="AZ36" s="180">
        <f t="shared" si="22"/>
        <v>0</v>
      </c>
      <c r="BA36" s="1062"/>
      <c r="BB36" s="1063"/>
      <c r="BC36" s="122"/>
    </row>
    <row r="37" spans="1:55" s="17" customFormat="1" ht="14.1" customHeight="1" x14ac:dyDescent="0.25">
      <c r="A37" s="315"/>
      <c r="B37" s="301">
        <v>1</v>
      </c>
      <c r="C37" s="75" t="s">
        <v>35</v>
      </c>
      <c r="D37" s="173">
        <f>SUM(D26+D27+D28)*4+A25*2+A23</f>
        <v>2E-8</v>
      </c>
      <c r="E37" s="266"/>
      <c r="F37" s="266"/>
      <c r="G37" s="266"/>
      <c r="H37" s="175"/>
      <c r="I37" s="176">
        <v>250</v>
      </c>
      <c r="J37" s="180">
        <f t="shared" ref="J37" si="24">IF(D37&lt;&gt;0,D37,0)*IF(E37&lt;&gt;0,E37,1)*IF(F37&lt;&gt;0,F37,1)*IF(G37&lt;&gt;0,G37,1)*IF(H37&lt;&gt;0,H37,1)/IF(I37&lt;&gt;0,I37,1)</f>
        <v>8.0000000000000008E-11</v>
      </c>
      <c r="K37" s="82" t="s">
        <v>36</v>
      </c>
      <c r="L37" s="1089"/>
      <c r="M37" s="1090"/>
      <c r="N37" s="79">
        <v>78</v>
      </c>
      <c r="O37" s="180">
        <f t="shared" ref="O37" si="25">ROUND(J37*N37,0)</f>
        <v>0</v>
      </c>
      <c r="P37" s="1040"/>
      <c r="Q37" s="1041"/>
      <c r="R37" s="1041"/>
      <c r="S37" s="1042"/>
      <c r="T37" s="180">
        <f>ROUND(M37+O37+Q37+S37,0)</f>
        <v>0</v>
      </c>
      <c r="U37" s="1017"/>
      <c r="V37" s="1018"/>
      <c r="W37" s="122"/>
      <c r="X37" s="312" t="s">
        <v>35</v>
      </c>
      <c r="Y37" s="955"/>
      <c r="Z37" s="956"/>
      <c r="AA37" s="957"/>
      <c r="AB37" s="180">
        <f t="shared" ref="AB37" si="26">T37</f>
        <v>0</v>
      </c>
      <c r="AC37" s="1062"/>
      <c r="AD37" s="1063"/>
      <c r="AE37" s="122"/>
      <c r="AF37" s="312" t="s">
        <v>35</v>
      </c>
      <c r="AG37" s="955"/>
      <c r="AH37" s="956"/>
      <c r="AI37" s="957"/>
      <c r="AJ37" s="180">
        <f t="shared" ref="AJ37" si="27">T37</f>
        <v>0</v>
      </c>
      <c r="AK37" s="1062"/>
      <c r="AL37" s="1063"/>
      <c r="AM37" s="122"/>
      <c r="AN37" s="312" t="s">
        <v>35</v>
      </c>
      <c r="AO37" s="955"/>
      <c r="AP37" s="956"/>
      <c r="AQ37" s="957"/>
      <c r="AR37" s="180">
        <f t="shared" ref="AR37:AR39" si="28">T37</f>
        <v>0</v>
      </c>
      <c r="AS37" s="1062"/>
      <c r="AT37" s="1063"/>
      <c r="AU37" s="122"/>
      <c r="AV37" s="312" t="s">
        <v>35</v>
      </c>
      <c r="AW37" s="955"/>
      <c r="AX37" s="956"/>
      <c r="AY37" s="957"/>
      <c r="AZ37" s="180">
        <f t="shared" si="22"/>
        <v>0</v>
      </c>
      <c r="BA37" s="1062"/>
      <c r="BB37" s="1063"/>
      <c r="BC37" s="122"/>
    </row>
    <row r="38" spans="1:55" s="17" customFormat="1" ht="14.1" customHeight="1" x14ac:dyDescent="0.25">
      <c r="A38" s="304">
        <f>SUM(Input!C34)</f>
        <v>0</v>
      </c>
      <c r="B38" s="323">
        <v>1</v>
      </c>
      <c r="C38" s="75" t="s">
        <v>43</v>
      </c>
      <c r="D38" s="269">
        <f>SUM(A38)</f>
        <v>0</v>
      </c>
      <c r="E38" s="266"/>
      <c r="F38" s="266"/>
      <c r="G38" s="266"/>
      <c r="H38" s="175"/>
      <c r="I38" s="176"/>
      <c r="J38" s="180">
        <f t="shared" si="11"/>
        <v>0</v>
      </c>
      <c r="K38" s="82" t="s">
        <v>22</v>
      </c>
      <c r="L38" s="1089"/>
      <c r="M38" s="1090"/>
      <c r="N38" s="79">
        <v>57</v>
      </c>
      <c r="O38" s="180">
        <f t="shared" si="3"/>
        <v>0</v>
      </c>
      <c r="P38" s="1040"/>
      <c r="Q38" s="1041"/>
      <c r="R38" s="1041"/>
      <c r="S38" s="1042"/>
      <c r="T38" s="180">
        <f>ROUND(M38+O38+Q38+S38,0)</f>
        <v>0</v>
      </c>
      <c r="U38" s="1017"/>
      <c r="V38" s="1018"/>
      <c r="W38" s="122"/>
      <c r="X38" s="312" t="s">
        <v>43</v>
      </c>
      <c r="Y38" s="955"/>
      <c r="Z38" s="956"/>
      <c r="AA38" s="957"/>
      <c r="AB38" s="180">
        <f t="shared" si="19"/>
        <v>0</v>
      </c>
      <c r="AC38" s="1062"/>
      <c r="AD38" s="1063"/>
      <c r="AE38" s="122"/>
      <c r="AF38" s="312" t="s">
        <v>43</v>
      </c>
      <c r="AG38" s="955"/>
      <c r="AH38" s="956"/>
      <c r="AI38" s="957"/>
      <c r="AJ38" s="180">
        <f t="shared" si="20"/>
        <v>0</v>
      </c>
      <c r="AK38" s="1062"/>
      <c r="AL38" s="1063"/>
      <c r="AM38" s="122"/>
      <c r="AN38" s="312" t="s">
        <v>43</v>
      </c>
      <c r="AO38" s="955"/>
      <c r="AP38" s="956"/>
      <c r="AQ38" s="957"/>
      <c r="AR38" s="180">
        <f t="shared" si="28"/>
        <v>0</v>
      </c>
      <c r="AS38" s="1062"/>
      <c r="AT38" s="1063"/>
      <c r="AU38" s="122"/>
      <c r="AV38" s="312" t="s">
        <v>43</v>
      </c>
      <c r="AW38" s="955"/>
      <c r="AX38" s="956"/>
      <c r="AY38" s="957"/>
      <c r="AZ38" s="180">
        <f t="shared" si="22"/>
        <v>0</v>
      </c>
      <c r="BA38" s="1062"/>
      <c r="BB38" s="1063"/>
      <c r="BC38" s="122"/>
    </row>
    <row r="39" spans="1:55" s="17" customFormat="1" ht="14.1" customHeight="1" x14ac:dyDescent="0.25">
      <c r="A39" s="430">
        <v>1</v>
      </c>
      <c r="B39" s="431">
        <v>0</v>
      </c>
      <c r="C39" s="75" t="s">
        <v>1184</v>
      </c>
      <c r="D39" s="173">
        <f>A39*B39</f>
        <v>0</v>
      </c>
      <c r="E39" s="266"/>
      <c r="F39" s="266"/>
      <c r="G39" s="266"/>
      <c r="H39" s="175"/>
      <c r="I39" s="176"/>
      <c r="J39" s="180">
        <f t="shared" si="11"/>
        <v>0</v>
      </c>
      <c r="K39" s="82"/>
      <c r="L39" s="1089"/>
      <c r="M39" s="1090"/>
      <c r="N39" s="79">
        <f>U110</f>
        <v>0</v>
      </c>
      <c r="O39" s="180">
        <f t="shared" si="3"/>
        <v>0</v>
      </c>
      <c r="P39" s="1040"/>
      <c r="Q39" s="1041"/>
      <c r="R39" s="1041"/>
      <c r="S39" s="1042"/>
      <c r="T39" s="180">
        <f>ROUND(M39+O39+Q39+S39,0)</f>
        <v>0</v>
      </c>
      <c r="U39" s="1019"/>
      <c r="V39" s="1020"/>
      <c r="W39" s="122"/>
      <c r="X39" s="316" t="str">
        <f>C39</f>
        <v>Sheathing / Hot Roof / Skylights</v>
      </c>
      <c r="Y39" s="958"/>
      <c r="Z39" s="959"/>
      <c r="AA39" s="960"/>
      <c r="AB39" s="180">
        <f t="shared" si="19"/>
        <v>0</v>
      </c>
      <c r="AC39" s="1064"/>
      <c r="AD39" s="1065"/>
      <c r="AE39" s="122"/>
      <c r="AF39" s="316" t="str">
        <f>C39</f>
        <v>Sheathing / Hot Roof / Skylights</v>
      </c>
      <c r="AG39" s="958"/>
      <c r="AH39" s="959"/>
      <c r="AI39" s="960"/>
      <c r="AJ39" s="180">
        <f t="shared" si="20"/>
        <v>0</v>
      </c>
      <c r="AK39" s="1064"/>
      <c r="AL39" s="1065"/>
      <c r="AM39" s="122"/>
      <c r="AN39" s="316" t="str">
        <f>C39</f>
        <v>Sheathing / Hot Roof / Skylights</v>
      </c>
      <c r="AO39" s="958"/>
      <c r="AP39" s="959"/>
      <c r="AQ39" s="960"/>
      <c r="AR39" s="180">
        <f t="shared" si="28"/>
        <v>0</v>
      </c>
      <c r="AS39" s="1064"/>
      <c r="AT39" s="1065"/>
      <c r="AU39" s="122"/>
      <c r="AV39" s="316">
        <f>K39</f>
        <v>0</v>
      </c>
      <c r="AW39" s="958"/>
      <c r="AX39" s="959"/>
      <c r="AY39" s="960"/>
      <c r="AZ39" s="180">
        <f t="shared" si="22"/>
        <v>0</v>
      </c>
      <c r="BA39" s="1064"/>
      <c r="BB39" s="1065"/>
      <c r="BC39" s="122"/>
    </row>
    <row r="40" spans="1:55" s="17" customFormat="1" ht="14.1" customHeight="1" x14ac:dyDescent="0.25">
      <c r="A40" s="1013"/>
      <c r="B40" s="1014"/>
      <c r="C40" s="1011" t="s">
        <v>25</v>
      </c>
      <c r="D40" s="1011"/>
      <c r="E40" s="1011"/>
      <c r="F40" s="1011"/>
      <c r="G40" s="1011"/>
      <c r="H40" s="1011"/>
      <c r="I40" s="1011"/>
      <c r="J40" s="1011"/>
      <c r="K40" s="1011"/>
      <c r="L40" s="1011"/>
      <c r="M40" s="1011"/>
      <c r="N40" s="1011"/>
      <c r="O40" s="1011"/>
      <c r="P40" s="1011"/>
      <c r="Q40" s="1011"/>
      <c r="R40" s="1011"/>
      <c r="S40" s="1011"/>
      <c r="T40" s="1012"/>
      <c r="U40" s="428">
        <f>SUM(T43:T69)</f>
        <v>0</v>
      </c>
      <c r="V40" s="299">
        <f>U40/S2</f>
        <v>0</v>
      </c>
      <c r="W40" s="122"/>
      <c r="X40" s="317" t="s">
        <v>25</v>
      </c>
      <c r="Y40" s="1043" t="s">
        <v>871</v>
      </c>
      <c r="Z40" s="1044"/>
      <c r="AA40" s="1044"/>
      <c r="AB40" s="289">
        <f>VLOOKUP(X12,'R Data'!F2:I43,4,FALSE)</f>
        <v>0</v>
      </c>
      <c r="AC40" s="377">
        <f>$U$40+(S2*AB40)</f>
        <v>0</v>
      </c>
      <c r="AD40" s="299">
        <f>AC40/S2</f>
        <v>0</v>
      </c>
      <c r="AE40" s="122"/>
      <c r="AF40" s="317" t="s">
        <v>25</v>
      </c>
      <c r="AG40" s="1043" t="s">
        <v>871</v>
      </c>
      <c r="AH40" s="1044"/>
      <c r="AI40" s="1045"/>
      <c r="AJ40" s="289">
        <f>VLOOKUP(AF12,'R Data'!F2:I43,4,FALSE)</f>
        <v>0</v>
      </c>
      <c r="AK40" s="377">
        <f>$U$40+(S2*AJ40)</f>
        <v>0</v>
      </c>
      <c r="AL40" s="299">
        <f>AK40/S2</f>
        <v>0</v>
      </c>
      <c r="AM40" s="122"/>
      <c r="AN40" s="317" t="s">
        <v>25</v>
      </c>
      <c r="AO40" s="1043" t="s">
        <v>871</v>
      </c>
      <c r="AP40" s="1044"/>
      <c r="AQ40" s="1045"/>
      <c r="AR40" s="289">
        <f>VLOOKUP(AN12,'R Data'!F2:I50,4,FALSE)</f>
        <v>0</v>
      </c>
      <c r="AS40" s="377">
        <f>$U$40+(S2*AR40)</f>
        <v>0</v>
      </c>
      <c r="AT40" s="299">
        <f>AS40/S2</f>
        <v>0</v>
      </c>
      <c r="AU40" s="122"/>
      <c r="AV40" s="317" t="s">
        <v>25</v>
      </c>
      <c r="AW40" s="1043" t="s">
        <v>871</v>
      </c>
      <c r="AX40" s="1044"/>
      <c r="AY40" s="1045"/>
      <c r="AZ40" s="289">
        <v>150</v>
      </c>
      <c r="BA40" s="377">
        <f>$U$40+(S2*AZ40)</f>
        <v>1.6199999999999999E-6</v>
      </c>
      <c r="BB40" s="299">
        <f>BA40/S2</f>
        <v>150</v>
      </c>
      <c r="BC40" s="122"/>
    </row>
    <row r="41" spans="1:55" s="17" customFormat="1" ht="14.1" customHeight="1" x14ac:dyDescent="0.25">
      <c r="A41" s="1180" t="s">
        <v>10230</v>
      </c>
      <c r="B41" s="1180"/>
      <c r="C41" s="1180"/>
      <c r="D41" s="434" t="s">
        <v>614</v>
      </c>
      <c r="E41" s="432" t="s">
        <v>911</v>
      </c>
      <c r="F41" s="432" t="s">
        <v>912</v>
      </c>
      <c r="G41" s="432" t="s">
        <v>215</v>
      </c>
      <c r="H41" s="432" t="s">
        <v>595</v>
      </c>
      <c r="I41" s="432" t="s">
        <v>913</v>
      </c>
      <c r="J41" s="1172" t="s">
        <v>216</v>
      </c>
      <c r="K41" s="1173"/>
      <c r="L41" s="1173"/>
      <c r="M41" s="1174"/>
      <c r="N41" s="1178"/>
      <c r="O41" s="1178"/>
      <c r="P41" s="1178"/>
      <c r="Q41" s="1178"/>
      <c r="R41" s="1178"/>
      <c r="S41" s="1178"/>
      <c r="T41" s="1171"/>
      <c r="U41" s="1162" t="s">
        <v>740</v>
      </c>
      <c r="V41" s="1163"/>
      <c r="W41" s="122"/>
      <c r="X41" s="962"/>
      <c r="Y41" s="953"/>
      <c r="Z41" s="953"/>
      <c r="AA41" s="953"/>
      <c r="AB41" s="953"/>
      <c r="AC41" s="953"/>
      <c r="AD41" s="954"/>
      <c r="AE41" s="122"/>
      <c r="AF41" s="962"/>
      <c r="AG41" s="953"/>
      <c r="AH41" s="953"/>
      <c r="AI41" s="953"/>
      <c r="AJ41" s="953"/>
      <c r="AK41" s="953"/>
      <c r="AL41" s="954"/>
      <c r="AM41" s="122"/>
      <c r="AN41" s="962"/>
      <c r="AO41" s="953"/>
      <c r="AP41" s="953"/>
      <c r="AQ41" s="953"/>
      <c r="AR41" s="953"/>
      <c r="AS41" s="953"/>
      <c r="AT41" s="954"/>
      <c r="AU41" s="122"/>
      <c r="AV41" s="962"/>
      <c r="AW41" s="953"/>
      <c r="AX41" s="953"/>
      <c r="AY41" s="953"/>
      <c r="AZ41" s="953"/>
      <c r="BA41" s="953"/>
      <c r="BB41" s="954"/>
      <c r="BC41" s="122"/>
    </row>
    <row r="42" spans="1:55" s="17" customFormat="1" ht="14.1" customHeight="1" x14ac:dyDescent="0.25">
      <c r="A42" s="1181"/>
      <c r="B42" s="1181"/>
      <c r="C42" s="1181"/>
      <c r="D42" s="289">
        <f>65*U1</f>
        <v>130</v>
      </c>
      <c r="E42" s="143">
        <v>0</v>
      </c>
      <c r="F42" s="143">
        <v>0</v>
      </c>
      <c r="G42" s="143">
        <v>0</v>
      </c>
      <c r="H42" s="289">
        <v>0</v>
      </c>
      <c r="I42" s="143">
        <f>(Input!C22-1)*15</f>
        <v>0</v>
      </c>
      <c r="J42" s="1175"/>
      <c r="K42" s="1176"/>
      <c r="L42" s="1176"/>
      <c r="M42" s="1177"/>
      <c r="N42" s="1178"/>
      <c r="O42" s="1178"/>
      <c r="P42" s="1178"/>
      <c r="Q42" s="1178"/>
      <c r="R42" s="1178"/>
      <c r="S42" s="1178"/>
      <c r="T42" s="1171"/>
      <c r="U42" s="1164"/>
      <c r="V42" s="1165"/>
      <c r="W42" s="122"/>
      <c r="X42" s="962"/>
      <c r="Y42" s="956"/>
      <c r="Z42" s="956"/>
      <c r="AA42" s="956"/>
      <c r="AB42" s="956"/>
      <c r="AC42" s="956"/>
      <c r="AD42" s="957"/>
      <c r="AE42" s="122"/>
      <c r="AF42" s="962"/>
      <c r="AG42" s="956"/>
      <c r="AH42" s="956"/>
      <c r="AI42" s="956"/>
      <c r="AJ42" s="956"/>
      <c r="AK42" s="956"/>
      <c r="AL42" s="957"/>
      <c r="AM42" s="122"/>
      <c r="AN42" s="962"/>
      <c r="AO42" s="956"/>
      <c r="AP42" s="956"/>
      <c r="AQ42" s="956"/>
      <c r="AR42" s="956"/>
      <c r="AS42" s="956"/>
      <c r="AT42" s="957"/>
      <c r="AU42" s="122"/>
      <c r="AV42" s="962"/>
      <c r="AW42" s="956"/>
      <c r="AX42" s="956"/>
      <c r="AY42" s="956"/>
      <c r="AZ42" s="956"/>
      <c r="BA42" s="956"/>
      <c r="BB42" s="957"/>
      <c r="BC42" s="122"/>
    </row>
    <row r="43" spans="1:55" s="17" customFormat="1" ht="14.1" customHeight="1" x14ac:dyDescent="0.25">
      <c r="A43" s="88">
        <f>A33</f>
        <v>0</v>
      </c>
      <c r="B43" s="301">
        <f t="shared" ref="B43" si="29">SUM(A43/$A$12)</f>
        <v>0</v>
      </c>
      <c r="C43" s="479" t="s">
        <v>1240</v>
      </c>
      <c r="D43" s="435">
        <f t="shared" ref="D43" si="30">(A43/$A$12)*$S$2</f>
        <v>0</v>
      </c>
      <c r="E43" s="984"/>
      <c r="F43" s="985"/>
      <c r="G43" s="985"/>
      <c r="H43" s="985"/>
      <c r="I43" s="986"/>
      <c r="J43" s="318">
        <f t="shared" ref="J43" si="31">IF(D43&lt;&gt;0,D43,0)*IF(E43&lt;&gt;0,E43,1)*IF(F43&lt;&gt;0,F43,1)*IF(G43&lt;&gt;0,G43,1)*IF(H43&lt;&gt;0,H43,1)/IF(I43&lt;&gt;0,I43,1)</f>
        <v>0</v>
      </c>
      <c r="K43" s="277" t="s">
        <v>180</v>
      </c>
      <c r="L43" s="278">
        <f>SUM($D$42:$I$42)*3</f>
        <v>390</v>
      </c>
      <c r="M43" s="318">
        <f t="shared" ref="M43" si="32">ROUND(J43*L43,0)</f>
        <v>0</v>
      </c>
      <c r="N43" s="1178"/>
      <c r="O43" s="1178"/>
      <c r="P43" s="1178"/>
      <c r="Q43" s="1178"/>
      <c r="R43" s="1178"/>
      <c r="S43" s="1178"/>
      <c r="T43" s="318">
        <f>ROUND(M43+N43+Q43+S43,0)</f>
        <v>0</v>
      </c>
      <c r="U43" s="1164"/>
      <c r="V43" s="1165"/>
      <c r="W43" s="122"/>
      <c r="X43" s="319" t="s">
        <v>872</v>
      </c>
      <c r="Y43" s="956"/>
      <c r="Z43" s="956"/>
      <c r="AA43" s="956"/>
      <c r="AB43" s="956"/>
      <c r="AC43" s="956"/>
      <c r="AD43" s="957"/>
      <c r="AE43" s="122"/>
      <c r="AF43" s="319" t="s">
        <v>872</v>
      </c>
      <c r="AG43" s="956"/>
      <c r="AH43" s="956"/>
      <c r="AI43" s="956"/>
      <c r="AJ43" s="956"/>
      <c r="AK43" s="956"/>
      <c r="AL43" s="957"/>
      <c r="AM43" s="122"/>
      <c r="AN43" s="319" t="s">
        <v>872</v>
      </c>
      <c r="AO43" s="956"/>
      <c r="AP43" s="956"/>
      <c r="AQ43" s="956"/>
      <c r="AR43" s="956"/>
      <c r="AS43" s="956"/>
      <c r="AT43" s="957"/>
      <c r="AU43" s="122"/>
      <c r="AV43" s="319" t="s">
        <v>872</v>
      </c>
      <c r="AW43" s="956"/>
      <c r="AX43" s="956"/>
      <c r="AY43" s="956"/>
      <c r="AZ43" s="956"/>
      <c r="BA43" s="956"/>
      <c r="BB43" s="957"/>
      <c r="BC43" s="122"/>
    </row>
    <row r="44" spans="1:55" s="17" customFormat="1" ht="14.1" customHeight="1" x14ac:dyDescent="0.25">
      <c r="A44" s="88">
        <f>SUM(Input!C5)</f>
        <v>0</v>
      </c>
      <c r="B44" s="301">
        <f t="shared" ref="B44:B59" si="33">SUM(A44/$A$12)</f>
        <v>0</v>
      </c>
      <c r="C44" s="480">
        <v>9.1666666666666674E-2</v>
      </c>
      <c r="D44" s="435">
        <f t="shared" ref="D44:D59" si="34">(A44/$A$12)*$S$2</f>
        <v>0</v>
      </c>
      <c r="E44" s="987"/>
      <c r="F44" s="988"/>
      <c r="G44" s="988"/>
      <c r="H44" s="988"/>
      <c r="I44" s="989"/>
      <c r="J44" s="320">
        <f t="shared" ref="J44:J69" si="35">IF(D44&lt;&gt;0,D44,0)*IF(E44&lt;&gt;0,E44,1)*IF(F44&lt;&gt;0,F44,1)*IF(G44&lt;&gt;0,G44,1)*IF(H44&lt;&gt;0,H44,1)/IF(I44&lt;&gt;0,I44,1)</f>
        <v>0</v>
      </c>
      <c r="K44" s="277" t="s">
        <v>180</v>
      </c>
      <c r="L44" s="280">
        <f>SUM($D$42:$I$42)</f>
        <v>130</v>
      </c>
      <c r="M44" s="320">
        <f t="shared" ref="M44:M69" si="36">ROUND(J44*L44,0)</f>
        <v>0</v>
      </c>
      <c r="N44" s="1179"/>
      <c r="O44" s="1178"/>
      <c r="P44" s="1178"/>
      <c r="Q44" s="1178"/>
      <c r="R44" s="1178"/>
      <c r="S44" s="1178"/>
      <c r="T44" s="320">
        <f>ROUND(M44+N44+Q44+S44,0)</f>
        <v>0</v>
      </c>
      <c r="U44" s="1164"/>
      <c r="V44" s="1165"/>
      <c r="W44" s="122"/>
      <c r="X44" s="319" t="s">
        <v>872</v>
      </c>
      <c r="Y44" s="956"/>
      <c r="Z44" s="956"/>
      <c r="AA44" s="956"/>
      <c r="AB44" s="956"/>
      <c r="AC44" s="956"/>
      <c r="AD44" s="957"/>
      <c r="AE44" s="122"/>
      <c r="AF44" s="319" t="s">
        <v>872</v>
      </c>
      <c r="AG44" s="956"/>
      <c r="AH44" s="956"/>
      <c r="AI44" s="956"/>
      <c r="AJ44" s="956"/>
      <c r="AK44" s="956"/>
      <c r="AL44" s="957"/>
      <c r="AM44" s="122"/>
      <c r="AN44" s="319" t="s">
        <v>872</v>
      </c>
      <c r="AO44" s="956"/>
      <c r="AP44" s="956"/>
      <c r="AQ44" s="956"/>
      <c r="AR44" s="956"/>
      <c r="AS44" s="956"/>
      <c r="AT44" s="957"/>
      <c r="AU44" s="122"/>
      <c r="AV44" s="319" t="s">
        <v>872</v>
      </c>
      <c r="AW44" s="956"/>
      <c r="AX44" s="956"/>
      <c r="AY44" s="956"/>
      <c r="AZ44" s="956"/>
      <c r="BA44" s="956"/>
      <c r="BB44" s="957"/>
      <c r="BC44" s="122"/>
    </row>
    <row r="45" spans="1:55" s="17" customFormat="1" ht="14.1" customHeight="1" x14ac:dyDescent="0.25">
      <c r="A45" s="88">
        <f>SUM(Input!C6)</f>
        <v>0</v>
      </c>
      <c r="B45" s="301">
        <f t="shared" si="33"/>
        <v>0</v>
      </c>
      <c r="C45" s="480">
        <v>0.13333333333333333</v>
      </c>
      <c r="D45" s="435">
        <f t="shared" si="34"/>
        <v>0</v>
      </c>
      <c r="E45" s="987"/>
      <c r="F45" s="988"/>
      <c r="G45" s="988"/>
      <c r="H45" s="988"/>
      <c r="I45" s="989"/>
      <c r="J45" s="320">
        <f t="shared" si="35"/>
        <v>0</v>
      </c>
      <c r="K45" s="277" t="s">
        <v>180</v>
      </c>
      <c r="L45" s="280">
        <f>SUM($D$42:$I$42)</f>
        <v>130</v>
      </c>
      <c r="M45" s="321">
        <f t="shared" si="36"/>
        <v>0</v>
      </c>
      <c r="N45" s="1179"/>
      <c r="O45" s="1178"/>
      <c r="P45" s="1178"/>
      <c r="Q45" s="1178"/>
      <c r="R45" s="1178"/>
      <c r="S45" s="1178"/>
      <c r="T45" s="320">
        <f t="shared" ref="T45:T69" si="37">ROUND(M45+O45+Q45+S45,0)</f>
        <v>0</v>
      </c>
      <c r="U45" s="1164"/>
      <c r="V45" s="1165"/>
      <c r="W45" s="122"/>
      <c r="X45" s="312" t="s">
        <v>873</v>
      </c>
      <c r="Y45" s="956"/>
      <c r="Z45" s="956"/>
      <c r="AA45" s="956"/>
      <c r="AB45" s="956"/>
      <c r="AC45" s="956"/>
      <c r="AD45" s="957"/>
      <c r="AE45" s="122"/>
      <c r="AF45" s="312" t="s">
        <v>873</v>
      </c>
      <c r="AG45" s="956"/>
      <c r="AH45" s="956"/>
      <c r="AI45" s="956"/>
      <c r="AJ45" s="956"/>
      <c r="AK45" s="956"/>
      <c r="AL45" s="957"/>
      <c r="AM45" s="122"/>
      <c r="AN45" s="312" t="s">
        <v>873</v>
      </c>
      <c r="AO45" s="956"/>
      <c r="AP45" s="956"/>
      <c r="AQ45" s="956"/>
      <c r="AR45" s="956"/>
      <c r="AS45" s="956"/>
      <c r="AT45" s="957"/>
      <c r="AU45" s="122"/>
      <c r="AV45" s="312" t="s">
        <v>873</v>
      </c>
      <c r="AW45" s="956"/>
      <c r="AX45" s="956"/>
      <c r="AY45" s="956"/>
      <c r="AZ45" s="956"/>
      <c r="BA45" s="956"/>
      <c r="BB45" s="957"/>
      <c r="BC45" s="122"/>
    </row>
    <row r="46" spans="1:55" s="17" customFormat="1" ht="14.1" customHeight="1" x14ac:dyDescent="0.25">
      <c r="A46" s="88">
        <f>SUM(Input!C7)</f>
        <v>0</v>
      </c>
      <c r="B46" s="301">
        <f t="shared" si="33"/>
        <v>0</v>
      </c>
      <c r="C46" s="480">
        <v>0.17499999999999999</v>
      </c>
      <c r="D46" s="435">
        <f t="shared" si="34"/>
        <v>0</v>
      </c>
      <c r="E46" s="987"/>
      <c r="F46" s="988"/>
      <c r="G46" s="988"/>
      <c r="H46" s="988"/>
      <c r="I46" s="989"/>
      <c r="J46" s="320">
        <f t="shared" si="35"/>
        <v>0</v>
      </c>
      <c r="K46" s="277" t="s">
        <v>180</v>
      </c>
      <c r="L46" s="280">
        <f>SUM($D$42:$I$42)</f>
        <v>130</v>
      </c>
      <c r="M46" s="321">
        <f t="shared" si="36"/>
        <v>0</v>
      </c>
      <c r="N46" s="1179"/>
      <c r="O46" s="1178"/>
      <c r="P46" s="1178"/>
      <c r="Q46" s="1178"/>
      <c r="R46" s="1178"/>
      <c r="S46" s="1178"/>
      <c r="T46" s="320">
        <f t="shared" si="37"/>
        <v>0</v>
      </c>
      <c r="U46" s="1164"/>
      <c r="V46" s="1165"/>
      <c r="W46" s="122"/>
      <c r="X46" s="312" t="s">
        <v>874</v>
      </c>
      <c r="Y46" s="956"/>
      <c r="Z46" s="956"/>
      <c r="AA46" s="956"/>
      <c r="AB46" s="956"/>
      <c r="AC46" s="956"/>
      <c r="AD46" s="957"/>
      <c r="AE46" s="122"/>
      <c r="AF46" s="312" t="s">
        <v>874</v>
      </c>
      <c r="AG46" s="956"/>
      <c r="AH46" s="956"/>
      <c r="AI46" s="956"/>
      <c r="AJ46" s="956"/>
      <c r="AK46" s="956"/>
      <c r="AL46" s="957"/>
      <c r="AM46" s="122"/>
      <c r="AN46" s="312" t="s">
        <v>874</v>
      </c>
      <c r="AO46" s="956"/>
      <c r="AP46" s="956"/>
      <c r="AQ46" s="956"/>
      <c r="AR46" s="956"/>
      <c r="AS46" s="956"/>
      <c r="AT46" s="957"/>
      <c r="AU46" s="122"/>
      <c r="AV46" s="312" t="s">
        <v>874</v>
      </c>
      <c r="AW46" s="956"/>
      <c r="AX46" s="956"/>
      <c r="AY46" s="956"/>
      <c r="AZ46" s="956"/>
      <c r="BA46" s="956"/>
      <c r="BB46" s="957"/>
      <c r="BC46" s="122"/>
    </row>
    <row r="47" spans="1:55" s="17" customFormat="1" ht="14.1" customHeight="1" x14ac:dyDescent="0.25">
      <c r="A47" s="88">
        <f>SUM(Input!C8)</f>
        <v>0</v>
      </c>
      <c r="B47" s="301">
        <f t="shared" si="33"/>
        <v>0</v>
      </c>
      <c r="C47" s="480">
        <v>0.21666666666666701</v>
      </c>
      <c r="D47" s="435">
        <f t="shared" si="34"/>
        <v>0</v>
      </c>
      <c r="E47" s="987"/>
      <c r="F47" s="988"/>
      <c r="G47" s="988"/>
      <c r="H47" s="988"/>
      <c r="I47" s="989"/>
      <c r="J47" s="320">
        <f t="shared" si="35"/>
        <v>0</v>
      </c>
      <c r="K47" s="277" t="s">
        <v>180</v>
      </c>
      <c r="L47" s="280">
        <f>SUM($D$42:$I$42)</f>
        <v>130</v>
      </c>
      <c r="M47" s="321">
        <f t="shared" si="36"/>
        <v>0</v>
      </c>
      <c r="N47" s="1179"/>
      <c r="O47" s="1178"/>
      <c r="P47" s="1178"/>
      <c r="Q47" s="1178"/>
      <c r="R47" s="1178"/>
      <c r="S47" s="1178"/>
      <c r="T47" s="320">
        <f t="shared" si="37"/>
        <v>0</v>
      </c>
      <c r="U47" s="1164"/>
      <c r="V47" s="1165"/>
      <c r="W47" s="122"/>
      <c r="X47" s="312" t="s">
        <v>875</v>
      </c>
      <c r="Y47" s="956"/>
      <c r="Z47" s="956"/>
      <c r="AA47" s="956"/>
      <c r="AB47" s="956"/>
      <c r="AC47" s="956"/>
      <c r="AD47" s="957"/>
      <c r="AE47" s="122"/>
      <c r="AF47" s="312" t="s">
        <v>875</v>
      </c>
      <c r="AG47" s="956"/>
      <c r="AH47" s="956"/>
      <c r="AI47" s="956"/>
      <c r="AJ47" s="956"/>
      <c r="AK47" s="956"/>
      <c r="AL47" s="957"/>
      <c r="AM47" s="122"/>
      <c r="AN47" s="312" t="s">
        <v>875</v>
      </c>
      <c r="AO47" s="956"/>
      <c r="AP47" s="956"/>
      <c r="AQ47" s="956"/>
      <c r="AR47" s="956"/>
      <c r="AS47" s="956"/>
      <c r="AT47" s="957"/>
      <c r="AU47" s="122"/>
      <c r="AV47" s="312" t="s">
        <v>875</v>
      </c>
      <c r="AW47" s="956"/>
      <c r="AX47" s="956"/>
      <c r="AY47" s="956"/>
      <c r="AZ47" s="956"/>
      <c r="BA47" s="956"/>
      <c r="BB47" s="957"/>
      <c r="BC47" s="122"/>
    </row>
    <row r="48" spans="1:55" s="17" customFormat="1" ht="14.1" customHeight="1" x14ac:dyDescent="0.25">
      <c r="A48" s="88">
        <f>SUM(Input!C9)</f>
        <v>0</v>
      </c>
      <c r="B48" s="301">
        <f t="shared" si="33"/>
        <v>0</v>
      </c>
      <c r="C48" s="480">
        <v>0.25833333333333403</v>
      </c>
      <c r="D48" s="435">
        <f t="shared" si="34"/>
        <v>0</v>
      </c>
      <c r="E48" s="987"/>
      <c r="F48" s="988"/>
      <c r="G48" s="988"/>
      <c r="H48" s="988"/>
      <c r="I48" s="989"/>
      <c r="J48" s="320">
        <f t="shared" si="35"/>
        <v>0</v>
      </c>
      <c r="K48" s="277" t="s">
        <v>180</v>
      </c>
      <c r="L48" s="280">
        <f>SUM($D$42:$I$42)</f>
        <v>130</v>
      </c>
      <c r="M48" s="321">
        <f t="shared" si="36"/>
        <v>0</v>
      </c>
      <c r="N48" s="1179"/>
      <c r="O48" s="1178"/>
      <c r="P48" s="1178"/>
      <c r="Q48" s="1178"/>
      <c r="R48" s="1178"/>
      <c r="S48" s="1178"/>
      <c r="T48" s="320">
        <f t="shared" si="37"/>
        <v>0</v>
      </c>
      <c r="U48" s="1164"/>
      <c r="V48" s="1165"/>
      <c r="W48" s="122"/>
      <c r="X48" s="312" t="s">
        <v>876</v>
      </c>
      <c r="Y48" s="956"/>
      <c r="Z48" s="956"/>
      <c r="AA48" s="956"/>
      <c r="AB48" s="956"/>
      <c r="AC48" s="956"/>
      <c r="AD48" s="957"/>
      <c r="AE48" s="122"/>
      <c r="AF48" s="312" t="s">
        <v>876</v>
      </c>
      <c r="AG48" s="956"/>
      <c r="AH48" s="956"/>
      <c r="AI48" s="956"/>
      <c r="AJ48" s="956"/>
      <c r="AK48" s="956"/>
      <c r="AL48" s="957"/>
      <c r="AM48" s="122"/>
      <c r="AN48" s="312" t="s">
        <v>876</v>
      </c>
      <c r="AO48" s="956"/>
      <c r="AP48" s="956"/>
      <c r="AQ48" s="956"/>
      <c r="AR48" s="956"/>
      <c r="AS48" s="956"/>
      <c r="AT48" s="957"/>
      <c r="AU48" s="122"/>
      <c r="AV48" s="312" t="s">
        <v>876</v>
      </c>
      <c r="AW48" s="956"/>
      <c r="AX48" s="956"/>
      <c r="AY48" s="956"/>
      <c r="AZ48" s="956"/>
      <c r="BA48" s="956"/>
      <c r="BB48" s="957"/>
      <c r="BC48" s="122"/>
    </row>
    <row r="49" spans="1:55" s="17" customFormat="1" ht="14.1" customHeight="1" x14ac:dyDescent="0.25">
      <c r="A49" s="88">
        <f>SUM(Input!C10)</f>
        <v>0</v>
      </c>
      <c r="B49" s="301">
        <f t="shared" si="33"/>
        <v>0</v>
      </c>
      <c r="C49" s="480">
        <v>0.3</v>
      </c>
      <c r="D49" s="435">
        <f t="shared" si="34"/>
        <v>0</v>
      </c>
      <c r="E49" s="987"/>
      <c r="F49" s="988"/>
      <c r="G49" s="988"/>
      <c r="H49" s="988"/>
      <c r="I49" s="989"/>
      <c r="J49" s="320">
        <f t="shared" si="35"/>
        <v>0</v>
      </c>
      <c r="K49" s="277" t="s">
        <v>180</v>
      </c>
      <c r="L49" s="280">
        <f>SUM($D$42:$I$42)+10</f>
        <v>140</v>
      </c>
      <c r="M49" s="321">
        <f t="shared" si="36"/>
        <v>0</v>
      </c>
      <c r="N49" s="1179"/>
      <c r="O49" s="1178"/>
      <c r="P49" s="1178"/>
      <c r="Q49" s="1178"/>
      <c r="R49" s="1178"/>
      <c r="S49" s="1178"/>
      <c r="T49" s="320">
        <f t="shared" si="37"/>
        <v>0</v>
      </c>
      <c r="U49" s="1164"/>
      <c r="V49" s="1165"/>
      <c r="W49" s="122"/>
      <c r="X49" s="312" t="s">
        <v>877</v>
      </c>
      <c r="Y49" s="956"/>
      <c r="Z49" s="956"/>
      <c r="AA49" s="956"/>
      <c r="AB49" s="956"/>
      <c r="AC49" s="956"/>
      <c r="AD49" s="957"/>
      <c r="AE49" s="122"/>
      <c r="AF49" s="312" t="s">
        <v>877</v>
      </c>
      <c r="AG49" s="956"/>
      <c r="AH49" s="956"/>
      <c r="AI49" s="956"/>
      <c r="AJ49" s="956"/>
      <c r="AK49" s="956"/>
      <c r="AL49" s="957"/>
      <c r="AM49" s="122"/>
      <c r="AN49" s="312" t="s">
        <v>877</v>
      </c>
      <c r="AO49" s="956"/>
      <c r="AP49" s="956"/>
      <c r="AQ49" s="956"/>
      <c r="AR49" s="956"/>
      <c r="AS49" s="956"/>
      <c r="AT49" s="957"/>
      <c r="AU49" s="122"/>
      <c r="AV49" s="312" t="s">
        <v>877</v>
      </c>
      <c r="AW49" s="956"/>
      <c r="AX49" s="956"/>
      <c r="AY49" s="956"/>
      <c r="AZ49" s="956"/>
      <c r="BA49" s="956"/>
      <c r="BB49" s="957"/>
      <c r="BC49" s="122"/>
    </row>
    <row r="50" spans="1:55" s="17" customFormat="1" ht="14.1" customHeight="1" x14ac:dyDescent="0.25">
      <c r="A50" s="88">
        <f>SUM(Input!C11)</f>
        <v>0</v>
      </c>
      <c r="B50" s="301">
        <f t="shared" si="33"/>
        <v>0</v>
      </c>
      <c r="C50" s="480">
        <v>0.34166666666666701</v>
      </c>
      <c r="D50" s="435">
        <f t="shared" si="34"/>
        <v>0</v>
      </c>
      <c r="E50" s="987"/>
      <c r="F50" s="988"/>
      <c r="G50" s="988"/>
      <c r="H50" s="988"/>
      <c r="I50" s="989"/>
      <c r="J50" s="320">
        <f t="shared" si="35"/>
        <v>0</v>
      </c>
      <c r="K50" s="277" t="s">
        <v>180</v>
      </c>
      <c r="L50" s="280">
        <f>SUM($D$42:$I$42)+20</f>
        <v>150</v>
      </c>
      <c r="M50" s="321">
        <f t="shared" si="36"/>
        <v>0</v>
      </c>
      <c r="N50" s="1179"/>
      <c r="O50" s="1178"/>
      <c r="P50" s="1178"/>
      <c r="Q50" s="1178"/>
      <c r="R50" s="1178"/>
      <c r="S50" s="1178"/>
      <c r="T50" s="320">
        <f t="shared" si="37"/>
        <v>0</v>
      </c>
      <c r="U50" s="1164"/>
      <c r="V50" s="1165"/>
      <c r="W50" s="122"/>
      <c r="X50" s="312" t="s">
        <v>878</v>
      </c>
      <c r="Y50" s="956"/>
      <c r="Z50" s="956"/>
      <c r="AA50" s="956"/>
      <c r="AB50" s="956"/>
      <c r="AC50" s="956"/>
      <c r="AD50" s="957"/>
      <c r="AE50" s="122"/>
      <c r="AF50" s="312" t="s">
        <v>878</v>
      </c>
      <c r="AG50" s="956"/>
      <c r="AH50" s="956"/>
      <c r="AI50" s="956"/>
      <c r="AJ50" s="956"/>
      <c r="AK50" s="956"/>
      <c r="AL50" s="957"/>
      <c r="AM50" s="122"/>
      <c r="AN50" s="312" t="s">
        <v>878</v>
      </c>
      <c r="AO50" s="956"/>
      <c r="AP50" s="956"/>
      <c r="AQ50" s="956"/>
      <c r="AR50" s="956"/>
      <c r="AS50" s="956"/>
      <c r="AT50" s="957"/>
      <c r="AU50" s="122"/>
      <c r="AV50" s="312" t="s">
        <v>878</v>
      </c>
      <c r="AW50" s="956"/>
      <c r="AX50" s="956"/>
      <c r="AY50" s="956"/>
      <c r="AZ50" s="956"/>
      <c r="BA50" s="956"/>
      <c r="BB50" s="957"/>
      <c r="BC50" s="122"/>
    </row>
    <row r="51" spans="1:55" s="17" customFormat="1" ht="14.1" customHeight="1" x14ac:dyDescent="0.25">
      <c r="A51" s="88">
        <f>SUM(Input!C12)</f>
        <v>0</v>
      </c>
      <c r="B51" s="301">
        <f t="shared" si="33"/>
        <v>0</v>
      </c>
      <c r="C51" s="480">
        <v>0.38333333333333403</v>
      </c>
      <c r="D51" s="435">
        <f t="shared" si="34"/>
        <v>0</v>
      </c>
      <c r="E51" s="987"/>
      <c r="F51" s="988"/>
      <c r="G51" s="988"/>
      <c r="H51" s="988"/>
      <c r="I51" s="989"/>
      <c r="J51" s="320">
        <f t="shared" si="35"/>
        <v>0</v>
      </c>
      <c r="K51" s="277" t="s">
        <v>180</v>
      </c>
      <c r="L51" s="280">
        <f>SUM($D$42:$I$42)+30</f>
        <v>160</v>
      </c>
      <c r="M51" s="321">
        <f t="shared" si="36"/>
        <v>0</v>
      </c>
      <c r="N51" s="1179"/>
      <c r="O51" s="1178"/>
      <c r="P51" s="1178"/>
      <c r="Q51" s="1178"/>
      <c r="R51" s="1178"/>
      <c r="S51" s="1178"/>
      <c r="T51" s="320">
        <f t="shared" si="37"/>
        <v>0</v>
      </c>
      <c r="U51" s="1164"/>
      <c r="V51" s="1165"/>
      <c r="W51" s="122"/>
      <c r="X51" s="312" t="s">
        <v>879</v>
      </c>
      <c r="Y51" s="956"/>
      <c r="Z51" s="956"/>
      <c r="AA51" s="956"/>
      <c r="AB51" s="956"/>
      <c r="AC51" s="956"/>
      <c r="AD51" s="957"/>
      <c r="AE51" s="122"/>
      <c r="AF51" s="312" t="s">
        <v>879</v>
      </c>
      <c r="AG51" s="956"/>
      <c r="AH51" s="956"/>
      <c r="AI51" s="956"/>
      <c r="AJ51" s="956"/>
      <c r="AK51" s="956"/>
      <c r="AL51" s="957"/>
      <c r="AM51" s="122"/>
      <c r="AN51" s="312" t="s">
        <v>879</v>
      </c>
      <c r="AO51" s="956"/>
      <c r="AP51" s="956"/>
      <c r="AQ51" s="956"/>
      <c r="AR51" s="956"/>
      <c r="AS51" s="956"/>
      <c r="AT51" s="957"/>
      <c r="AU51" s="122"/>
      <c r="AV51" s="312" t="s">
        <v>879</v>
      </c>
      <c r="AW51" s="956"/>
      <c r="AX51" s="956"/>
      <c r="AY51" s="956"/>
      <c r="AZ51" s="956"/>
      <c r="BA51" s="956"/>
      <c r="BB51" s="957"/>
      <c r="BC51" s="122"/>
    </row>
    <row r="52" spans="1:55" s="17" customFormat="1" ht="14.1" customHeight="1" x14ac:dyDescent="0.25">
      <c r="A52" s="88">
        <f>SUM(Input!C13)</f>
        <v>0</v>
      </c>
      <c r="B52" s="301">
        <f t="shared" si="33"/>
        <v>0</v>
      </c>
      <c r="C52" s="480">
        <v>0.42499999999999999</v>
      </c>
      <c r="D52" s="435">
        <f t="shared" si="34"/>
        <v>0</v>
      </c>
      <c r="E52" s="987"/>
      <c r="F52" s="988"/>
      <c r="G52" s="988"/>
      <c r="H52" s="988"/>
      <c r="I52" s="989"/>
      <c r="J52" s="320">
        <f t="shared" si="35"/>
        <v>0</v>
      </c>
      <c r="K52" s="277" t="s">
        <v>180</v>
      </c>
      <c r="L52" s="280">
        <f>SUM($D$42:$I$42)+40</f>
        <v>170</v>
      </c>
      <c r="M52" s="321">
        <f t="shared" si="36"/>
        <v>0</v>
      </c>
      <c r="N52" s="1179"/>
      <c r="O52" s="1178"/>
      <c r="P52" s="1178"/>
      <c r="Q52" s="1178"/>
      <c r="R52" s="1178"/>
      <c r="S52" s="1178"/>
      <c r="T52" s="320">
        <f t="shared" si="37"/>
        <v>0</v>
      </c>
      <c r="U52" s="1164"/>
      <c r="V52" s="1165"/>
      <c r="W52" s="122"/>
      <c r="X52" s="312" t="s">
        <v>880</v>
      </c>
      <c r="Y52" s="956"/>
      <c r="Z52" s="956"/>
      <c r="AA52" s="956"/>
      <c r="AB52" s="956"/>
      <c r="AC52" s="956"/>
      <c r="AD52" s="957"/>
      <c r="AE52" s="122"/>
      <c r="AF52" s="312" t="s">
        <v>880</v>
      </c>
      <c r="AG52" s="956"/>
      <c r="AH52" s="956"/>
      <c r="AI52" s="956"/>
      <c r="AJ52" s="956"/>
      <c r="AK52" s="956"/>
      <c r="AL52" s="957"/>
      <c r="AM52" s="122"/>
      <c r="AN52" s="312" t="s">
        <v>880</v>
      </c>
      <c r="AO52" s="956"/>
      <c r="AP52" s="956"/>
      <c r="AQ52" s="956"/>
      <c r="AR52" s="956"/>
      <c r="AS52" s="956"/>
      <c r="AT52" s="957"/>
      <c r="AU52" s="122"/>
      <c r="AV52" s="312" t="s">
        <v>880</v>
      </c>
      <c r="AW52" s="956"/>
      <c r="AX52" s="956"/>
      <c r="AY52" s="956"/>
      <c r="AZ52" s="956"/>
      <c r="BA52" s="956"/>
      <c r="BB52" s="957"/>
      <c r="BC52" s="122"/>
    </row>
    <row r="53" spans="1:55" s="17" customFormat="1" ht="14.1" customHeight="1" x14ac:dyDescent="0.25">
      <c r="A53" s="88">
        <f>SUM(Input!C14)</f>
        <v>0</v>
      </c>
      <c r="B53" s="301">
        <f t="shared" si="33"/>
        <v>0</v>
      </c>
      <c r="C53" s="480">
        <v>0.46666666666666701</v>
      </c>
      <c r="D53" s="435">
        <f t="shared" si="34"/>
        <v>0</v>
      </c>
      <c r="E53" s="987"/>
      <c r="F53" s="988"/>
      <c r="G53" s="988"/>
      <c r="H53" s="988"/>
      <c r="I53" s="989"/>
      <c r="J53" s="320">
        <f t="shared" si="35"/>
        <v>0</v>
      </c>
      <c r="K53" s="277" t="s">
        <v>180</v>
      </c>
      <c r="L53" s="280">
        <f>SUM($D$42:$I$42)+50</f>
        <v>180</v>
      </c>
      <c r="M53" s="321">
        <f t="shared" si="36"/>
        <v>0</v>
      </c>
      <c r="N53" s="1179"/>
      <c r="O53" s="1178"/>
      <c r="P53" s="1178"/>
      <c r="Q53" s="1178"/>
      <c r="R53" s="1178"/>
      <c r="S53" s="1178"/>
      <c r="T53" s="320">
        <f t="shared" si="37"/>
        <v>0</v>
      </c>
      <c r="U53" s="1164"/>
      <c r="V53" s="1165"/>
      <c r="W53" s="122"/>
      <c r="X53" s="312" t="s">
        <v>881</v>
      </c>
      <c r="Y53" s="956"/>
      <c r="Z53" s="956"/>
      <c r="AA53" s="956"/>
      <c r="AB53" s="956"/>
      <c r="AC53" s="956"/>
      <c r="AD53" s="957"/>
      <c r="AE53" s="122"/>
      <c r="AF53" s="312" t="s">
        <v>881</v>
      </c>
      <c r="AG53" s="956"/>
      <c r="AH53" s="956"/>
      <c r="AI53" s="956"/>
      <c r="AJ53" s="956"/>
      <c r="AK53" s="956"/>
      <c r="AL53" s="957"/>
      <c r="AM53" s="122"/>
      <c r="AN53" s="312" t="s">
        <v>881</v>
      </c>
      <c r="AO53" s="956"/>
      <c r="AP53" s="956"/>
      <c r="AQ53" s="956"/>
      <c r="AR53" s="956"/>
      <c r="AS53" s="956"/>
      <c r="AT53" s="957"/>
      <c r="AU53" s="122"/>
      <c r="AV53" s="312" t="s">
        <v>881</v>
      </c>
      <c r="AW53" s="956"/>
      <c r="AX53" s="956"/>
      <c r="AY53" s="956"/>
      <c r="AZ53" s="956"/>
      <c r="BA53" s="956"/>
      <c r="BB53" s="957"/>
      <c r="BC53" s="122"/>
    </row>
    <row r="54" spans="1:55" s="17" customFormat="1" ht="14.1" customHeight="1" x14ac:dyDescent="0.25">
      <c r="A54" s="88">
        <f>SUM(Input!C15)</f>
        <v>0</v>
      </c>
      <c r="B54" s="301">
        <f t="shared" si="33"/>
        <v>0</v>
      </c>
      <c r="C54" s="480">
        <v>0.50833333333333397</v>
      </c>
      <c r="D54" s="435">
        <f t="shared" si="34"/>
        <v>0</v>
      </c>
      <c r="E54" s="987"/>
      <c r="F54" s="988"/>
      <c r="G54" s="988"/>
      <c r="H54" s="988"/>
      <c r="I54" s="989"/>
      <c r="J54" s="320">
        <f t="shared" si="35"/>
        <v>0</v>
      </c>
      <c r="K54" s="277" t="s">
        <v>180</v>
      </c>
      <c r="L54" s="280">
        <f>SUM($D$42:$I$42)+60</f>
        <v>190</v>
      </c>
      <c r="M54" s="321">
        <f t="shared" si="36"/>
        <v>0</v>
      </c>
      <c r="N54" s="1179"/>
      <c r="O54" s="1178"/>
      <c r="P54" s="1178"/>
      <c r="Q54" s="1178"/>
      <c r="R54" s="1178"/>
      <c r="S54" s="1178"/>
      <c r="T54" s="320">
        <f t="shared" si="37"/>
        <v>0</v>
      </c>
      <c r="U54" s="1164"/>
      <c r="V54" s="1165"/>
      <c r="W54" s="122"/>
      <c r="X54" s="312" t="s">
        <v>882</v>
      </c>
      <c r="Y54" s="956"/>
      <c r="Z54" s="956"/>
      <c r="AA54" s="956"/>
      <c r="AB54" s="956"/>
      <c r="AC54" s="956"/>
      <c r="AD54" s="957"/>
      <c r="AE54" s="122"/>
      <c r="AF54" s="312" t="s">
        <v>882</v>
      </c>
      <c r="AG54" s="956"/>
      <c r="AH54" s="956"/>
      <c r="AI54" s="956"/>
      <c r="AJ54" s="956"/>
      <c r="AK54" s="956"/>
      <c r="AL54" s="957"/>
      <c r="AM54" s="122"/>
      <c r="AN54" s="312" t="s">
        <v>882</v>
      </c>
      <c r="AO54" s="956"/>
      <c r="AP54" s="956"/>
      <c r="AQ54" s="956"/>
      <c r="AR54" s="956"/>
      <c r="AS54" s="956"/>
      <c r="AT54" s="957"/>
      <c r="AU54" s="122"/>
      <c r="AV54" s="312" t="s">
        <v>882</v>
      </c>
      <c r="AW54" s="956"/>
      <c r="AX54" s="956"/>
      <c r="AY54" s="956"/>
      <c r="AZ54" s="956"/>
      <c r="BA54" s="956"/>
      <c r="BB54" s="957"/>
      <c r="BC54" s="122"/>
    </row>
    <row r="55" spans="1:55" s="17" customFormat="1" ht="14.1" customHeight="1" x14ac:dyDescent="0.25">
      <c r="A55" s="88">
        <f>SUM(Input!C16)</f>
        <v>0</v>
      </c>
      <c r="B55" s="301">
        <f t="shared" si="33"/>
        <v>0</v>
      </c>
      <c r="C55" s="480">
        <v>0.55000000000000004</v>
      </c>
      <c r="D55" s="435">
        <f t="shared" si="34"/>
        <v>0</v>
      </c>
      <c r="E55" s="987"/>
      <c r="F55" s="988"/>
      <c r="G55" s="988"/>
      <c r="H55" s="988"/>
      <c r="I55" s="989"/>
      <c r="J55" s="320">
        <f t="shared" si="35"/>
        <v>0</v>
      </c>
      <c r="K55" s="277" t="s">
        <v>180</v>
      </c>
      <c r="L55" s="280">
        <f>SUM($D$42:$I$42)+70</f>
        <v>200</v>
      </c>
      <c r="M55" s="321">
        <f t="shared" si="36"/>
        <v>0</v>
      </c>
      <c r="N55" s="1179"/>
      <c r="O55" s="1178"/>
      <c r="P55" s="1178"/>
      <c r="Q55" s="1178"/>
      <c r="R55" s="1178"/>
      <c r="S55" s="1178"/>
      <c r="T55" s="320">
        <f t="shared" si="37"/>
        <v>0</v>
      </c>
      <c r="U55" s="1164"/>
      <c r="V55" s="1165"/>
      <c r="W55" s="122"/>
      <c r="X55" s="312" t="s">
        <v>883</v>
      </c>
      <c r="Y55" s="956"/>
      <c r="Z55" s="956"/>
      <c r="AA55" s="956"/>
      <c r="AB55" s="956"/>
      <c r="AC55" s="956"/>
      <c r="AD55" s="957"/>
      <c r="AE55" s="122"/>
      <c r="AF55" s="312" t="s">
        <v>883</v>
      </c>
      <c r="AG55" s="956"/>
      <c r="AH55" s="956"/>
      <c r="AI55" s="956"/>
      <c r="AJ55" s="956"/>
      <c r="AK55" s="956"/>
      <c r="AL55" s="957"/>
      <c r="AM55" s="122"/>
      <c r="AN55" s="312" t="s">
        <v>883</v>
      </c>
      <c r="AO55" s="956"/>
      <c r="AP55" s="956"/>
      <c r="AQ55" s="956"/>
      <c r="AR55" s="956"/>
      <c r="AS55" s="956"/>
      <c r="AT55" s="957"/>
      <c r="AU55" s="122"/>
      <c r="AV55" s="312" t="s">
        <v>883</v>
      </c>
      <c r="AW55" s="956"/>
      <c r="AX55" s="956"/>
      <c r="AY55" s="956"/>
      <c r="AZ55" s="956"/>
      <c r="BA55" s="956"/>
      <c r="BB55" s="957"/>
      <c r="BC55" s="122"/>
    </row>
    <row r="56" spans="1:55" s="17" customFormat="1" ht="14.1" customHeight="1" x14ac:dyDescent="0.25">
      <c r="A56" s="88">
        <f>SUM(Input!C17)</f>
        <v>0</v>
      </c>
      <c r="B56" s="301">
        <f t="shared" si="33"/>
        <v>0</v>
      </c>
      <c r="C56" s="480">
        <v>0.59166666666666701</v>
      </c>
      <c r="D56" s="435">
        <f t="shared" si="34"/>
        <v>0</v>
      </c>
      <c r="E56" s="987"/>
      <c r="F56" s="988"/>
      <c r="G56" s="988"/>
      <c r="H56" s="988"/>
      <c r="I56" s="989"/>
      <c r="J56" s="320">
        <f t="shared" si="35"/>
        <v>0</v>
      </c>
      <c r="K56" s="277" t="s">
        <v>180</v>
      </c>
      <c r="L56" s="280">
        <f>SUM($D$42:$I$42)+80</f>
        <v>210</v>
      </c>
      <c r="M56" s="321">
        <f t="shared" si="36"/>
        <v>0</v>
      </c>
      <c r="N56" s="1179"/>
      <c r="O56" s="1178"/>
      <c r="P56" s="1178"/>
      <c r="Q56" s="1178"/>
      <c r="R56" s="1178"/>
      <c r="S56" s="1178"/>
      <c r="T56" s="320">
        <f t="shared" si="37"/>
        <v>0</v>
      </c>
      <c r="U56" s="1164"/>
      <c r="V56" s="1165"/>
      <c r="W56" s="122"/>
      <c r="X56" s="312" t="s">
        <v>884</v>
      </c>
      <c r="Y56" s="956"/>
      <c r="Z56" s="956"/>
      <c r="AA56" s="956"/>
      <c r="AB56" s="956"/>
      <c r="AC56" s="956"/>
      <c r="AD56" s="957"/>
      <c r="AE56" s="122"/>
      <c r="AF56" s="312" t="s">
        <v>884</v>
      </c>
      <c r="AG56" s="956"/>
      <c r="AH56" s="956"/>
      <c r="AI56" s="956"/>
      <c r="AJ56" s="956"/>
      <c r="AK56" s="956"/>
      <c r="AL56" s="957"/>
      <c r="AM56" s="122"/>
      <c r="AN56" s="312" t="s">
        <v>884</v>
      </c>
      <c r="AO56" s="956"/>
      <c r="AP56" s="956"/>
      <c r="AQ56" s="956"/>
      <c r="AR56" s="956"/>
      <c r="AS56" s="956"/>
      <c r="AT56" s="957"/>
      <c r="AU56" s="122"/>
      <c r="AV56" s="312" t="s">
        <v>884</v>
      </c>
      <c r="AW56" s="956"/>
      <c r="AX56" s="956"/>
      <c r="AY56" s="956"/>
      <c r="AZ56" s="956"/>
      <c r="BA56" s="956"/>
      <c r="BB56" s="957"/>
      <c r="BC56" s="122"/>
    </row>
    <row r="57" spans="1:55" s="17" customFormat="1" ht="14.1" customHeight="1" x14ac:dyDescent="0.25">
      <c r="A57" s="88">
        <f>SUM(Input!C18)</f>
        <v>0</v>
      </c>
      <c r="B57" s="301">
        <f t="shared" si="33"/>
        <v>0</v>
      </c>
      <c r="C57" s="480">
        <v>0.63333333333333397</v>
      </c>
      <c r="D57" s="435">
        <f t="shared" si="34"/>
        <v>0</v>
      </c>
      <c r="E57" s="987"/>
      <c r="F57" s="988"/>
      <c r="G57" s="988"/>
      <c r="H57" s="988"/>
      <c r="I57" s="989"/>
      <c r="J57" s="320">
        <f t="shared" si="35"/>
        <v>0</v>
      </c>
      <c r="K57" s="277" t="s">
        <v>180</v>
      </c>
      <c r="L57" s="280">
        <f>SUM($D$42:$I$42)+90</f>
        <v>220</v>
      </c>
      <c r="M57" s="321">
        <f t="shared" si="36"/>
        <v>0</v>
      </c>
      <c r="N57" s="1179"/>
      <c r="O57" s="1178"/>
      <c r="P57" s="1178"/>
      <c r="Q57" s="1178"/>
      <c r="R57" s="1178"/>
      <c r="S57" s="1178"/>
      <c r="T57" s="320">
        <f t="shared" si="37"/>
        <v>0</v>
      </c>
      <c r="U57" s="1164"/>
      <c r="V57" s="1165"/>
      <c r="W57" s="122"/>
      <c r="X57" s="312" t="s">
        <v>885</v>
      </c>
      <c r="Y57" s="956"/>
      <c r="Z57" s="956"/>
      <c r="AA57" s="956"/>
      <c r="AB57" s="956"/>
      <c r="AC57" s="956"/>
      <c r="AD57" s="957"/>
      <c r="AE57" s="122"/>
      <c r="AF57" s="312" t="s">
        <v>885</v>
      </c>
      <c r="AG57" s="956"/>
      <c r="AH57" s="956"/>
      <c r="AI57" s="956"/>
      <c r="AJ57" s="956"/>
      <c r="AK57" s="956"/>
      <c r="AL57" s="957"/>
      <c r="AM57" s="122"/>
      <c r="AN57" s="312" t="s">
        <v>885</v>
      </c>
      <c r="AO57" s="956"/>
      <c r="AP57" s="956"/>
      <c r="AQ57" s="956"/>
      <c r="AR57" s="956"/>
      <c r="AS57" s="956"/>
      <c r="AT57" s="957"/>
      <c r="AU57" s="122"/>
      <c r="AV57" s="312" t="s">
        <v>885</v>
      </c>
      <c r="AW57" s="956"/>
      <c r="AX57" s="956"/>
      <c r="AY57" s="956"/>
      <c r="AZ57" s="956"/>
      <c r="BA57" s="956"/>
      <c r="BB57" s="957"/>
      <c r="BC57" s="122"/>
    </row>
    <row r="58" spans="1:55" s="17" customFormat="1" ht="14.1" customHeight="1" x14ac:dyDescent="0.25">
      <c r="A58" s="88">
        <f>SUM(Input!C19)</f>
        <v>0</v>
      </c>
      <c r="B58" s="301">
        <f t="shared" si="33"/>
        <v>0</v>
      </c>
      <c r="C58" s="480">
        <v>0.67500000000000004</v>
      </c>
      <c r="D58" s="435">
        <f t="shared" si="34"/>
        <v>0</v>
      </c>
      <c r="E58" s="987"/>
      <c r="F58" s="988"/>
      <c r="G58" s="988"/>
      <c r="H58" s="988"/>
      <c r="I58" s="989"/>
      <c r="J58" s="320">
        <f t="shared" si="35"/>
        <v>0</v>
      </c>
      <c r="K58" s="277" t="s">
        <v>180</v>
      </c>
      <c r="L58" s="280">
        <f>SUM($D$42:$I$42)+100</f>
        <v>230</v>
      </c>
      <c r="M58" s="321">
        <f t="shared" si="36"/>
        <v>0</v>
      </c>
      <c r="N58" s="1179"/>
      <c r="O58" s="1178"/>
      <c r="P58" s="1178"/>
      <c r="Q58" s="1178"/>
      <c r="R58" s="1178"/>
      <c r="S58" s="1178"/>
      <c r="T58" s="320">
        <f t="shared" si="37"/>
        <v>0</v>
      </c>
      <c r="U58" s="1164"/>
      <c r="V58" s="1165"/>
      <c r="W58" s="122"/>
      <c r="X58" s="312" t="s">
        <v>886</v>
      </c>
      <c r="Y58" s="956"/>
      <c r="Z58" s="956"/>
      <c r="AA58" s="956"/>
      <c r="AB58" s="956"/>
      <c r="AC58" s="956"/>
      <c r="AD58" s="957"/>
      <c r="AE58" s="122"/>
      <c r="AF58" s="312" t="s">
        <v>886</v>
      </c>
      <c r="AG58" s="956"/>
      <c r="AH58" s="956"/>
      <c r="AI58" s="956"/>
      <c r="AJ58" s="956"/>
      <c r="AK58" s="956"/>
      <c r="AL58" s="957"/>
      <c r="AM58" s="122"/>
      <c r="AN58" s="312" t="s">
        <v>886</v>
      </c>
      <c r="AO58" s="956"/>
      <c r="AP58" s="956"/>
      <c r="AQ58" s="956"/>
      <c r="AR58" s="956"/>
      <c r="AS58" s="956"/>
      <c r="AT58" s="957"/>
      <c r="AU58" s="122"/>
      <c r="AV58" s="312" t="s">
        <v>886</v>
      </c>
      <c r="AW58" s="956"/>
      <c r="AX58" s="956"/>
      <c r="AY58" s="956"/>
      <c r="AZ58" s="956"/>
      <c r="BA58" s="956"/>
      <c r="BB58" s="957"/>
      <c r="BC58" s="122"/>
    </row>
    <row r="59" spans="1:55" s="17" customFormat="1" ht="14.1" customHeight="1" x14ac:dyDescent="0.25">
      <c r="A59" s="88">
        <f>SUM(Input!C20)</f>
        <v>0</v>
      </c>
      <c r="B59" s="322">
        <f t="shared" si="33"/>
        <v>0</v>
      </c>
      <c r="C59" s="479" t="s">
        <v>1241</v>
      </c>
      <c r="D59" s="435">
        <f t="shared" si="34"/>
        <v>0</v>
      </c>
      <c r="E59" s="987"/>
      <c r="F59" s="988"/>
      <c r="G59" s="988"/>
      <c r="H59" s="988"/>
      <c r="I59" s="989"/>
      <c r="J59" s="320">
        <f t="shared" si="35"/>
        <v>0</v>
      </c>
      <c r="K59" s="277" t="s">
        <v>180</v>
      </c>
      <c r="L59" s="280">
        <f>SUM($D$42:$I$42)+100</f>
        <v>230</v>
      </c>
      <c r="M59" s="321">
        <f t="shared" si="36"/>
        <v>0</v>
      </c>
      <c r="N59" s="1179"/>
      <c r="O59" s="1178"/>
      <c r="P59" s="1178"/>
      <c r="Q59" s="1178"/>
      <c r="R59" s="1178"/>
      <c r="S59" s="1178"/>
      <c r="T59" s="320">
        <f t="shared" si="37"/>
        <v>0</v>
      </c>
      <c r="U59" s="1164"/>
      <c r="V59" s="1165"/>
      <c r="W59" s="122"/>
      <c r="X59" s="312" t="s">
        <v>887</v>
      </c>
      <c r="Y59" s="956"/>
      <c r="Z59" s="956"/>
      <c r="AA59" s="956"/>
      <c r="AB59" s="956"/>
      <c r="AC59" s="956"/>
      <c r="AD59" s="957"/>
      <c r="AE59" s="122"/>
      <c r="AF59" s="312" t="s">
        <v>887</v>
      </c>
      <c r="AG59" s="956"/>
      <c r="AH59" s="956"/>
      <c r="AI59" s="956"/>
      <c r="AJ59" s="956"/>
      <c r="AK59" s="956"/>
      <c r="AL59" s="957"/>
      <c r="AM59" s="122"/>
      <c r="AN59" s="312" t="s">
        <v>887</v>
      </c>
      <c r="AO59" s="956"/>
      <c r="AP59" s="956"/>
      <c r="AQ59" s="956"/>
      <c r="AR59" s="956"/>
      <c r="AS59" s="956"/>
      <c r="AT59" s="957"/>
      <c r="AU59" s="122"/>
      <c r="AV59" s="312" t="s">
        <v>887</v>
      </c>
      <c r="AW59" s="956"/>
      <c r="AX59" s="956"/>
      <c r="AY59" s="956"/>
      <c r="AZ59" s="956"/>
      <c r="BA59" s="956"/>
      <c r="BB59" s="957"/>
      <c r="BC59" s="122"/>
    </row>
    <row r="60" spans="1:55" s="17" customFormat="1" ht="14.1" customHeight="1" x14ac:dyDescent="0.25">
      <c r="A60" s="1021" t="s">
        <v>910</v>
      </c>
      <c r="B60" s="323">
        <v>1</v>
      </c>
      <c r="C60" s="75" t="s">
        <v>60</v>
      </c>
      <c r="D60" s="436">
        <f>D38*B60</f>
        <v>0</v>
      </c>
      <c r="E60" s="987"/>
      <c r="F60" s="988"/>
      <c r="G60" s="988"/>
      <c r="H60" s="988"/>
      <c r="I60" s="989"/>
      <c r="J60" s="320">
        <f t="shared" si="35"/>
        <v>0</v>
      </c>
      <c r="K60" s="279" t="s">
        <v>615</v>
      </c>
      <c r="L60" s="280">
        <v>150</v>
      </c>
      <c r="M60" s="321">
        <f t="shared" si="36"/>
        <v>0</v>
      </c>
      <c r="N60" s="1179"/>
      <c r="O60" s="1178"/>
      <c r="P60" s="1178"/>
      <c r="Q60" s="1178"/>
      <c r="R60" s="1178"/>
      <c r="S60" s="1178"/>
      <c r="T60" s="320">
        <f t="shared" si="37"/>
        <v>0</v>
      </c>
      <c r="U60" s="1164"/>
      <c r="V60" s="1165"/>
      <c r="W60" s="122"/>
      <c r="X60" s="312" t="s">
        <v>60</v>
      </c>
      <c r="Y60" s="956"/>
      <c r="Z60" s="956"/>
      <c r="AA60" s="956"/>
      <c r="AB60" s="956"/>
      <c r="AC60" s="956"/>
      <c r="AD60" s="957"/>
      <c r="AE60" s="122"/>
      <c r="AF60" s="312" t="s">
        <v>60</v>
      </c>
      <c r="AG60" s="956"/>
      <c r="AH60" s="956"/>
      <c r="AI60" s="956"/>
      <c r="AJ60" s="956"/>
      <c r="AK60" s="956"/>
      <c r="AL60" s="957"/>
      <c r="AM60" s="122"/>
      <c r="AN60" s="312" t="s">
        <v>60</v>
      </c>
      <c r="AO60" s="956"/>
      <c r="AP60" s="956"/>
      <c r="AQ60" s="956"/>
      <c r="AR60" s="956"/>
      <c r="AS60" s="956"/>
      <c r="AT60" s="957"/>
      <c r="AU60" s="122"/>
      <c r="AV60" s="312" t="s">
        <v>60</v>
      </c>
      <c r="AW60" s="956"/>
      <c r="AX60" s="956"/>
      <c r="AY60" s="956"/>
      <c r="AZ60" s="956"/>
      <c r="BA60" s="956"/>
      <c r="BB60" s="957"/>
      <c r="BC60" s="122"/>
    </row>
    <row r="61" spans="1:55" s="17" customFormat="1" ht="14.1" customHeight="1" x14ac:dyDescent="0.25">
      <c r="A61" s="1022"/>
      <c r="B61" s="323">
        <v>0</v>
      </c>
      <c r="C61" s="75" t="s">
        <v>55</v>
      </c>
      <c r="D61" s="437">
        <f>SUM(D44:D59)*B61</f>
        <v>0</v>
      </c>
      <c r="E61" s="987"/>
      <c r="F61" s="988"/>
      <c r="G61" s="988"/>
      <c r="H61" s="988"/>
      <c r="I61" s="989"/>
      <c r="J61" s="320">
        <f t="shared" si="35"/>
        <v>0</v>
      </c>
      <c r="K61" s="279" t="s">
        <v>180</v>
      </c>
      <c r="L61" s="280">
        <v>10</v>
      </c>
      <c r="M61" s="321">
        <f t="shared" si="36"/>
        <v>0</v>
      </c>
      <c r="N61" s="1179"/>
      <c r="O61" s="1178"/>
      <c r="P61" s="1178"/>
      <c r="Q61" s="1178"/>
      <c r="R61" s="1178"/>
      <c r="S61" s="1178"/>
      <c r="T61" s="320">
        <f t="shared" si="37"/>
        <v>0</v>
      </c>
      <c r="U61" s="1164"/>
      <c r="V61" s="1165"/>
      <c r="W61" s="122"/>
      <c r="X61" s="312" t="s">
        <v>55</v>
      </c>
      <c r="Y61" s="956"/>
      <c r="Z61" s="956"/>
      <c r="AA61" s="956"/>
      <c r="AB61" s="956"/>
      <c r="AC61" s="956"/>
      <c r="AD61" s="957"/>
      <c r="AE61" s="122"/>
      <c r="AF61" s="312" t="s">
        <v>55</v>
      </c>
      <c r="AG61" s="956"/>
      <c r="AH61" s="956"/>
      <c r="AI61" s="956"/>
      <c r="AJ61" s="956"/>
      <c r="AK61" s="956"/>
      <c r="AL61" s="957"/>
      <c r="AM61" s="122"/>
      <c r="AN61" s="312" t="s">
        <v>55</v>
      </c>
      <c r="AO61" s="956"/>
      <c r="AP61" s="956"/>
      <c r="AQ61" s="956"/>
      <c r="AR61" s="956"/>
      <c r="AS61" s="956"/>
      <c r="AT61" s="957"/>
      <c r="AU61" s="122"/>
      <c r="AV61" s="312" t="s">
        <v>55</v>
      </c>
      <c r="AW61" s="956"/>
      <c r="AX61" s="956"/>
      <c r="AY61" s="956"/>
      <c r="AZ61" s="956"/>
      <c r="BA61" s="956"/>
      <c r="BB61" s="957"/>
      <c r="BC61" s="122"/>
    </row>
    <row r="62" spans="1:55" s="17" customFormat="1" ht="14.1" customHeight="1" x14ac:dyDescent="0.25">
      <c r="A62" s="1022"/>
      <c r="B62" s="323">
        <v>0</v>
      </c>
      <c r="C62" s="75" t="s">
        <v>48</v>
      </c>
      <c r="D62" s="438">
        <f>J18*B62</f>
        <v>0</v>
      </c>
      <c r="E62" s="987"/>
      <c r="F62" s="988"/>
      <c r="G62" s="988"/>
      <c r="H62" s="988"/>
      <c r="I62" s="989"/>
      <c r="J62" s="320">
        <f t="shared" si="35"/>
        <v>0</v>
      </c>
      <c r="K62" s="279" t="s">
        <v>46</v>
      </c>
      <c r="L62" s="280">
        <v>25</v>
      </c>
      <c r="M62" s="321">
        <f t="shared" si="36"/>
        <v>0</v>
      </c>
      <c r="N62" s="1179"/>
      <c r="O62" s="1178"/>
      <c r="P62" s="1178"/>
      <c r="Q62" s="1178"/>
      <c r="R62" s="1178"/>
      <c r="S62" s="1178"/>
      <c r="T62" s="320">
        <f t="shared" si="37"/>
        <v>0</v>
      </c>
      <c r="U62" s="1164"/>
      <c r="V62" s="1165"/>
      <c r="W62" s="122"/>
      <c r="X62" s="312" t="s">
        <v>48</v>
      </c>
      <c r="Y62" s="956"/>
      <c r="Z62" s="956"/>
      <c r="AA62" s="956"/>
      <c r="AB62" s="956"/>
      <c r="AC62" s="956"/>
      <c r="AD62" s="957"/>
      <c r="AE62" s="122"/>
      <c r="AF62" s="312" t="s">
        <v>48</v>
      </c>
      <c r="AG62" s="956"/>
      <c r="AH62" s="956"/>
      <c r="AI62" s="956"/>
      <c r="AJ62" s="956"/>
      <c r="AK62" s="956"/>
      <c r="AL62" s="957"/>
      <c r="AM62" s="122"/>
      <c r="AN62" s="312" t="s">
        <v>48</v>
      </c>
      <c r="AO62" s="956"/>
      <c r="AP62" s="956"/>
      <c r="AQ62" s="956"/>
      <c r="AR62" s="956"/>
      <c r="AS62" s="956"/>
      <c r="AT62" s="957"/>
      <c r="AU62" s="122"/>
      <c r="AV62" s="312" t="s">
        <v>48</v>
      </c>
      <c r="AW62" s="956"/>
      <c r="AX62" s="956"/>
      <c r="AY62" s="956"/>
      <c r="AZ62" s="956"/>
      <c r="BA62" s="956"/>
      <c r="BB62" s="957"/>
      <c r="BC62" s="122"/>
    </row>
    <row r="63" spans="1:55" s="17" customFormat="1" ht="14.1" customHeight="1" x14ac:dyDescent="0.25">
      <c r="A63" s="1022"/>
      <c r="B63" s="323">
        <v>0</v>
      </c>
      <c r="C63" s="75" t="s">
        <v>565</v>
      </c>
      <c r="D63" s="173">
        <f>SUM(D27)*B63</f>
        <v>0</v>
      </c>
      <c r="E63" s="987"/>
      <c r="F63" s="988"/>
      <c r="G63" s="988"/>
      <c r="H63" s="988"/>
      <c r="I63" s="989"/>
      <c r="J63" s="320">
        <f t="shared" si="35"/>
        <v>0</v>
      </c>
      <c r="K63" s="279" t="s">
        <v>615</v>
      </c>
      <c r="L63" s="281">
        <v>10</v>
      </c>
      <c r="M63" s="321">
        <f t="shared" si="36"/>
        <v>0</v>
      </c>
      <c r="N63" s="1179"/>
      <c r="O63" s="1178"/>
      <c r="P63" s="1178"/>
      <c r="Q63" s="1178"/>
      <c r="R63" s="1178"/>
      <c r="S63" s="1178"/>
      <c r="T63" s="320">
        <f t="shared" si="37"/>
        <v>0</v>
      </c>
      <c r="U63" s="1164"/>
      <c r="V63" s="1165"/>
      <c r="W63" s="122"/>
      <c r="X63" s="312" t="s">
        <v>565</v>
      </c>
      <c r="Y63" s="956"/>
      <c r="Z63" s="956"/>
      <c r="AA63" s="956"/>
      <c r="AB63" s="956"/>
      <c r="AC63" s="956"/>
      <c r="AD63" s="957"/>
      <c r="AE63" s="122"/>
      <c r="AF63" s="312" t="s">
        <v>565</v>
      </c>
      <c r="AG63" s="956"/>
      <c r="AH63" s="956"/>
      <c r="AI63" s="956"/>
      <c r="AJ63" s="956"/>
      <c r="AK63" s="956"/>
      <c r="AL63" s="957"/>
      <c r="AM63" s="122"/>
      <c r="AN63" s="312" t="s">
        <v>565</v>
      </c>
      <c r="AO63" s="956"/>
      <c r="AP63" s="956"/>
      <c r="AQ63" s="956"/>
      <c r="AR63" s="956"/>
      <c r="AS63" s="956"/>
      <c r="AT63" s="957"/>
      <c r="AU63" s="122"/>
      <c r="AV63" s="312" t="s">
        <v>565</v>
      </c>
      <c r="AW63" s="956"/>
      <c r="AX63" s="956"/>
      <c r="AY63" s="956"/>
      <c r="AZ63" s="956"/>
      <c r="BA63" s="956"/>
      <c r="BB63" s="957"/>
      <c r="BC63" s="122"/>
    </row>
    <row r="64" spans="1:55" s="17" customFormat="1" ht="14.1" customHeight="1" x14ac:dyDescent="0.25">
      <c r="A64" s="1022"/>
      <c r="B64" s="977">
        <v>1</v>
      </c>
      <c r="C64" s="75" t="s">
        <v>47</v>
      </c>
      <c r="D64" s="173">
        <f>SUM(D25*10)*B64</f>
        <v>0</v>
      </c>
      <c r="E64" s="987"/>
      <c r="F64" s="988"/>
      <c r="G64" s="988"/>
      <c r="H64" s="988"/>
      <c r="I64" s="989"/>
      <c r="J64" s="320">
        <f t="shared" si="35"/>
        <v>0</v>
      </c>
      <c r="K64" s="279" t="s">
        <v>112</v>
      </c>
      <c r="L64" s="281">
        <v>2.5</v>
      </c>
      <c r="M64" s="321">
        <f t="shared" si="36"/>
        <v>0</v>
      </c>
      <c r="N64" s="1179"/>
      <c r="O64" s="1178"/>
      <c r="P64" s="1178"/>
      <c r="Q64" s="1178"/>
      <c r="R64" s="1178"/>
      <c r="S64" s="1178"/>
      <c r="T64" s="320">
        <f t="shared" si="37"/>
        <v>0</v>
      </c>
      <c r="U64" s="1164"/>
      <c r="V64" s="1165"/>
      <c r="W64" s="122"/>
      <c r="X64" s="312" t="s">
        <v>47</v>
      </c>
      <c r="Y64" s="956"/>
      <c r="Z64" s="956"/>
      <c r="AA64" s="956"/>
      <c r="AB64" s="956"/>
      <c r="AC64" s="956"/>
      <c r="AD64" s="957"/>
      <c r="AE64" s="122"/>
      <c r="AF64" s="312" t="s">
        <v>47</v>
      </c>
      <c r="AG64" s="956"/>
      <c r="AH64" s="956"/>
      <c r="AI64" s="956"/>
      <c r="AJ64" s="956"/>
      <c r="AK64" s="956"/>
      <c r="AL64" s="957"/>
      <c r="AM64" s="122"/>
      <c r="AN64" s="312" t="s">
        <v>47</v>
      </c>
      <c r="AO64" s="956"/>
      <c r="AP64" s="956"/>
      <c r="AQ64" s="956"/>
      <c r="AR64" s="956"/>
      <c r="AS64" s="956"/>
      <c r="AT64" s="957"/>
      <c r="AU64" s="122"/>
      <c r="AV64" s="312" t="s">
        <v>47</v>
      </c>
      <c r="AW64" s="956"/>
      <c r="AX64" s="956"/>
      <c r="AY64" s="956"/>
      <c r="AZ64" s="956"/>
      <c r="BA64" s="956"/>
      <c r="BB64" s="957"/>
      <c r="BC64" s="122"/>
    </row>
    <row r="65" spans="1:55" s="17" customFormat="1" ht="14.1" customHeight="1" x14ac:dyDescent="0.25">
      <c r="A65" s="1022"/>
      <c r="B65" s="978"/>
      <c r="C65" s="75" t="s">
        <v>41</v>
      </c>
      <c r="D65" s="173">
        <f>D24</f>
        <v>0</v>
      </c>
      <c r="E65" s="987"/>
      <c r="F65" s="988"/>
      <c r="G65" s="988"/>
      <c r="H65" s="988"/>
      <c r="I65" s="989"/>
      <c r="J65" s="320">
        <f t="shared" si="35"/>
        <v>0</v>
      </c>
      <c r="K65" s="279" t="s">
        <v>615</v>
      </c>
      <c r="L65" s="281">
        <v>3</v>
      </c>
      <c r="M65" s="321">
        <f t="shared" si="36"/>
        <v>0</v>
      </c>
      <c r="N65" s="1179"/>
      <c r="O65" s="1178"/>
      <c r="P65" s="1178"/>
      <c r="Q65" s="1178"/>
      <c r="R65" s="1178"/>
      <c r="S65" s="1178"/>
      <c r="T65" s="320">
        <f t="shared" si="37"/>
        <v>0</v>
      </c>
      <c r="U65" s="1164"/>
      <c r="V65" s="1165"/>
      <c r="W65" s="122"/>
      <c r="X65" s="312" t="s">
        <v>41</v>
      </c>
      <c r="Y65" s="956"/>
      <c r="Z65" s="956"/>
      <c r="AA65" s="956"/>
      <c r="AB65" s="956"/>
      <c r="AC65" s="956"/>
      <c r="AD65" s="957"/>
      <c r="AE65" s="122"/>
      <c r="AF65" s="312" t="s">
        <v>41</v>
      </c>
      <c r="AG65" s="956"/>
      <c r="AH65" s="956"/>
      <c r="AI65" s="956"/>
      <c r="AJ65" s="956"/>
      <c r="AK65" s="956"/>
      <c r="AL65" s="957"/>
      <c r="AM65" s="122"/>
      <c r="AN65" s="312" t="s">
        <v>41</v>
      </c>
      <c r="AO65" s="956"/>
      <c r="AP65" s="956"/>
      <c r="AQ65" s="956"/>
      <c r="AR65" s="956"/>
      <c r="AS65" s="956"/>
      <c r="AT65" s="957"/>
      <c r="AU65" s="122"/>
      <c r="AV65" s="312" t="s">
        <v>41</v>
      </c>
      <c r="AW65" s="956"/>
      <c r="AX65" s="956"/>
      <c r="AY65" s="956"/>
      <c r="AZ65" s="956"/>
      <c r="BA65" s="956"/>
      <c r="BB65" s="957"/>
      <c r="BC65" s="122"/>
    </row>
    <row r="66" spans="1:55" s="17" customFormat="1" ht="14.1" customHeight="1" x14ac:dyDescent="0.25">
      <c r="A66" s="1022"/>
      <c r="B66" s="323">
        <v>0</v>
      </c>
      <c r="C66" s="75" t="s">
        <v>566</v>
      </c>
      <c r="D66" s="436">
        <f>A14*B66</f>
        <v>0</v>
      </c>
      <c r="E66" s="987"/>
      <c r="F66" s="988"/>
      <c r="G66" s="988"/>
      <c r="H66" s="988"/>
      <c r="I66" s="989"/>
      <c r="J66" s="320">
        <f t="shared" si="35"/>
        <v>0</v>
      </c>
      <c r="K66" s="279" t="s">
        <v>112</v>
      </c>
      <c r="L66" s="281">
        <v>10</v>
      </c>
      <c r="M66" s="321">
        <f t="shared" si="36"/>
        <v>0</v>
      </c>
      <c r="N66" s="1179"/>
      <c r="O66" s="1178"/>
      <c r="P66" s="1178"/>
      <c r="Q66" s="1178"/>
      <c r="R66" s="1178"/>
      <c r="S66" s="1178"/>
      <c r="T66" s="320">
        <f t="shared" si="37"/>
        <v>0</v>
      </c>
      <c r="U66" s="1164"/>
      <c r="V66" s="1165"/>
      <c r="W66" s="122"/>
      <c r="X66" s="312" t="s">
        <v>566</v>
      </c>
      <c r="Y66" s="956"/>
      <c r="Z66" s="956"/>
      <c r="AA66" s="956"/>
      <c r="AB66" s="956"/>
      <c r="AC66" s="956"/>
      <c r="AD66" s="957"/>
      <c r="AE66" s="122"/>
      <c r="AF66" s="312" t="s">
        <v>566</v>
      </c>
      <c r="AG66" s="956"/>
      <c r="AH66" s="956"/>
      <c r="AI66" s="956"/>
      <c r="AJ66" s="956"/>
      <c r="AK66" s="956"/>
      <c r="AL66" s="957"/>
      <c r="AM66" s="122"/>
      <c r="AN66" s="312" t="s">
        <v>566</v>
      </c>
      <c r="AO66" s="956"/>
      <c r="AP66" s="956"/>
      <c r="AQ66" s="956"/>
      <c r="AR66" s="956"/>
      <c r="AS66" s="956"/>
      <c r="AT66" s="957"/>
      <c r="AU66" s="122"/>
      <c r="AV66" s="312" t="s">
        <v>566</v>
      </c>
      <c r="AW66" s="956"/>
      <c r="AX66" s="956"/>
      <c r="AY66" s="956"/>
      <c r="AZ66" s="956"/>
      <c r="BA66" s="956"/>
      <c r="BB66" s="957"/>
      <c r="BC66" s="122"/>
    </row>
    <row r="67" spans="1:55" s="17" customFormat="1" ht="14.1" customHeight="1" x14ac:dyDescent="0.25">
      <c r="A67" s="1022"/>
      <c r="B67" s="323">
        <v>0</v>
      </c>
      <c r="C67" s="75" t="s">
        <v>113</v>
      </c>
      <c r="D67" s="437">
        <f>SUM(J14)*B67</f>
        <v>0</v>
      </c>
      <c r="E67" s="987"/>
      <c r="F67" s="988"/>
      <c r="G67" s="988"/>
      <c r="H67" s="988"/>
      <c r="I67" s="989"/>
      <c r="J67" s="320">
        <f t="shared" si="35"/>
        <v>0</v>
      </c>
      <c r="K67" s="279" t="s">
        <v>567</v>
      </c>
      <c r="L67" s="281">
        <v>5</v>
      </c>
      <c r="M67" s="321">
        <f t="shared" si="36"/>
        <v>0</v>
      </c>
      <c r="N67" s="1179"/>
      <c r="O67" s="1178"/>
      <c r="P67" s="1178"/>
      <c r="Q67" s="1178"/>
      <c r="R67" s="1178"/>
      <c r="S67" s="1178"/>
      <c r="T67" s="320">
        <f t="shared" si="37"/>
        <v>0</v>
      </c>
      <c r="U67" s="1164"/>
      <c r="V67" s="1165"/>
      <c r="W67" s="122"/>
      <c r="X67" s="312" t="s">
        <v>113</v>
      </c>
      <c r="Y67" s="956"/>
      <c r="Z67" s="956"/>
      <c r="AA67" s="956"/>
      <c r="AB67" s="956"/>
      <c r="AC67" s="956"/>
      <c r="AD67" s="957"/>
      <c r="AE67" s="122"/>
      <c r="AF67" s="312" t="s">
        <v>113</v>
      </c>
      <c r="AG67" s="956"/>
      <c r="AH67" s="956"/>
      <c r="AI67" s="956"/>
      <c r="AJ67" s="956"/>
      <c r="AK67" s="956"/>
      <c r="AL67" s="957"/>
      <c r="AM67" s="122"/>
      <c r="AN67" s="312" t="s">
        <v>113</v>
      </c>
      <c r="AO67" s="956"/>
      <c r="AP67" s="956"/>
      <c r="AQ67" s="956"/>
      <c r="AR67" s="956"/>
      <c r="AS67" s="956"/>
      <c r="AT67" s="957"/>
      <c r="AU67" s="122"/>
      <c r="AV67" s="312" t="s">
        <v>113</v>
      </c>
      <c r="AW67" s="956"/>
      <c r="AX67" s="956"/>
      <c r="AY67" s="956"/>
      <c r="AZ67" s="956"/>
      <c r="BA67" s="956"/>
      <c r="BB67" s="957"/>
      <c r="BC67" s="122"/>
    </row>
    <row r="68" spans="1:55" s="17" customFormat="1" ht="14.1" customHeight="1" x14ac:dyDescent="0.25">
      <c r="A68" s="1022"/>
      <c r="B68" s="323">
        <v>0</v>
      </c>
      <c r="C68" s="75" t="s">
        <v>616</v>
      </c>
      <c r="D68" s="437">
        <f>SUM(J14)*B68</f>
        <v>0</v>
      </c>
      <c r="E68" s="987"/>
      <c r="F68" s="988"/>
      <c r="G68" s="988"/>
      <c r="H68" s="988"/>
      <c r="I68" s="989"/>
      <c r="J68" s="320">
        <f t="shared" ref="J68" si="38">IF(D68&lt;&gt;0,D68,0)*IF(E68&lt;&gt;0,E68,1)*IF(F68&lt;&gt;0,F68,1)*IF(G68&lt;&gt;0,G68,1)*IF(H68&lt;&gt;0,H68,1)/IF(I68&lt;&gt;0,I68,1)</f>
        <v>0</v>
      </c>
      <c r="K68" s="279" t="s">
        <v>615</v>
      </c>
      <c r="L68" s="280">
        <v>20</v>
      </c>
      <c r="M68" s="321">
        <f t="shared" ref="M68" si="39">ROUND(J68*L68,0)</f>
        <v>0</v>
      </c>
      <c r="N68" s="1179"/>
      <c r="O68" s="1178"/>
      <c r="P68" s="1178"/>
      <c r="Q68" s="1178"/>
      <c r="R68" s="1178"/>
      <c r="S68" s="1178"/>
      <c r="T68" s="320">
        <f t="shared" ref="T68" si="40">ROUND(M68+O68+Q68+S68,0)</f>
        <v>0</v>
      </c>
      <c r="U68" s="1164"/>
      <c r="V68" s="1165"/>
      <c r="W68" s="122"/>
      <c r="X68" s="312" t="s">
        <v>616</v>
      </c>
      <c r="Y68" s="956"/>
      <c r="Z68" s="956"/>
      <c r="AA68" s="956"/>
      <c r="AB68" s="956"/>
      <c r="AC68" s="956"/>
      <c r="AD68" s="957"/>
      <c r="AE68" s="122"/>
      <c r="AF68" s="312" t="s">
        <v>616</v>
      </c>
      <c r="AG68" s="956"/>
      <c r="AH68" s="956"/>
      <c r="AI68" s="956"/>
      <c r="AJ68" s="956"/>
      <c r="AK68" s="956"/>
      <c r="AL68" s="957"/>
      <c r="AM68" s="122"/>
      <c r="AN68" s="312" t="s">
        <v>616</v>
      </c>
      <c r="AO68" s="956"/>
      <c r="AP68" s="956"/>
      <c r="AQ68" s="956"/>
      <c r="AR68" s="956"/>
      <c r="AS68" s="956"/>
      <c r="AT68" s="957"/>
      <c r="AU68" s="122"/>
      <c r="AV68" s="312" t="s">
        <v>616</v>
      </c>
      <c r="AW68" s="956"/>
      <c r="AX68" s="956"/>
      <c r="AY68" s="956"/>
      <c r="AZ68" s="956"/>
      <c r="BA68" s="956"/>
      <c r="BB68" s="957"/>
      <c r="BC68" s="122"/>
    </row>
    <row r="69" spans="1:55" s="17" customFormat="1" ht="14.1" customHeight="1" x14ac:dyDescent="0.25">
      <c r="A69" s="1023"/>
      <c r="B69" s="323">
        <f>B39</f>
        <v>0</v>
      </c>
      <c r="C69" s="75" t="s">
        <v>1184</v>
      </c>
      <c r="D69" s="437">
        <f>SUM(J15)*B69</f>
        <v>0</v>
      </c>
      <c r="E69" s="990"/>
      <c r="F69" s="991"/>
      <c r="G69" s="991"/>
      <c r="H69" s="991"/>
      <c r="I69" s="992"/>
      <c r="J69" s="320">
        <f t="shared" si="35"/>
        <v>0</v>
      </c>
      <c r="K69" s="279" t="s">
        <v>615</v>
      </c>
      <c r="L69" s="280"/>
      <c r="M69" s="321">
        <f t="shared" si="36"/>
        <v>0</v>
      </c>
      <c r="N69" s="1179"/>
      <c r="O69" s="1178"/>
      <c r="P69" s="1178"/>
      <c r="Q69" s="1178"/>
      <c r="R69" s="1178"/>
      <c r="S69" s="1178"/>
      <c r="T69" s="320">
        <f t="shared" si="37"/>
        <v>0</v>
      </c>
      <c r="U69" s="1166"/>
      <c r="V69" s="1167"/>
      <c r="W69" s="122"/>
      <c r="X69" s="312" t="s">
        <v>616</v>
      </c>
      <c r="Y69" s="959"/>
      <c r="Z69" s="959"/>
      <c r="AA69" s="959"/>
      <c r="AB69" s="959"/>
      <c r="AC69" s="959"/>
      <c r="AD69" s="960"/>
      <c r="AE69" s="122"/>
      <c r="AF69" s="312" t="s">
        <v>616</v>
      </c>
      <c r="AG69" s="959"/>
      <c r="AH69" s="959"/>
      <c r="AI69" s="959"/>
      <c r="AJ69" s="959"/>
      <c r="AK69" s="959"/>
      <c r="AL69" s="960"/>
      <c r="AM69" s="122"/>
      <c r="AN69" s="312" t="s">
        <v>616</v>
      </c>
      <c r="AO69" s="956"/>
      <c r="AP69" s="956"/>
      <c r="AQ69" s="956"/>
      <c r="AR69" s="956"/>
      <c r="AS69" s="956"/>
      <c r="AT69" s="957"/>
      <c r="AU69" s="122"/>
      <c r="AV69" s="312" t="s">
        <v>616</v>
      </c>
      <c r="AW69" s="956"/>
      <c r="AX69" s="956"/>
      <c r="AY69" s="956"/>
      <c r="AZ69" s="956"/>
      <c r="BA69" s="956"/>
      <c r="BB69" s="957"/>
      <c r="BC69" s="122"/>
    </row>
    <row r="70" spans="1:55" s="17" customFormat="1" ht="3.75" customHeight="1" x14ac:dyDescent="0.25">
      <c r="A70" s="993"/>
      <c r="B70" s="993"/>
      <c r="C70" s="993"/>
      <c r="D70" s="993"/>
      <c r="E70" s="993"/>
      <c r="F70" s="993"/>
      <c r="G70" s="993"/>
      <c r="H70" s="993"/>
      <c r="I70" s="993"/>
      <c r="J70" s="993"/>
      <c r="K70" s="993"/>
      <c r="L70" s="993"/>
      <c r="M70" s="993"/>
      <c r="N70" s="993"/>
      <c r="O70" s="993"/>
      <c r="P70" s="993"/>
      <c r="Q70" s="993"/>
      <c r="R70" s="993"/>
      <c r="S70" s="993"/>
      <c r="T70" s="993"/>
      <c r="U70" s="993"/>
      <c r="V70" s="993"/>
      <c r="W70" s="122"/>
      <c r="X70" s="947"/>
      <c r="Y70" s="947"/>
      <c r="Z70" s="947"/>
      <c r="AA70" s="947"/>
      <c r="AB70" s="947"/>
      <c r="AC70" s="947"/>
      <c r="AD70" s="947"/>
      <c r="AE70" s="947"/>
      <c r="AF70" s="947"/>
      <c r="AG70" s="947"/>
      <c r="AH70" s="947"/>
      <c r="AI70" s="947"/>
      <c r="AJ70" s="947"/>
      <c r="AK70" s="947"/>
      <c r="AL70" s="947"/>
      <c r="AM70" s="295"/>
      <c r="AN70" s="946"/>
      <c r="AO70" s="947"/>
      <c r="AP70" s="947"/>
      <c r="AQ70" s="947"/>
      <c r="AR70" s="947"/>
      <c r="AS70" s="947"/>
      <c r="AT70" s="948"/>
      <c r="AU70" s="295"/>
      <c r="AV70" s="946"/>
      <c r="AW70" s="947"/>
      <c r="AX70" s="947"/>
      <c r="AY70" s="947"/>
      <c r="AZ70" s="947"/>
      <c r="BA70" s="947"/>
      <c r="BB70" s="948"/>
      <c r="BC70" s="295"/>
    </row>
    <row r="71" spans="1:55" s="17" customFormat="1" ht="14.1" customHeight="1" x14ac:dyDescent="0.25">
      <c r="A71" s="999" t="s">
        <v>281</v>
      </c>
      <c r="B71" s="1000"/>
      <c r="C71" s="1152" t="s">
        <v>26</v>
      </c>
      <c r="D71" s="1057"/>
      <c r="E71" s="1057"/>
      <c r="F71" s="1057"/>
      <c r="G71" s="1057"/>
      <c r="H71" s="1057"/>
      <c r="I71" s="1057"/>
      <c r="J71" s="1057"/>
      <c r="K71" s="1057"/>
      <c r="L71" s="1057"/>
      <c r="M71" s="1057"/>
      <c r="N71" s="1057"/>
      <c r="O71" s="994" t="s">
        <v>211</v>
      </c>
      <c r="P71" s="995"/>
      <c r="Q71" s="36" t="s">
        <v>213</v>
      </c>
      <c r="R71" s="427">
        <v>20</v>
      </c>
      <c r="S71" s="44">
        <f>S2/R71</f>
        <v>5.4E-10</v>
      </c>
      <c r="T71" s="73" t="s">
        <v>212</v>
      </c>
      <c r="U71" s="43">
        <f>SUM(T72:T88)</f>
        <v>500</v>
      </c>
      <c r="V71" s="299">
        <f>U71/S2</f>
        <v>46296296296.296303</v>
      </c>
      <c r="W71" s="122"/>
      <c r="X71" s="949" t="s">
        <v>26</v>
      </c>
      <c r="Y71" s="949"/>
      <c r="Z71" s="949"/>
      <c r="AA71" s="949"/>
      <c r="AB71" s="1036"/>
      <c r="AC71" s="324">
        <f>$U$71</f>
        <v>500</v>
      </c>
      <c r="AD71" s="299">
        <f>$V$71</f>
        <v>46296296296.296303</v>
      </c>
      <c r="AE71" s="130"/>
      <c r="AF71" s="949" t="s">
        <v>26</v>
      </c>
      <c r="AG71" s="950"/>
      <c r="AH71" s="950"/>
      <c r="AI71" s="950"/>
      <c r="AJ71" s="951"/>
      <c r="AK71" s="324">
        <f>$U$71</f>
        <v>500</v>
      </c>
      <c r="AL71" s="299">
        <f>$V$71</f>
        <v>46296296296.296303</v>
      </c>
      <c r="AM71" s="122"/>
      <c r="AN71" s="949" t="s">
        <v>26</v>
      </c>
      <c r="AO71" s="950"/>
      <c r="AP71" s="950"/>
      <c r="AQ71" s="950"/>
      <c r="AR71" s="951"/>
      <c r="AS71" s="324">
        <f>$U$71</f>
        <v>500</v>
      </c>
      <c r="AT71" s="325">
        <f>$V$71</f>
        <v>46296296296.296303</v>
      </c>
      <c r="AU71" s="122"/>
      <c r="AV71" s="949" t="s">
        <v>26</v>
      </c>
      <c r="AW71" s="950"/>
      <c r="AX71" s="950"/>
      <c r="AY71" s="950"/>
      <c r="AZ71" s="951"/>
      <c r="BA71" s="324">
        <f>$U$71</f>
        <v>500</v>
      </c>
      <c r="BB71" s="325">
        <f>$V$71</f>
        <v>46296296296.296303</v>
      </c>
      <c r="BC71" s="122"/>
    </row>
    <row r="72" spans="1:55" s="17" customFormat="1" ht="14.1" customHeight="1" x14ac:dyDescent="0.25">
      <c r="A72" s="1001"/>
      <c r="B72" s="1002"/>
      <c r="C72" s="75" t="s">
        <v>27</v>
      </c>
      <c r="D72" s="173">
        <f>S71</f>
        <v>5.4E-10</v>
      </c>
      <c r="E72" s="174"/>
      <c r="F72" s="174"/>
      <c r="G72" s="174"/>
      <c r="H72" s="175">
        <v>4</v>
      </c>
      <c r="I72" s="176"/>
      <c r="J72" s="180">
        <f t="shared" ref="J72:J88" si="41">IF(D72&lt;&gt;0,D72,0)*IF(E72&lt;&gt;0,E72,1)*IF(F72&lt;&gt;0,F72,1)*IF(G72&lt;&gt;0,G72,1)*IF(H72&lt;&gt;0,H72,1)/IF(I72&lt;&gt;0,I72,1)</f>
        <v>2.16E-9</v>
      </c>
      <c r="K72" s="82" t="s">
        <v>61</v>
      </c>
      <c r="L72" s="181">
        <v>50</v>
      </c>
      <c r="M72" s="180">
        <f t="shared" ref="M72:M88" si="42">ROUND(J72*L72,0)</f>
        <v>0</v>
      </c>
      <c r="N72" s="1168"/>
      <c r="O72" s="180">
        <f t="shared" ref="O72:O88" si="43">ROUND(J72*N72,0)</f>
        <v>0</v>
      </c>
      <c r="P72" s="1168"/>
      <c r="Q72" s="180">
        <f t="shared" ref="Q72:Q88" si="44">ROUND(J72*P72,0)</f>
        <v>0</v>
      </c>
      <c r="R72" s="79"/>
      <c r="S72" s="180">
        <f t="shared" ref="S72:S88" si="45">ROUND(J72*R72,0)</f>
        <v>0</v>
      </c>
      <c r="T72" s="180">
        <f t="shared" ref="T72:T88" si="46">ROUND(M72+O72+Q72+S72,0)</f>
        <v>0</v>
      </c>
      <c r="U72" s="1005"/>
      <c r="V72" s="1006"/>
      <c r="W72" s="122"/>
      <c r="X72" s="17" t="s">
        <v>27</v>
      </c>
      <c r="Y72" s="952"/>
      <c r="Z72" s="953"/>
      <c r="AA72" s="953"/>
      <c r="AB72" s="953"/>
      <c r="AC72" s="953"/>
      <c r="AD72" s="954"/>
      <c r="AE72" s="326"/>
      <c r="AF72" s="17" t="s">
        <v>27</v>
      </c>
      <c r="AG72" s="952"/>
      <c r="AH72" s="953"/>
      <c r="AI72" s="953"/>
      <c r="AJ72" s="953"/>
      <c r="AK72" s="953"/>
      <c r="AL72" s="954"/>
      <c r="AM72" s="122"/>
      <c r="AN72" s="17" t="s">
        <v>27</v>
      </c>
      <c r="AO72" s="952"/>
      <c r="AP72" s="953"/>
      <c r="AQ72" s="953"/>
      <c r="AR72" s="953"/>
      <c r="AS72" s="953"/>
      <c r="AT72" s="954"/>
      <c r="AU72" s="122"/>
      <c r="AV72" s="17" t="s">
        <v>27</v>
      </c>
      <c r="AW72" s="952"/>
      <c r="AX72" s="953"/>
      <c r="AY72" s="953"/>
      <c r="AZ72" s="953"/>
      <c r="BA72" s="953"/>
      <c r="BB72" s="954"/>
      <c r="BC72" s="122"/>
    </row>
    <row r="73" spans="1:55" s="17" customFormat="1" ht="14.1" customHeight="1" x14ac:dyDescent="0.25">
      <c r="A73" s="1001"/>
      <c r="B73" s="1002"/>
      <c r="C73" s="75" t="s">
        <v>604</v>
      </c>
      <c r="D73" s="177">
        <v>1</v>
      </c>
      <c r="E73" s="174"/>
      <c r="F73" s="174"/>
      <c r="G73" s="174"/>
      <c r="H73" s="175"/>
      <c r="I73" s="176"/>
      <c r="J73" s="180">
        <f t="shared" si="41"/>
        <v>1</v>
      </c>
      <c r="K73" s="82" t="s">
        <v>124</v>
      </c>
      <c r="L73" s="181"/>
      <c r="M73" s="180">
        <f t="shared" si="42"/>
        <v>0</v>
      </c>
      <c r="N73" s="1169"/>
      <c r="O73" s="180">
        <f t="shared" si="43"/>
        <v>0</v>
      </c>
      <c r="P73" s="1169"/>
      <c r="Q73" s="180">
        <f t="shared" si="44"/>
        <v>0</v>
      </c>
      <c r="R73" s="79"/>
      <c r="S73" s="180">
        <f t="shared" si="45"/>
        <v>0</v>
      </c>
      <c r="T73" s="180">
        <f t="shared" si="46"/>
        <v>0</v>
      </c>
      <c r="U73" s="1007"/>
      <c r="V73" s="1008"/>
      <c r="W73" s="122"/>
      <c r="X73" s="17" t="s">
        <v>604</v>
      </c>
      <c r="Y73" s="955"/>
      <c r="Z73" s="956"/>
      <c r="AA73" s="956"/>
      <c r="AB73" s="956"/>
      <c r="AC73" s="956"/>
      <c r="AD73" s="957"/>
      <c r="AE73" s="326"/>
      <c r="AF73" s="17" t="s">
        <v>604</v>
      </c>
      <c r="AG73" s="955"/>
      <c r="AH73" s="956"/>
      <c r="AI73" s="956"/>
      <c r="AJ73" s="956"/>
      <c r="AK73" s="956"/>
      <c r="AL73" s="957"/>
      <c r="AM73" s="122"/>
      <c r="AN73" s="17" t="s">
        <v>604</v>
      </c>
      <c r="AO73" s="955"/>
      <c r="AP73" s="956"/>
      <c r="AQ73" s="956"/>
      <c r="AR73" s="956"/>
      <c r="AS73" s="956"/>
      <c r="AT73" s="957"/>
      <c r="AU73" s="122"/>
      <c r="AV73" s="17" t="s">
        <v>604</v>
      </c>
      <c r="AW73" s="955"/>
      <c r="AX73" s="956"/>
      <c r="AY73" s="956"/>
      <c r="AZ73" s="956"/>
      <c r="BA73" s="956"/>
      <c r="BB73" s="957"/>
      <c r="BC73" s="122"/>
    </row>
    <row r="74" spans="1:55" s="17" customFormat="1" ht="14.1" customHeight="1" x14ac:dyDescent="0.25">
      <c r="A74" s="1001"/>
      <c r="B74" s="1002"/>
      <c r="C74" s="75" t="s">
        <v>1082</v>
      </c>
      <c r="D74" s="329">
        <v>0</v>
      </c>
      <c r="E74" s="174"/>
      <c r="F74" s="174"/>
      <c r="G74" s="174"/>
      <c r="H74" s="175"/>
      <c r="I74" s="176"/>
      <c r="J74" s="180">
        <f t="shared" si="41"/>
        <v>0</v>
      </c>
      <c r="K74" s="82" t="s">
        <v>203</v>
      </c>
      <c r="L74" s="181"/>
      <c r="M74" s="180">
        <f t="shared" si="42"/>
        <v>0</v>
      </c>
      <c r="N74" s="1169"/>
      <c r="O74" s="327">
        <f t="shared" si="43"/>
        <v>0</v>
      </c>
      <c r="P74" s="1169"/>
      <c r="Q74" s="303">
        <f t="shared" si="44"/>
        <v>0</v>
      </c>
      <c r="R74" s="181">
        <v>500</v>
      </c>
      <c r="S74" s="180">
        <f t="shared" si="45"/>
        <v>0</v>
      </c>
      <c r="T74" s="180">
        <f t="shared" si="46"/>
        <v>0</v>
      </c>
      <c r="U74" s="1007"/>
      <c r="V74" s="1008"/>
      <c r="W74" s="122"/>
      <c r="X74" s="75" t="s">
        <v>1082</v>
      </c>
      <c r="Y74" s="955"/>
      <c r="Z74" s="956"/>
      <c r="AA74" s="956"/>
      <c r="AB74" s="956"/>
      <c r="AC74" s="956"/>
      <c r="AD74" s="957"/>
      <c r="AE74" s="326"/>
      <c r="AF74" s="75" t="s">
        <v>1082</v>
      </c>
      <c r="AG74" s="955"/>
      <c r="AH74" s="956"/>
      <c r="AI74" s="956"/>
      <c r="AJ74" s="956"/>
      <c r="AK74" s="956"/>
      <c r="AL74" s="957"/>
      <c r="AM74" s="122"/>
      <c r="AN74" s="75" t="s">
        <v>1082</v>
      </c>
      <c r="AO74" s="955"/>
      <c r="AP74" s="956"/>
      <c r="AQ74" s="956"/>
      <c r="AR74" s="956"/>
      <c r="AS74" s="956"/>
      <c r="AT74" s="957"/>
      <c r="AU74" s="122"/>
      <c r="AV74" s="75" t="s">
        <v>1082</v>
      </c>
      <c r="AW74" s="955"/>
      <c r="AX74" s="956"/>
      <c r="AY74" s="956"/>
      <c r="AZ74" s="956"/>
      <c r="BA74" s="956"/>
      <c r="BB74" s="957"/>
      <c r="BC74" s="122"/>
    </row>
    <row r="75" spans="1:55" s="17" customFormat="1" ht="14.1" customHeight="1" x14ac:dyDescent="0.25">
      <c r="A75" s="1001"/>
      <c r="B75" s="1002"/>
      <c r="C75" s="75" t="s">
        <v>42</v>
      </c>
      <c r="D75" s="177">
        <v>1</v>
      </c>
      <c r="E75" s="174"/>
      <c r="F75" s="174"/>
      <c r="G75" s="174"/>
      <c r="H75" s="175"/>
      <c r="I75" s="176"/>
      <c r="J75" s="180">
        <f t="shared" si="41"/>
        <v>1</v>
      </c>
      <c r="K75" s="82" t="s">
        <v>203</v>
      </c>
      <c r="L75" s="181"/>
      <c r="M75" s="180">
        <f t="shared" si="42"/>
        <v>0</v>
      </c>
      <c r="N75" s="1169"/>
      <c r="O75" s="180">
        <f t="shared" si="43"/>
        <v>0</v>
      </c>
      <c r="P75" s="1169"/>
      <c r="Q75" s="180">
        <f t="shared" si="44"/>
        <v>0</v>
      </c>
      <c r="R75" s="79"/>
      <c r="S75" s="180">
        <f t="shared" si="45"/>
        <v>0</v>
      </c>
      <c r="T75" s="180">
        <f t="shared" si="46"/>
        <v>0</v>
      </c>
      <c r="U75" s="1007"/>
      <c r="V75" s="1008"/>
      <c r="W75" s="122"/>
      <c r="X75" s="17" t="s">
        <v>42</v>
      </c>
      <c r="Y75" s="955"/>
      <c r="Z75" s="956"/>
      <c r="AA75" s="956"/>
      <c r="AB75" s="956"/>
      <c r="AC75" s="956"/>
      <c r="AD75" s="957"/>
      <c r="AE75" s="326"/>
      <c r="AF75" s="17" t="s">
        <v>42</v>
      </c>
      <c r="AG75" s="955"/>
      <c r="AH75" s="956"/>
      <c r="AI75" s="956"/>
      <c r="AJ75" s="956"/>
      <c r="AK75" s="956"/>
      <c r="AL75" s="957"/>
      <c r="AM75" s="122"/>
      <c r="AN75" s="17" t="s">
        <v>42</v>
      </c>
      <c r="AO75" s="955"/>
      <c r="AP75" s="956"/>
      <c r="AQ75" s="956"/>
      <c r="AR75" s="956"/>
      <c r="AS75" s="956"/>
      <c r="AT75" s="957"/>
      <c r="AU75" s="122"/>
      <c r="AV75" s="17" t="s">
        <v>42</v>
      </c>
      <c r="AW75" s="955"/>
      <c r="AX75" s="956"/>
      <c r="AY75" s="956"/>
      <c r="AZ75" s="956"/>
      <c r="BA75" s="956"/>
      <c r="BB75" s="957"/>
      <c r="BC75" s="122"/>
    </row>
    <row r="76" spans="1:55" s="17" customFormat="1" ht="14.1" customHeight="1" x14ac:dyDescent="0.25">
      <c r="A76" s="1001"/>
      <c r="B76" s="1002"/>
      <c r="C76" s="75" t="s">
        <v>194</v>
      </c>
      <c r="D76" s="173">
        <f>S71</f>
        <v>5.4E-10</v>
      </c>
      <c r="E76" s="174"/>
      <c r="F76" s="174"/>
      <c r="G76" s="174"/>
      <c r="H76" s="175"/>
      <c r="I76" s="176"/>
      <c r="J76" s="180">
        <f t="shared" si="41"/>
        <v>5.4E-10</v>
      </c>
      <c r="K76" s="82" t="s">
        <v>61</v>
      </c>
      <c r="L76" s="181">
        <v>35</v>
      </c>
      <c r="M76" s="180">
        <f t="shared" si="42"/>
        <v>0</v>
      </c>
      <c r="N76" s="1169"/>
      <c r="O76" s="180">
        <f t="shared" si="43"/>
        <v>0</v>
      </c>
      <c r="P76" s="1169"/>
      <c r="Q76" s="180">
        <f t="shared" si="44"/>
        <v>0</v>
      </c>
      <c r="R76" s="79"/>
      <c r="S76" s="180">
        <f t="shared" si="45"/>
        <v>0</v>
      </c>
      <c r="T76" s="180">
        <f t="shared" si="46"/>
        <v>0</v>
      </c>
      <c r="U76" s="1007"/>
      <c r="V76" s="1008"/>
      <c r="W76" s="122"/>
      <c r="X76" s="17" t="s">
        <v>194</v>
      </c>
      <c r="Y76" s="955"/>
      <c r="Z76" s="956"/>
      <c r="AA76" s="956"/>
      <c r="AB76" s="956"/>
      <c r="AC76" s="956"/>
      <c r="AD76" s="957"/>
      <c r="AE76" s="326"/>
      <c r="AF76" s="17" t="s">
        <v>194</v>
      </c>
      <c r="AG76" s="955"/>
      <c r="AH76" s="956"/>
      <c r="AI76" s="956"/>
      <c r="AJ76" s="956"/>
      <c r="AK76" s="956"/>
      <c r="AL76" s="957"/>
      <c r="AM76" s="122"/>
      <c r="AN76" s="17" t="s">
        <v>194</v>
      </c>
      <c r="AO76" s="955"/>
      <c r="AP76" s="956"/>
      <c r="AQ76" s="956"/>
      <c r="AR76" s="956"/>
      <c r="AS76" s="956"/>
      <c r="AT76" s="957"/>
      <c r="AU76" s="122"/>
      <c r="AV76" s="17" t="s">
        <v>194</v>
      </c>
      <c r="AW76" s="955"/>
      <c r="AX76" s="956"/>
      <c r="AY76" s="956"/>
      <c r="AZ76" s="956"/>
      <c r="BA76" s="956"/>
      <c r="BB76" s="957"/>
      <c r="BC76" s="122"/>
    </row>
    <row r="77" spans="1:55" s="17" customFormat="1" ht="14.1" customHeight="1" x14ac:dyDescent="0.25">
      <c r="A77" s="1001"/>
      <c r="B77" s="1002"/>
      <c r="C77" s="75" t="s">
        <v>125</v>
      </c>
      <c r="D77" s="173">
        <v>1</v>
      </c>
      <c r="E77" s="174"/>
      <c r="F77" s="174"/>
      <c r="G77" s="174"/>
      <c r="H77" s="175"/>
      <c r="I77" s="176"/>
      <c r="J77" s="180">
        <f t="shared" si="41"/>
        <v>1</v>
      </c>
      <c r="K77" s="82" t="s">
        <v>124</v>
      </c>
      <c r="L77" s="181"/>
      <c r="M77" s="180">
        <f t="shared" si="42"/>
        <v>0</v>
      </c>
      <c r="N77" s="1169"/>
      <c r="O77" s="180">
        <f t="shared" si="43"/>
        <v>0</v>
      </c>
      <c r="P77" s="1169"/>
      <c r="Q77" s="180">
        <f t="shared" si="44"/>
        <v>0</v>
      </c>
      <c r="R77" s="79">
        <f>(T107/R100)*(S149/5)</f>
        <v>0</v>
      </c>
      <c r="S77" s="180">
        <f t="shared" si="45"/>
        <v>0</v>
      </c>
      <c r="T77" s="180">
        <f t="shared" si="46"/>
        <v>0</v>
      </c>
      <c r="U77" s="1007"/>
      <c r="V77" s="1008"/>
      <c r="W77" s="122"/>
      <c r="X77" s="17" t="s">
        <v>125</v>
      </c>
      <c r="Y77" s="955"/>
      <c r="Z77" s="956"/>
      <c r="AA77" s="956"/>
      <c r="AB77" s="956"/>
      <c r="AC77" s="956"/>
      <c r="AD77" s="957"/>
      <c r="AE77" s="326"/>
      <c r="AF77" s="17" t="s">
        <v>125</v>
      </c>
      <c r="AG77" s="955"/>
      <c r="AH77" s="956"/>
      <c r="AI77" s="956"/>
      <c r="AJ77" s="956"/>
      <c r="AK77" s="956"/>
      <c r="AL77" s="957"/>
      <c r="AM77" s="122"/>
      <c r="AN77" s="17" t="s">
        <v>125</v>
      </c>
      <c r="AO77" s="955"/>
      <c r="AP77" s="956"/>
      <c r="AQ77" s="956"/>
      <c r="AR77" s="956"/>
      <c r="AS77" s="956"/>
      <c r="AT77" s="957"/>
      <c r="AU77" s="122"/>
      <c r="AV77" s="17" t="s">
        <v>125</v>
      </c>
      <c r="AW77" s="955"/>
      <c r="AX77" s="956"/>
      <c r="AY77" s="956"/>
      <c r="AZ77" s="956"/>
      <c r="BA77" s="956"/>
      <c r="BB77" s="957"/>
      <c r="BC77" s="122"/>
    </row>
    <row r="78" spans="1:55" s="17" customFormat="1" ht="14.1" customHeight="1" x14ac:dyDescent="0.25">
      <c r="A78" s="1001"/>
      <c r="B78" s="1002"/>
      <c r="C78" s="75" t="s">
        <v>126</v>
      </c>
      <c r="D78" s="173">
        <v>0</v>
      </c>
      <c r="E78" s="174"/>
      <c r="F78" s="174"/>
      <c r="G78" s="174"/>
      <c r="H78" s="175"/>
      <c r="I78" s="176"/>
      <c r="J78" s="180">
        <f t="shared" si="41"/>
        <v>0</v>
      </c>
      <c r="K78" s="82" t="s">
        <v>124</v>
      </c>
      <c r="L78" s="181"/>
      <c r="M78" s="180">
        <f t="shared" si="42"/>
        <v>0</v>
      </c>
      <c r="N78" s="1169"/>
      <c r="O78" s="180">
        <f t="shared" si="43"/>
        <v>0</v>
      </c>
      <c r="P78" s="1169"/>
      <c r="Q78" s="180">
        <f t="shared" si="44"/>
        <v>0</v>
      </c>
      <c r="R78" s="79">
        <f>(M107/R100)*(S71/5)</f>
        <v>0</v>
      </c>
      <c r="S78" s="180">
        <f t="shared" si="45"/>
        <v>0</v>
      </c>
      <c r="T78" s="180">
        <f t="shared" si="46"/>
        <v>0</v>
      </c>
      <c r="U78" s="1007"/>
      <c r="V78" s="1008"/>
      <c r="W78" s="122"/>
      <c r="X78" s="17" t="s">
        <v>126</v>
      </c>
      <c r="Y78" s="955"/>
      <c r="Z78" s="956"/>
      <c r="AA78" s="956"/>
      <c r="AB78" s="956"/>
      <c r="AC78" s="956"/>
      <c r="AD78" s="957"/>
      <c r="AE78" s="326"/>
      <c r="AF78" s="17" t="s">
        <v>126</v>
      </c>
      <c r="AG78" s="955"/>
      <c r="AH78" s="956"/>
      <c r="AI78" s="956"/>
      <c r="AJ78" s="956"/>
      <c r="AK78" s="956"/>
      <c r="AL78" s="957"/>
      <c r="AM78" s="122"/>
      <c r="AN78" s="17" t="s">
        <v>126</v>
      </c>
      <c r="AO78" s="955"/>
      <c r="AP78" s="956"/>
      <c r="AQ78" s="956"/>
      <c r="AR78" s="956"/>
      <c r="AS78" s="956"/>
      <c r="AT78" s="957"/>
      <c r="AU78" s="122"/>
      <c r="AV78" s="17" t="s">
        <v>126</v>
      </c>
      <c r="AW78" s="955"/>
      <c r="AX78" s="956"/>
      <c r="AY78" s="956"/>
      <c r="AZ78" s="956"/>
      <c r="BA78" s="956"/>
      <c r="BB78" s="957"/>
      <c r="BC78" s="122"/>
    </row>
    <row r="79" spans="1:55" s="17" customFormat="1" ht="14.1" customHeight="1" x14ac:dyDescent="0.25">
      <c r="A79" s="1001"/>
      <c r="B79" s="1002"/>
      <c r="C79" s="75" t="s">
        <v>28</v>
      </c>
      <c r="D79" s="222">
        <f>SUM(A12)*(U1-1)</f>
        <v>9.9999999999999995E-7</v>
      </c>
      <c r="E79" s="174"/>
      <c r="F79" s="174"/>
      <c r="G79" s="174"/>
      <c r="H79" s="175"/>
      <c r="I79" s="176">
        <v>100</v>
      </c>
      <c r="J79" s="180">
        <f t="shared" si="41"/>
        <v>1E-8</v>
      </c>
      <c r="K79" s="82" t="s">
        <v>180</v>
      </c>
      <c r="L79" s="181"/>
      <c r="M79" s="180">
        <f t="shared" si="42"/>
        <v>0</v>
      </c>
      <c r="N79" s="1169"/>
      <c r="O79" s="180">
        <f t="shared" si="43"/>
        <v>0</v>
      </c>
      <c r="P79" s="1169"/>
      <c r="Q79" s="180">
        <f t="shared" si="44"/>
        <v>0</v>
      </c>
      <c r="R79" s="79">
        <v>25</v>
      </c>
      <c r="S79" s="180">
        <f t="shared" si="45"/>
        <v>0</v>
      </c>
      <c r="T79" s="180">
        <f t="shared" si="46"/>
        <v>0</v>
      </c>
      <c r="U79" s="1007"/>
      <c r="V79" s="1008"/>
      <c r="W79" s="122"/>
      <c r="X79" s="17" t="s">
        <v>28</v>
      </c>
      <c r="Y79" s="955"/>
      <c r="Z79" s="956"/>
      <c r="AA79" s="956"/>
      <c r="AB79" s="956"/>
      <c r="AC79" s="956"/>
      <c r="AD79" s="957"/>
      <c r="AE79" s="326"/>
      <c r="AF79" s="17" t="s">
        <v>28</v>
      </c>
      <c r="AG79" s="955"/>
      <c r="AH79" s="956"/>
      <c r="AI79" s="956"/>
      <c r="AJ79" s="956"/>
      <c r="AK79" s="956"/>
      <c r="AL79" s="957"/>
      <c r="AM79" s="122"/>
      <c r="AN79" s="17" t="s">
        <v>28</v>
      </c>
      <c r="AO79" s="955"/>
      <c r="AP79" s="956"/>
      <c r="AQ79" s="956"/>
      <c r="AR79" s="956"/>
      <c r="AS79" s="956"/>
      <c r="AT79" s="957"/>
      <c r="AU79" s="122"/>
      <c r="AV79" s="17" t="s">
        <v>28</v>
      </c>
      <c r="AW79" s="955"/>
      <c r="AX79" s="956"/>
      <c r="AY79" s="956"/>
      <c r="AZ79" s="956"/>
      <c r="BA79" s="956"/>
      <c r="BB79" s="957"/>
      <c r="BC79" s="122"/>
    </row>
    <row r="80" spans="1:55" s="17" customFormat="1" ht="14.1" customHeight="1" x14ac:dyDescent="0.25">
      <c r="A80" s="1001"/>
      <c r="B80" s="1002"/>
      <c r="C80" s="75" t="s">
        <v>38</v>
      </c>
      <c r="D80" s="179">
        <f>ROUNDUP((D81/300),W80)</f>
        <v>1</v>
      </c>
      <c r="E80" s="174"/>
      <c r="F80" s="174"/>
      <c r="G80" s="174"/>
      <c r="H80" s="175"/>
      <c r="I80" s="176"/>
      <c r="J80" s="180">
        <f t="shared" si="41"/>
        <v>1</v>
      </c>
      <c r="K80" s="82" t="s">
        <v>202</v>
      </c>
      <c r="L80" s="181"/>
      <c r="M80" s="180">
        <f t="shared" si="42"/>
        <v>0</v>
      </c>
      <c r="N80" s="1169"/>
      <c r="O80" s="180">
        <f t="shared" si="43"/>
        <v>0</v>
      </c>
      <c r="P80" s="1169"/>
      <c r="Q80" s="180">
        <f t="shared" si="44"/>
        <v>0</v>
      </c>
      <c r="R80" s="79">
        <v>500</v>
      </c>
      <c r="S80" s="180">
        <f t="shared" si="45"/>
        <v>500</v>
      </c>
      <c r="T80" s="180">
        <f t="shared" si="46"/>
        <v>500</v>
      </c>
      <c r="U80" s="1007"/>
      <c r="V80" s="1008"/>
      <c r="W80" s="122">
        <v>0</v>
      </c>
      <c r="X80" s="17" t="s">
        <v>38</v>
      </c>
      <c r="Y80" s="955"/>
      <c r="Z80" s="956"/>
      <c r="AA80" s="956"/>
      <c r="AB80" s="956"/>
      <c r="AC80" s="956"/>
      <c r="AD80" s="957"/>
      <c r="AE80" s="326"/>
      <c r="AF80" s="17" t="s">
        <v>38</v>
      </c>
      <c r="AG80" s="955"/>
      <c r="AH80" s="956"/>
      <c r="AI80" s="956"/>
      <c r="AJ80" s="956"/>
      <c r="AK80" s="956"/>
      <c r="AL80" s="957"/>
      <c r="AM80" s="122"/>
      <c r="AN80" s="17" t="s">
        <v>38</v>
      </c>
      <c r="AO80" s="955"/>
      <c r="AP80" s="956"/>
      <c r="AQ80" s="956"/>
      <c r="AR80" s="956"/>
      <c r="AS80" s="956"/>
      <c r="AT80" s="957"/>
      <c r="AU80" s="122"/>
      <c r="AV80" s="17" t="s">
        <v>38</v>
      </c>
      <c r="AW80" s="955"/>
      <c r="AX80" s="956"/>
      <c r="AY80" s="956"/>
      <c r="AZ80" s="956"/>
      <c r="BA80" s="956"/>
      <c r="BB80" s="957"/>
      <c r="BC80" s="122"/>
    </row>
    <row r="81" spans="1:55" s="17" customFormat="1" ht="14.1" customHeight="1" x14ac:dyDescent="0.25">
      <c r="A81" s="1001"/>
      <c r="B81" s="1002"/>
      <c r="C81" s="75" t="s">
        <v>39</v>
      </c>
      <c r="D81" s="223">
        <f>J12+J13+J14+J18+J19</f>
        <v>3.3500000000000002E-8</v>
      </c>
      <c r="E81" s="174"/>
      <c r="F81" s="174"/>
      <c r="G81" s="174"/>
      <c r="H81" s="175"/>
      <c r="I81" s="176"/>
      <c r="J81" s="180">
        <f t="shared" si="41"/>
        <v>3.3500000000000002E-8</v>
      </c>
      <c r="K81" s="82" t="s">
        <v>40</v>
      </c>
      <c r="L81" s="181"/>
      <c r="M81" s="180">
        <f t="shared" si="42"/>
        <v>0</v>
      </c>
      <c r="N81" s="1169"/>
      <c r="O81" s="180">
        <f t="shared" si="43"/>
        <v>0</v>
      </c>
      <c r="P81" s="1169"/>
      <c r="Q81" s="180">
        <f t="shared" si="44"/>
        <v>0</v>
      </c>
      <c r="R81" s="79">
        <v>2</v>
      </c>
      <c r="S81" s="180">
        <f t="shared" si="45"/>
        <v>0</v>
      </c>
      <c r="T81" s="180">
        <f t="shared" si="46"/>
        <v>0</v>
      </c>
      <c r="U81" s="1007"/>
      <c r="V81" s="1008"/>
      <c r="W81" s="122"/>
      <c r="X81" s="17" t="s">
        <v>39</v>
      </c>
      <c r="Y81" s="955"/>
      <c r="Z81" s="956"/>
      <c r="AA81" s="956"/>
      <c r="AB81" s="956"/>
      <c r="AC81" s="956"/>
      <c r="AD81" s="957"/>
      <c r="AE81" s="326"/>
      <c r="AF81" s="17" t="s">
        <v>39</v>
      </c>
      <c r="AG81" s="955"/>
      <c r="AH81" s="956"/>
      <c r="AI81" s="956"/>
      <c r="AJ81" s="956"/>
      <c r="AK81" s="956"/>
      <c r="AL81" s="957"/>
      <c r="AM81" s="122"/>
      <c r="AN81" s="17" t="s">
        <v>39</v>
      </c>
      <c r="AO81" s="955"/>
      <c r="AP81" s="956"/>
      <c r="AQ81" s="956"/>
      <c r="AR81" s="956"/>
      <c r="AS81" s="956"/>
      <c r="AT81" s="957"/>
      <c r="AU81" s="122"/>
      <c r="AV81" s="17" t="s">
        <v>39</v>
      </c>
      <c r="AW81" s="955"/>
      <c r="AX81" s="956"/>
      <c r="AY81" s="956"/>
      <c r="AZ81" s="956"/>
      <c r="BA81" s="956"/>
      <c r="BB81" s="957"/>
      <c r="BC81" s="122"/>
    </row>
    <row r="82" spans="1:55" s="17" customFormat="1" ht="14.1" customHeight="1" x14ac:dyDescent="0.25">
      <c r="A82" s="1001"/>
      <c r="B82" s="1002"/>
      <c r="C82" s="75" t="s">
        <v>29</v>
      </c>
      <c r="D82" s="179">
        <f>S71</f>
        <v>5.4E-10</v>
      </c>
      <c r="E82" s="174"/>
      <c r="F82" s="174"/>
      <c r="G82" s="174"/>
      <c r="H82" s="175">
        <v>3</v>
      </c>
      <c r="I82" s="176"/>
      <c r="J82" s="180">
        <f t="shared" si="41"/>
        <v>1.62E-9</v>
      </c>
      <c r="K82" s="82" t="s">
        <v>61</v>
      </c>
      <c r="L82" s="181">
        <v>125</v>
      </c>
      <c r="M82" s="180">
        <f t="shared" si="42"/>
        <v>0</v>
      </c>
      <c r="N82" s="1169"/>
      <c r="O82" s="180">
        <f t="shared" si="43"/>
        <v>0</v>
      </c>
      <c r="P82" s="1169"/>
      <c r="Q82" s="180">
        <f t="shared" si="44"/>
        <v>0</v>
      </c>
      <c r="R82" s="79"/>
      <c r="S82" s="180">
        <f t="shared" si="45"/>
        <v>0</v>
      </c>
      <c r="T82" s="180">
        <f t="shared" si="46"/>
        <v>0</v>
      </c>
      <c r="U82" s="1007"/>
      <c r="V82" s="1008"/>
      <c r="W82" s="122"/>
      <c r="X82" s="17" t="s">
        <v>29</v>
      </c>
      <c r="Y82" s="955"/>
      <c r="Z82" s="956"/>
      <c r="AA82" s="956"/>
      <c r="AB82" s="956"/>
      <c r="AC82" s="956"/>
      <c r="AD82" s="957"/>
      <c r="AE82" s="326"/>
      <c r="AF82" s="17" t="s">
        <v>29</v>
      </c>
      <c r="AG82" s="955"/>
      <c r="AH82" s="956"/>
      <c r="AI82" s="956"/>
      <c r="AJ82" s="956"/>
      <c r="AK82" s="956"/>
      <c r="AL82" s="957"/>
      <c r="AM82" s="122"/>
      <c r="AN82" s="17" t="s">
        <v>29</v>
      </c>
      <c r="AO82" s="955"/>
      <c r="AP82" s="956"/>
      <c r="AQ82" s="956"/>
      <c r="AR82" s="956"/>
      <c r="AS82" s="956"/>
      <c r="AT82" s="957"/>
      <c r="AU82" s="122"/>
      <c r="AV82" s="17" t="s">
        <v>29</v>
      </c>
      <c r="AW82" s="955"/>
      <c r="AX82" s="956"/>
      <c r="AY82" s="956"/>
      <c r="AZ82" s="956"/>
      <c r="BA82" s="956"/>
      <c r="BB82" s="957"/>
      <c r="BC82" s="122"/>
    </row>
    <row r="83" spans="1:55" s="17" customFormat="1" ht="14.1" customHeight="1" x14ac:dyDescent="0.25">
      <c r="A83" s="1001"/>
      <c r="B83" s="1002"/>
      <c r="C83" s="75" t="s">
        <v>606</v>
      </c>
      <c r="D83" s="173"/>
      <c r="E83" s="174"/>
      <c r="F83" s="174"/>
      <c r="G83" s="174"/>
      <c r="H83" s="175">
        <v>2</v>
      </c>
      <c r="I83" s="176"/>
      <c r="J83" s="180">
        <f t="shared" si="41"/>
        <v>0</v>
      </c>
      <c r="K83" s="82" t="s">
        <v>196</v>
      </c>
      <c r="L83" s="181"/>
      <c r="M83" s="180">
        <f t="shared" si="42"/>
        <v>0</v>
      </c>
      <c r="N83" s="1169"/>
      <c r="O83" s="180">
        <f t="shared" si="43"/>
        <v>0</v>
      </c>
      <c r="P83" s="1169"/>
      <c r="Q83" s="180">
        <f t="shared" si="44"/>
        <v>0</v>
      </c>
      <c r="R83" s="79">
        <v>20</v>
      </c>
      <c r="S83" s="180">
        <f t="shared" si="45"/>
        <v>0</v>
      </c>
      <c r="T83" s="180">
        <f t="shared" si="46"/>
        <v>0</v>
      </c>
      <c r="U83" s="1007"/>
      <c r="V83" s="1008"/>
      <c r="W83" s="122"/>
      <c r="X83" s="17" t="s">
        <v>606</v>
      </c>
      <c r="Y83" s="955"/>
      <c r="Z83" s="956"/>
      <c r="AA83" s="956"/>
      <c r="AB83" s="956"/>
      <c r="AC83" s="956"/>
      <c r="AD83" s="957"/>
      <c r="AE83" s="326"/>
      <c r="AF83" s="17" t="s">
        <v>606</v>
      </c>
      <c r="AG83" s="955"/>
      <c r="AH83" s="956"/>
      <c r="AI83" s="956"/>
      <c r="AJ83" s="956"/>
      <c r="AK83" s="956"/>
      <c r="AL83" s="957"/>
      <c r="AM83" s="122"/>
      <c r="AN83" s="17" t="s">
        <v>606</v>
      </c>
      <c r="AO83" s="955"/>
      <c r="AP83" s="956"/>
      <c r="AQ83" s="956"/>
      <c r="AR83" s="956"/>
      <c r="AS83" s="956"/>
      <c r="AT83" s="957"/>
      <c r="AU83" s="122"/>
      <c r="AV83" s="17" t="s">
        <v>606</v>
      </c>
      <c r="AW83" s="955"/>
      <c r="AX83" s="956"/>
      <c r="AY83" s="956"/>
      <c r="AZ83" s="956"/>
      <c r="BA83" s="956"/>
      <c r="BB83" s="957"/>
      <c r="BC83" s="122"/>
    </row>
    <row r="84" spans="1:55" s="17" customFormat="1" ht="14.1" customHeight="1" x14ac:dyDescent="0.25">
      <c r="A84" s="1001"/>
      <c r="B84" s="1002"/>
      <c r="C84" s="75" t="s">
        <v>607</v>
      </c>
      <c r="D84" s="173"/>
      <c r="E84" s="174"/>
      <c r="F84" s="174"/>
      <c r="G84" s="174"/>
      <c r="H84" s="175">
        <v>2</v>
      </c>
      <c r="I84" s="176"/>
      <c r="J84" s="180">
        <f t="shared" si="41"/>
        <v>0</v>
      </c>
      <c r="K84" s="82" t="s">
        <v>196</v>
      </c>
      <c r="L84" s="181"/>
      <c r="M84" s="180">
        <f t="shared" si="42"/>
        <v>0</v>
      </c>
      <c r="N84" s="1169"/>
      <c r="O84" s="180">
        <f t="shared" si="43"/>
        <v>0</v>
      </c>
      <c r="P84" s="1169"/>
      <c r="Q84" s="180">
        <f t="shared" si="44"/>
        <v>0</v>
      </c>
      <c r="R84" s="79">
        <v>20</v>
      </c>
      <c r="S84" s="180">
        <f t="shared" si="45"/>
        <v>0</v>
      </c>
      <c r="T84" s="180">
        <f t="shared" si="46"/>
        <v>0</v>
      </c>
      <c r="U84" s="1007"/>
      <c r="V84" s="1008"/>
      <c r="W84" s="122"/>
      <c r="X84" s="17" t="s">
        <v>607</v>
      </c>
      <c r="Y84" s="955"/>
      <c r="Z84" s="956"/>
      <c r="AA84" s="956"/>
      <c r="AB84" s="956"/>
      <c r="AC84" s="956"/>
      <c r="AD84" s="957"/>
      <c r="AE84" s="326"/>
      <c r="AF84" s="17" t="s">
        <v>607</v>
      </c>
      <c r="AG84" s="955"/>
      <c r="AH84" s="956"/>
      <c r="AI84" s="956"/>
      <c r="AJ84" s="956"/>
      <c r="AK84" s="956"/>
      <c r="AL84" s="957"/>
      <c r="AM84" s="122"/>
      <c r="AN84" s="17" t="s">
        <v>607</v>
      </c>
      <c r="AO84" s="955"/>
      <c r="AP84" s="956"/>
      <c r="AQ84" s="956"/>
      <c r="AR84" s="956"/>
      <c r="AS84" s="956"/>
      <c r="AT84" s="957"/>
      <c r="AU84" s="122"/>
      <c r="AV84" s="17" t="s">
        <v>607</v>
      </c>
      <c r="AW84" s="955"/>
      <c r="AX84" s="956"/>
      <c r="AY84" s="956"/>
      <c r="AZ84" s="956"/>
      <c r="BA84" s="956"/>
      <c r="BB84" s="957"/>
      <c r="BC84" s="122"/>
    </row>
    <row r="85" spans="1:55" s="17" customFormat="1" ht="14.1" customHeight="1" x14ac:dyDescent="0.25">
      <c r="A85" s="1003"/>
      <c r="B85" s="1004"/>
      <c r="C85" s="75" t="s">
        <v>608</v>
      </c>
      <c r="D85" s="173"/>
      <c r="E85" s="287">
        <f>ROUNDUP(S71/5,0)</f>
        <v>1</v>
      </c>
      <c r="F85" s="174"/>
      <c r="G85" s="174"/>
      <c r="H85" s="175">
        <v>2</v>
      </c>
      <c r="I85" s="176"/>
      <c r="J85" s="180">
        <f t="shared" si="41"/>
        <v>0</v>
      </c>
      <c r="K85" s="82" t="s">
        <v>196</v>
      </c>
      <c r="L85" s="181"/>
      <c r="M85" s="180">
        <f t="shared" si="42"/>
        <v>0</v>
      </c>
      <c r="N85" s="1169"/>
      <c r="O85" s="180">
        <f t="shared" si="43"/>
        <v>0</v>
      </c>
      <c r="P85" s="1169"/>
      <c r="Q85" s="180">
        <f t="shared" si="44"/>
        <v>0</v>
      </c>
      <c r="R85" s="79">
        <v>20</v>
      </c>
      <c r="S85" s="180">
        <f t="shared" si="45"/>
        <v>0</v>
      </c>
      <c r="T85" s="180">
        <f t="shared" si="46"/>
        <v>0</v>
      </c>
      <c r="U85" s="1007"/>
      <c r="V85" s="1008"/>
      <c r="W85" s="122"/>
      <c r="X85" s="17" t="s">
        <v>608</v>
      </c>
      <c r="Y85" s="955"/>
      <c r="Z85" s="956"/>
      <c r="AA85" s="956"/>
      <c r="AB85" s="956"/>
      <c r="AC85" s="956"/>
      <c r="AD85" s="957"/>
      <c r="AE85" s="326"/>
      <c r="AF85" s="17" t="s">
        <v>608</v>
      </c>
      <c r="AG85" s="955"/>
      <c r="AH85" s="956"/>
      <c r="AI85" s="956"/>
      <c r="AJ85" s="956"/>
      <c r="AK85" s="956"/>
      <c r="AL85" s="957"/>
      <c r="AM85" s="122"/>
      <c r="AN85" s="17" t="s">
        <v>608</v>
      </c>
      <c r="AO85" s="955"/>
      <c r="AP85" s="956"/>
      <c r="AQ85" s="956"/>
      <c r="AR85" s="956"/>
      <c r="AS85" s="956"/>
      <c r="AT85" s="957"/>
      <c r="AU85" s="122"/>
      <c r="AV85" s="17" t="s">
        <v>608</v>
      </c>
      <c r="AW85" s="955"/>
      <c r="AX85" s="956"/>
      <c r="AY85" s="956"/>
      <c r="AZ85" s="956"/>
      <c r="BA85" s="956"/>
      <c r="BB85" s="957"/>
      <c r="BC85" s="122"/>
    </row>
    <row r="86" spans="1:55" s="17" customFormat="1" ht="14.1" customHeight="1" x14ac:dyDescent="0.25">
      <c r="A86" s="996" t="s">
        <v>1207</v>
      </c>
      <c r="B86" s="329">
        <v>0</v>
      </c>
      <c r="C86" s="75" t="s">
        <v>127</v>
      </c>
      <c r="D86" s="286">
        <f>B86</f>
        <v>0</v>
      </c>
      <c r="E86" s="287">
        <f>ROUNDUP(S71/5,0)</f>
        <v>1</v>
      </c>
      <c r="F86" s="288">
        <v>4</v>
      </c>
      <c r="G86" s="174"/>
      <c r="I86" s="176"/>
      <c r="J86" s="180">
        <f t="shared" si="41"/>
        <v>0</v>
      </c>
      <c r="K86" s="330" t="s">
        <v>61</v>
      </c>
      <c r="L86" s="181">
        <v>40</v>
      </c>
      <c r="M86" s="180">
        <f t="shared" si="42"/>
        <v>0</v>
      </c>
      <c r="N86" s="1169"/>
      <c r="O86" s="180">
        <f t="shared" si="43"/>
        <v>0</v>
      </c>
      <c r="P86" s="1169"/>
      <c r="Q86" s="180">
        <f t="shared" si="44"/>
        <v>0</v>
      </c>
      <c r="R86" s="79"/>
      <c r="S86" s="180">
        <f t="shared" si="45"/>
        <v>0</v>
      </c>
      <c r="T86" s="180">
        <f t="shared" si="46"/>
        <v>0</v>
      </c>
      <c r="U86" s="1007"/>
      <c r="V86" s="1008"/>
      <c r="W86" s="122"/>
      <c r="X86" s="17" t="s">
        <v>127</v>
      </c>
      <c r="Y86" s="955"/>
      <c r="Z86" s="956"/>
      <c r="AA86" s="956"/>
      <c r="AB86" s="956"/>
      <c r="AC86" s="956"/>
      <c r="AD86" s="957"/>
      <c r="AE86" s="326"/>
      <c r="AF86" s="17" t="s">
        <v>127</v>
      </c>
      <c r="AG86" s="955"/>
      <c r="AH86" s="956"/>
      <c r="AI86" s="956"/>
      <c r="AJ86" s="956"/>
      <c r="AK86" s="956"/>
      <c r="AL86" s="957"/>
      <c r="AM86" s="122"/>
      <c r="AN86" s="17" t="s">
        <v>127</v>
      </c>
      <c r="AO86" s="955"/>
      <c r="AP86" s="956"/>
      <c r="AQ86" s="956"/>
      <c r="AR86" s="956"/>
      <c r="AS86" s="956"/>
      <c r="AT86" s="957"/>
      <c r="AU86" s="122"/>
      <c r="AV86" s="17" t="s">
        <v>127</v>
      </c>
      <c r="AW86" s="955"/>
      <c r="AX86" s="956"/>
      <c r="AY86" s="956"/>
      <c r="AZ86" s="956"/>
      <c r="BA86" s="956"/>
      <c r="BB86" s="957"/>
      <c r="BC86" s="122"/>
    </row>
    <row r="87" spans="1:55" s="17" customFormat="1" ht="14.1" customHeight="1" x14ac:dyDescent="0.25">
      <c r="A87" s="997"/>
      <c r="B87" s="977">
        <v>0</v>
      </c>
      <c r="C87" s="75" t="s">
        <v>128</v>
      </c>
      <c r="D87" s="286">
        <f>B87</f>
        <v>0</v>
      </c>
      <c r="E87" s="287">
        <f>ROUNDUP(S71,0)</f>
        <v>1</v>
      </c>
      <c r="F87" s="287">
        <f>F86/2</f>
        <v>2</v>
      </c>
      <c r="G87" s="174"/>
      <c r="I87" s="176"/>
      <c r="J87" s="180">
        <f t="shared" si="41"/>
        <v>0</v>
      </c>
      <c r="K87" s="330" t="s">
        <v>204</v>
      </c>
      <c r="L87" s="181">
        <v>200</v>
      </c>
      <c r="M87" s="180">
        <f t="shared" si="42"/>
        <v>0</v>
      </c>
      <c r="N87" s="1169"/>
      <c r="O87" s="180">
        <f t="shared" si="43"/>
        <v>0</v>
      </c>
      <c r="P87" s="1169"/>
      <c r="Q87" s="180">
        <f t="shared" si="44"/>
        <v>0</v>
      </c>
      <c r="R87" s="79"/>
      <c r="S87" s="180">
        <f t="shared" si="45"/>
        <v>0</v>
      </c>
      <c r="T87" s="180">
        <f t="shared" si="46"/>
        <v>0</v>
      </c>
      <c r="U87" s="1007"/>
      <c r="V87" s="1008"/>
      <c r="W87" s="122"/>
      <c r="X87" s="17" t="s">
        <v>128</v>
      </c>
      <c r="Y87" s="955"/>
      <c r="Z87" s="956"/>
      <c r="AA87" s="956"/>
      <c r="AB87" s="956"/>
      <c r="AC87" s="956"/>
      <c r="AD87" s="957"/>
      <c r="AE87" s="326"/>
      <c r="AF87" s="17" t="s">
        <v>128</v>
      </c>
      <c r="AG87" s="955"/>
      <c r="AH87" s="956"/>
      <c r="AI87" s="956"/>
      <c r="AJ87" s="956"/>
      <c r="AK87" s="956"/>
      <c r="AL87" s="957"/>
      <c r="AM87" s="122"/>
      <c r="AN87" s="17" t="s">
        <v>128</v>
      </c>
      <c r="AO87" s="955"/>
      <c r="AP87" s="956"/>
      <c r="AQ87" s="956"/>
      <c r="AR87" s="956"/>
      <c r="AS87" s="956"/>
      <c r="AT87" s="957"/>
      <c r="AU87" s="122"/>
      <c r="AV87" s="17" t="s">
        <v>128</v>
      </c>
      <c r="AW87" s="955"/>
      <c r="AX87" s="956"/>
      <c r="AY87" s="956"/>
      <c r="AZ87" s="956"/>
      <c r="BA87" s="956"/>
      <c r="BB87" s="957"/>
      <c r="BC87" s="122"/>
    </row>
    <row r="88" spans="1:55" s="17" customFormat="1" ht="14.1" customHeight="1" x14ac:dyDescent="0.25">
      <c r="A88" s="998"/>
      <c r="B88" s="978"/>
      <c r="C88" s="75" t="s">
        <v>1182</v>
      </c>
      <c r="D88" s="286">
        <f>B88</f>
        <v>0</v>
      </c>
      <c r="E88" s="287">
        <f>ROUNDUP(S71,0)</f>
        <v>1</v>
      </c>
      <c r="F88" s="287">
        <f>F86</f>
        <v>4</v>
      </c>
      <c r="G88" s="174"/>
      <c r="I88" s="176"/>
      <c r="J88" s="180">
        <f t="shared" si="41"/>
        <v>0</v>
      </c>
      <c r="K88" s="330" t="s">
        <v>204</v>
      </c>
      <c r="L88" s="181">
        <v>70</v>
      </c>
      <c r="M88" s="180">
        <f t="shared" si="42"/>
        <v>0</v>
      </c>
      <c r="N88" s="1170"/>
      <c r="O88" s="180">
        <f t="shared" si="43"/>
        <v>0</v>
      </c>
      <c r="P88" s="1170"/>
      <c r="Q88" s="180">
        <f t="shared" si="44"/>
        <v>0</v>
      </c>
      <c r="R88" s="79"/>
      <c r="S88" s="180">
        <f t="shared" si="45"/>
        <v>0</v>
      </c>
      <c r="T88" s="180">
        <f t="shared" si="46"/>
        <v>0</v>
      </c>
      <c r="U88" s="1009"/>
      <c r="V88" s="1010"/>
      <c r="W88" s="122"/>
      <c r="X88" s="75" t="s">
        <v>1182</v>
      </c>
      <c r="Y88" s="958"/>
      <c r="Z88" s="959"/>
      <c r="AA88" s="959"/>
      <c r="AB88" s="959"/>
      <c r="AC88" s="959"/>
      <c r="AD88" s="960"/>
      <c r="AE88" s="326"/>
      <c r="AF88" s="75" t="s">
        <v>1182</v>
      </c>
      <c r="AG88" s="958"/>
      <c r="AH88" s="959"/>
      <c r="AI88" s="959"/>
      <c r="AJ88" s="959"/>
      <c r="AK88" s="959"/>
      <c r="AL88" s="960"/>
      <c r="AM88" s="122"/>
      <c r="AN88" s="75" t="s">
        <v>1182</v>
      </c>
      <c r="AO88" s="958"/>
      <c r="AP88" s="959"/>
      <c r="AQ88" s="959"/>
      <c r="AR88" s="959"/>
      <c r="AS88" s="959"/>
      <c r="AT88" s="960"/>
      <c r="AU88" s="122"/>
      <c r="AV88" s="75" t="s">
        <v>1182</v>
      </c>
      <c r="AW88" s="958"/>
      <c r="AX88" s="959"/>
      <c r="AY88" s="959"/>
      <c r="AZ88" s="959"/>
      <c r="BA88" s="959"/>
      <c r="BB88" s="960"/>
      <c r="BC88" s="122"/>
    </row>
    <row r="89" spans="1:55" s="17" customFormat="1" ht="5.25" customHeight="1" x14ac:dyDescent="0.25">
      <c r="A89" s="979"/>
      <c r="B89" s="979"/>
      <c r="C89" s="979"/>
      <c r="D89" s="979"/>
      <c r="E89" s="979"/>
      <c r="F89" s="979"/>
      <c r="G89" s="979"/>
      <c r="H89" s="979"/>
      <c r="I89" s="979"/>
      <c r="J89" s="979"/>
      <c r="K89" s="979"/>
      <c r="L89" s="979"/>
      <c r="M89" s="979"/>
      <c r="N89" s="979"/>
      <c r="O89" s="979"/>
      <c r="P89" s="979"/>
      <c r="Q89" s="979"/>
      <c r="R89" s="979"/>
      <c r="S89" s="979"/>
      <c r="T89" s="979"/>
      <c r="U89" s="979"/>
      <c r="V89" s="980"/>
      <c r="W89" s="122"/>
      <c r="X89" s="947"/>
      <c r="Y89" s="1024"/>
      <c r="Z89" s="1024"/>
      <c r="AA89" s="1024"/>
      <c r="AB89" s="1024"/>
      <c r="AC89" s="1024"/>
      <c r="AD89" s="1024"/>
      <c r="AE89" s="1025"/>
      <c r="AF89" s="947"/>
      <c r="AG89" s="1024"/>
      <c r="AH89" s="1024"/>
      <c r="AI89" s="1024"/>
      <c r="AJ89" s="1024"/>
      <c r="AK89" s="1024"/>
      <c r="AL89" s="1024"/>
      <c r="AM89" s="295"/>
      <c r="AN89" s="961"/>
      <c r="AO89" s="961"/>
      <c r="AP89" s="961"/>
      <c r="AQ89" s="961"/>
      <c r="AR89" s="961"/>
      <c r="AS89" s="961"/>
      <c r="AT89" s="961"/>
      <c r="AU89" s="295"/>
      <c r="AV89" s="961"/>
      <c r="AW89" s="961"/>
      <c r="AX89" s="961"/>
      <c r="AY89" s="961"/>
      <c r="AZ89" s="961"/>
      <c r="BA89" s="961"/>
      <c r="BB89" s="961"/>
      <c r="BC89" s="295"/>
    </row>
    <row r="90" spans="1:55" s="17" customFormat="1" ht="14.1" customHeight="1" x14ac:dyDescent="0.25">
      <c r="A90" s="778">
        <f>T72</f>
        <v>0</v>
      </c>
      <c r="B90" s="779" t="s">
        <v>10336</v>
      </c>
      <c r="C90" s="331" t="s">
        <v>80</v>
      </c>
      <c r="D90" s="981">
        <v>0.04</v>
      </c>
      <c r="E90" s="982"/>
      <c r="F90" s="982"/>
      <c r="G90" s="982"/>
      <c r="H90" s="982"/>
      <c r="I90" s="982"/>
      <c r="J90" s="982">
        <f>IF(D90&lt;&gt;0,D90,0)*IF(E90&lt;&gt;0,E90,1)*IF(F90&lt;&gt;0,F90,1)*IF(G90&lt;&gt;0,G90,1)*IF(H90&lt;&gt;0,H90,1)/IF(I90&lt;&gt;0,I90,1)</f>
        <v>0.04</v>
      </c>
      <c r="K90" s="982"/>
      <c r="L90" s="982"/>
      <c r="M90" s="982">
        <f>ROUND(J90*L90,0)</f>
        <v>0</v>
      </c>
      <c r="N90" s="982"/>
      <c r="O90" s="982">
        <f>ROUND(J90*N90,0)</f>
        <v>0</v>
      </c>
      <c r="P90" s="982"/>
      <c r="Q90" s="982">
        <f>ROUND(J90*P90,0)</f>
        <v>0</v>
      </c>
      <c r="R90" s="982"/>
      <c r="S90" s="983">
        <f>ROUND(J90*R90,0)</f>
        <v>0</v>
      </c>
      <c r="T90" s="320">
        <f>SUM(U11+U40+U71)*D90</f>
        <v>20</v>
      </c>
      <c r="U90" s="332">
        <f>T90</f>
        <v>20</v>
      </c>
      <c r="V90" s="299">
        <f>U90/S2</f>
        <v>1851851851.8518519</v>
      </c>
      <c r="W90" s="122"/>
      <c r="X90" s="333" t="s">
        <v>80</v>
      </c>
      <c r="Y90" s="963">
        <f>D90</f>
        <v>0.04</v>
      </c>
      <c r="Z90" s="1027"/>
      <c r="AA90" s="1028"/>
      <c r="AB90" s="320">
        <f>SUM(AC11:AC88)*$Y$90</f>
        <v>20.000000090429893</v>
      </c>
      <c r="AC90" s="324">
        <f>AB90</f>
        <v>20.000000090429893</v>
      </c>
      <c r="AD90" s="299">
        <f>AC90/$S$2</f>
        <v>1851851860.2249901</v>
      </c>
      <c r="AE90" s="334"/>
      <c r="AF90" s="333" t="s">
        <v>80</v>
      </c>
      <c r="AG90" s="1033">
        <f>D90</f>
        <v>0.04</v>
      </c>
      <c r="AH90" s="1034"/>
      <c r="AI90" s="1035"/>
      <c r="AJ90" s="320">
        <f>SUM(AK11:AK88)*$AG$90</f>
        <v>20.000000116176661</v>
      </c>
      <c r="AK90" s="324">
        <f>AJ90</f>
        <v>20.000000116176661</v>
      </c>
      <c r="AL90" s="299">
        <f>AK90/$S$2</f>
        <v>1851851862.6089504</v>
      </c>
      <c r="AM90" s="122"/>
      <c r="AN90" s="333" t="s">
        <v>80</v>
      </c>
      <c r="AO90" s="963">
        <f>D90</f>
        <v>0.04</v>
      </c>
      <c r="AP90" s="964"/>
      <c r="AQ90" s="965"/>
      <c r="AR90" s="320">
        <f>SUM(AS11:AS88)*$AO$90</f>
        <v>20.000000063319007</v>
      </c>
      <c r="AS90" s="324">
        <f>AR90</f>
        <v>20.000000063319007</v>
      </c>
      <c r="AT90" s="299">
        <f>AS90/$S$2</f>
        <v>1851851857.7147231</v>
      </c>
      <c r="AU90" s="122"/>
      <c r="AV90" s="333" t="s">
        <v>80</v>
      </c>
      <c r="AW90" s="963">
        <f>D90</f>
        <v>0.04</v>
      </c>
      <c r="AX90" s="964"/>
      <c r="AY90" s="965"/>
      <c r="AZ90" s="320">
        <f>SUM(BA11:BA88)*$AW$90</f>
        <v>20.000000259406399</v>
      </c>
      <c r="BA90" s="324">
        <f>AZ90</f>
        <v>20.000000259406399</v>
      </c>
      <c r="BB90" s="299">
        <f>BA90/$S$2</f>
        <v>1851851875.8709631</v>
      </c>
      <c r="BC90" s="122"/>
    </row>
    <row r="91" spans="1:55" s="17" customFormat="1" ht="5.25" customHeight="1" x14ac:dyDescent="0.25">
      <c r="A91" s="979"/>
      <c r="B91" s="979"/>
      <c r="C91" s="979"/>
      <c r="D91" s="979"/>
      <c r="E91" s="979"/>
      <c r="F91" s="979"/>
      <c r="G91" s="979"/>
      <c r="H91" s="979"/>
      <c r="I91" s="979"/>
      <c r="J91" s="979"/>
      <c r="K91" s="979"/>
      <c r="L91" s="979"/>
      <c r="M91" s="979"/>
      <c r="N91" s="979"/>
      <c r="O91" s="979"/>
      <c r="P91" s="979"/>
      <c r="Q91" s="979"/>
      <c r="R91" s="979"/>
      <c r="S91" s="979"/>
      <c r="T91" s="979"/>
      <c r="U91" s="979"/>
      <c r="V91" s="980"/>
      <c r="W91" s="122"/>
      <c r="X91" s="947"/>
      <c r="Y91" s="947"/>
      <c r="Z91" s="947"/>
      <c r="AA91" s="947"/>
      <c r="AB91" s="947"/>
      <c r="AC91" s="947"/>
      <c r="AD91" s="947"/>
      <c r="AE91" s="1025"/>
      <c r="AF91" s="947"/>
      <c r="AG91" s="947"/>
      <c r="AH91" s="947"/>
      <c r="AI91" s="947"/>
      <c r="AJ91" s="947"/>
      <c r="AK91" s="947"/>
      <c r="AL91" s="947"/>
      <c r="AM91" s="295"/>
      <c r="AN91" s="961"/>
      <c r="AO91" s="961"/>
      <c r="AP91" s="961"/>
      <c r="AQ91" s="961"/>
      <c r="AR91" s="961"/>
      <c r="AS91" s="961"/>
      <c r="AT91" s="961"/>
      <c r="AU91" s="295"/>
      <c r="AV91" s="961"/>
      <c r="AW91" s="961"/>
      <c r="AX91" s="961"/>
      <c r="AY91" s="961"/>
      <c r="AZ91" s="961"/>
      <c r="BA91" s="961"/>
      <c r="BB91" s="961"/>
      <c r="BC91" s="295"/>
    </row>
    <row r="92" spans="1:55" s="17" customFormat="1" ht="14.1" customHeight="1" x14ac:dyDescent="0.25">
      <c r="A92" s="889" t="s">
        <v>10225</v>
      </c>
      <c r="B92" s="890"/>
      <c r="C92" s="331" t="s">
        <v>30</v>
      </c>
      <c r="D92" s="912"/>
      <c r="E92" s="913"/>
      <c r="F92" s="913"/>
      <c r="G92" s="913"/>
      <c r="H92" s="913"/>
      <c r="I92" s="913"/>
      <c r="J92" s="913">
        <f>IF(D92&lt;&gt;0,D92,0)*IF(E92&lt;&gt;0,E92,1)*IF(F92&lt;&gt;0,F92,1)*IF(G92&lt;&gt;0,G92,1)*IF(H92&lt;&gt;0,H92,1)/IF(I92&lt;&gt;0,I92,1)</f>
        <v>0</v>
      </c>
      <c r="K92" s="913"/>
      <c r="L92" s="913"/>
      <c r="M92" s="913">
        <f>ROUND(J92*L92,0)</f>
        <v>0</v>
      </c>
      <c r="N92" s="913"/>
      <c r="O92" s="913">
        <f>ROUND(J92*N92,0)</f>
        <v>0</v>
      </c>
      <c r="P92" s="913"/>
      <c r="Q92" s="913">
        <f>ROUND(J92*P92,0)</f>
        <v>0</v>
      </c>
      <c r="R92" s="913"/>
      <c r="S92" s="914">
        <f>ROUND(J92*R92,0)</f>
        <v>0</v>
      </c>
      <c r="T92" s="320">
        <f>SUM(U11+U40+U71)+T90</f>
        <v>520</v>
      </c>
      <c r="U92" s="891"/>
      <c r="V92" s="892"/>
      <c r="W92" s="122"/>
      <c r="X92" s="333" t="s">
        <v>30</v>
      </c>
      <c r="Y92" s="903" t="str">
        <f>X12</f>
        <v>Malarkey Vista</v>
      </c>
      <c r="Z92" s="1029"/>
      <c r="AA92" s="1029"/>
      <c r="AB92" s="320">
        <f>SUM(AC11:AC90)</f>
        <v>520.00000235117727</v>
      </c>
      <c r="AC92" s="909"/>
      <c r="AD92" s="910"/>
      <c r="AE92" s="335"/>
      <c r="AF92" s="333" t="s">
        <v>30</v>
      </c>
      <c r="AG92" s="900" t="str">
        <f>AF12</f>
        <v>Malarkey Legacy</v>
      </c>
      <c r="AH92" s="901"/>
      <c r="AI92" s="902"/>
      <c r="AJ92" s="336">
        <f>SUM(AK11:AK90)</f>
        <v>520.00000302059323</v>
      </c>
      <c r="AK92" s="909"/>
      <c r="AL92" s="910"/>
      <c r="AM92" s="122"/>
      <c r="AN92" s="333" t="s">
        <v>30</v>
      </c>
      <c r="AO92" s="900" t="str">
        <f>AN12</f>
        <v>OC Durations</v>
      </c>
      <c r="AP92" s="901"/>
      <c r="AQ92" s="902"/>
      <c r="AR92" s="336">
        <f>SUM(AS11:AS90)</f>
        <v>520.00000164629409</v>
      </c>
      <c r="AS92" s="909"/>
      <c r="AT92" s="910"/>
      <c r="AU92" s="122"/>
      <c r="AV92" s="333" t="s">
        <v>30</v>
      </c>
      <c r="AW92" s="900" t="str">
        <f>AV12</f>
        <v>Euroshield Beaumont</v>
      </c>
      <c r="AX92" s="901"/>
      <c r="AY92" s="902"/>
      <c r="AZ92" s="336">
        <f>SUM(BA11:BA90)</f>
        <v>520.00000674456635</v>
      </c>
      <c r="BA92" s="909"/>
      <c r="BB92" s="910"/>
      <c r="BC92" s="122"/>
    </row>
    <row r="93" spans="1:55" s="17" customFormat="1" ht="14.1" customHeight="1" x14ac:dyDescent="0.25">
      <c r="A93" s="889"/>
      <c r="B93" s="890"/>
      <c r="C93" s="331" t="s">
        <v>81</v>
      </c>
      <c r="D93" s="895">
        <v>0.22</v>
      </c>
      <c r="E93" s="896"/>
      <c r="F93" s="896"/>
      <c r="G93" s="896"/>
      <c r="H93" s="896"/>
      <c r="I93" s="896"/>
      <c r="J93" s="896"/>
      <c r="K93" s="896"/>
      <c r="L93" s="896"/>
      <c r="M93" s="896"/>
      <c r="N93" s="896"/>
      <c r="O93" s="896"/>
      <c r="P93" s="896"/>
      <c r="Q93" s="896"/>
      <c r="R93" s="896"/>
      <c r="S93" s="897"/>
      <c r="T93" s="320">
        <f>T92*D93</f>
        <v>114.4</v>
      </c>
      <c r="U93" s="893"/>
      <c r="V93" s="894"/>
      <c r="W93" s="122"/>
      <c r="X93" s="333" t="s">
        <v>81</v>
      </c>
      <c r="Y93" s="1030"/>
      <c r="Z93" s="1029"/>
      <c r="AA93" s="1029"/>
      <c r="AB93" s="320">
        <f>AB92*$D$93</f>
        <v>114.400000517259</v>
      </c>
      <c r="AC93" s="893"/>
      <c r="AD93" s="911"/>
      <c r="AE93" s="130"/>
      <c r="AF93" s="333" t="s">
        <v>81</v>
      </c>
      <c r="AG93" s="903"/>
      <c r="AH93" s="904"/>
      <c r="AI93" s="905"/>
      <c r="AJ93" s="336">
        <f>AJ92*$D$93</f>
        <v>114.40000066453051</v>
      </c>
      <c r="AK93" s="893"/>
      <c r="AL93" s="911"/>
      <c r="AM93" s="122"/>
      <c r="AN93" s="333" t="s">
        <v>81</v>
      </c>
      <c r="AO93" s="903"/>
      <c r="AP93" s="904"/>
      <c r="AQ93" s="905"/>
      <c r="AR93" s="336">
        <f>AR92*$D$93</f>
        <v>114.4000003621847</v>
      </c>
      <c r="AS93" s="893"/>
      <c r="AT93" s="911"/>
      <c r="AU93" s="122"/>
      <c r="AV93" s="333" t="s">
        <v>81</v>
      </c>
      <c r="AW93" s="903"/>
      <c r="AX93" s="904"/>
      <c r="AY93" s="905"/>
      <c r="AZ93" s="336">
        <f>AZ92*$D$93</f>
        <v>114.4000014838046</v>
      </c>
      <c r="BA93" s="893"/>
      <c r="BB93" s="911"/>
      <c r="BC93" s="122"/>
    </row>
    <row r="94" spans="1:55" s="17" customFormat="1" ht="14.1" customHeight="1" x14ac:dyDescent="0.25">
      <c r="A94" s="889"/>
      <c r="B94" s="890"/>
      <c r="C94" s="331" t="s">
        <v>31</v>
      </c>
      <c r="D94" s="850" t="s">
        <v>10236</v>
      </c>
      <c r="E94" s="851"/>
      <c r="F94" s="851"/>
      <c r="G94" s="851"/>
      <c r="H94" s="851"/>
      <c r="I94" s="851"/>
      <c r="J94" s="694">
        <f>(A12)/100</f>
        <v>1E-8</v>
      </c>
      <c r="K94" s="852" t="s">
        <v>10237</v>
      </c>
      <c r="L94" s="852"/>
      <c r="M94" s="695">
        <v>3000</v>
      </c>
      <c r="N94" s="696" t="s">
        <v>58</v>
      </c>
      <c r="O94" s="696"/>
      <c r="P94" s="696"/>
      <c r="Q94" s="853">
        <f>M94*J94+U71+T90+T93</f>
        <v>634.4000299999999</v>
      </c>
      <c r="R94" s="854"/>
      <c r="S94" s="855"/>
      <c r="T94" s="320">
        <f>SUM(T92:T93)</f>
        <v>634.4</v>
      </c>
      <c r="U94" s="332">
        <f>T94</f>
        <v>634.4</v>
      </c>
      <c r="V94" s="481">
        <f>U94/S2</f>
        <v>58740740740.740746</v>
      </c>
      <c r="W94" s="122"/>
      <c r="X94" s="333" t="s">
        <v>31</v>
      </c>
      <c r="Y94" s="1030"/>
      <c r="Z94" s="1029"/>
      <c r="AA94" s="1029"/>
      <c r="AB94" s="320">
        <f>SUM(AB92:AB93)</f>
        <v>634.40000286843633</v>
      </c>
      <c r="AC94" s="332">
        <f>AB94</f>
        <v>634.40000286843633</v>
      </c>
      <c r="AD94" s="299">
        <f>AC94/$S$2</f>
        <v>58740741006.3367</v>
      </c>
      <c r="AE94" s="130"/>
      <c r="AF94" s="333" t="s">
        <v>31</v>
      </c>
      <c r="AG94" s="903"/>
      <c r="AH94" s="904"/>
      <c r="AI94" s="905"/>
      <c r="AJ94" s="336">
        <f>SUM(AJ92:AJ93)</f>
        <v>634.40000368512369</v>
      </c>
      <c r="AK94" s="332">
        <f>AJ94</f>
        <v>634.40000368512369</v>
      </c>
      <c r="AL94" s="299">
        <f>AK94/$S$2</f>
        <v>58740741081.955902</v>
      </c>
      <c r="AM94" s="122"/>
      <c r="AN94" s="333" t="s">
        <v>31</v>
      </c>
      <c r="AO94" s="903"/>
      <c r="AP94" s="904"/>
      <c r="AQ94" s="905"/>
      <c r="AR94" s="336">
        <f>SUM(AR92:AR93)</f>
        <v>634.40000200847885</v>
      </c>
      <c r="AS94" s="332">
        <f>AR94</f>
        <v>634.40000200847885</v>
      </c>
      <c r="AT94" s="299">
        <f>AS94/$S$2</f>
        <v>58740740926.711006</v>
      </c>
      <c r="AU94" s="122"/>
      <c r="AV94" s="333" t="s">
        <v>31</v>
      </c>
      <c r="AW94" s="903"/>
      <c r="AX94" s="904"/>
      <c r="AY94" s="905"/>
      <c r="AZ94" s="336">
        <f>SUM(AZ92:AZ93)</f>
        <v>634.40000822837101</v>
      </c>
      <c r="BA94" s="332">
        <f>AZ94</f>
        <v>634.40000822837101</v>
      </c>
      <c r="BB94" s="299">
        <f>BA94/$S$2</f>
        <v>58740741502.626953</v>
      </c>
      <c r="BC94" s="122"/>
    </row>
    <row r="95" spans="1:55" s="17" customFormat="1" ht="15.95" hidden="1" customHeight="1" x14ac:dyDescent="0.25">
      <c r="A95" s="337"/>
      <c r="B95" s="338"/>
      <c r="C95" s="331"/>
      <c r="D95" s="268"/>
      <c r="E95" s="339"/>
      <c r="F95" s="339"/>
      <c r="G95" s="339"/>
      <c r="H95" s="340"/>
      <c r="I95" s="341"/>
      <c r="J95" s="342">
        <f>IF(D95&lt;&gt;0,D95,0)*IF(E95&lt;&gt;0,E95,1)*IF(F95&lt;&gt;0,F95,1)*IF(G95&lt;&gt;0,G95,1)*IF(H95&lt;&gt;0,H95,1)/IF(I95&lt;&gt;0,I95,1)</f>
        <v>0</v>
      </c>
      <c r="K95" s="279"/>
      <c r="L95" s="343"/>
      <c r="M95" s="344">
        <f>ROUND(J95*L95,0)</f>
        <v>0</v>
      </c>
      <c r="N95" s="343"/>
      <c r="O95" s="344">
        <f>ROUND(J95*N95,0)</f>
        <v>0</v>
      </c>
      <c r="P95" s="343"/>
      <c r="Q95" s="344">
        <f>ROUND(J95*P95,0)</f>
        <v>0</v>
      </c>
      <c r="R95" s="343"/>
      <c r="S95" s="344">
        <f>ROUND(J95*R95,0)</f>
        <v>0</v>
      </c>
      <c r="T95" s="342">
        <f>ROUND(M95+O95+Q95+S95,0)</f>
        <v>0</v>
      </c>
      <c r="U95" s="345"/>
      <c r="V95" s="337"/>
      <c r="W95" s="122"/>
      <c r="X95" s="333"/>
      <c r="Y95" s="1030"/>
      <c r="Z95" s="1029"/>
      <c r="AA95" s="1029"/>
      <c r="AE95" s="130"/>
      <c r="AF95" s="333"/>
      <c r="AG95" s="903"/>
      <c r="AH95" s="904"/>
      <c r="AI95" s="905"/>
      <c r="AM95" s="122"/>
      <c r="AN95" s="333"/>
      <c r="AO95" s="903"/>
      <c r="AP95" s="904"/>
      <c r="AQ95" s="905"/>
      <c r="AU95" s="122"/>
      <c r="AV95" s="333"/>
      <c r="AW95" s="903"/>
      <c r="AX95" s="904"/>
      <c r="AY95" s="905"/>
      <c r="BC95" s="122"/>
    </row>
    <row r="96" spans="1:55" s="352" customFormat="1" ht="15.95" customHeight="1" x14ac:dyDescent="0.25">
      <c r="A96" s="778">
        <f>T82</f>
        <v>0</v>
      </c>
      <c r="B96" s="772">
        <v>0.04</v>
      </c>
      <c r="C96" s="773">
        <f>(T93)*B96</f>
        <v>4.5760000000000005</v>
      </c>
      <c r="D96" s="664" t="s">
        <v>19</v>
      </c>
      <c r="E96" s="665"/>
      <c r="F96" s="665"/>
      <c r="G96" s="877" t="s">
        <v>1080</v>
      </c>
      <c r="H96" s="878"/>
      <c r="I96" s="879">
        <f>U11</f>
        <v>0</v>
      </c>
      <c r="J96" s="880"/>
      <c r="K96" s="880"/>
      <c r="L96" s="881"/>
      <c r="M96" s="346" t="s">
        <v>1081</v>
      </c>
      <c r="N96" s="879">
        <f>U40</f>
        <v>0</v>
      </c>
      <c r="O96" s="881"/>
      <c r="P96" s="346" t="s">
        <v>279</v>
      </c>
      <c r="Q96" s="347">
        <f>SUM(U71/U94)</f>
        <v>0.78814627994955866</v>
      </c>
      <c r="R96" s="879">
        <f>U71</f>
        <v>500</v>
      </c>
      <c r="S96" s="881"/>
      <c r="T96" s="348">
        <f>T94</f>
        <v>634.4</v>
      </c>
      <c r="U96" s="898">
        <f>SUM(U94*0.015)+U94</f>
        <v>643.91599999999994</v>
      </c>
      <c r="V96" s="899"/>
      <c r="W96" s="349"/>
      <c r="X96" s="920"/>
      <c r="Y96" s="1031"/>
      <c r="Z96" s="1032"/>
      <c r="AA96" s="1032"/>
      <c r="AB96" s="348">
        <f>AB94</f>
        <v>634.40000286843633</v>
      </c>
      <c r="AC96" s="972">
        <f>SUM(AB96-T96)</f>
        <v>2.8684363542197389E-6</v>
      </c>
      <c r="AD96" s="1026"/>
      <c r="AE96" s="350"/>
      <c r="AF96" s="920"/>
      <c r="AG96" s="906"/>
      <c r="AH96" s="907"/>
      <c r="AI96" s="908"/>
      <c r="AJ96" s="351">
        <f>AJ94</f>
        <v>634.40000368512369</v>
      </c>
      <c r="AK96" s="972">
        <f>SUM(AJ96-T96)</f>
        <v>3.6851237155133276E-6</v>
      </c>
      <c r="AL96" s="973"/>
      <c r="AM96" s="349"/>
      <c r="AN96" s="920"/>
      <c r="AO96" s="906"/>
      <c r="AP96" s="907"/>
      <c r="AQ96" s="908"/>
      <c r="AR96" s="351">
        <f>AR94</f>
        <v>634.40000200847885</v>
      </c>
      <c r="AS96" s="972">
        <f>SUM(AR96-AB96)</f>
        <v>-8.599574812251376E-7</v>
      </c>
      <c r="AT96" s="973"/>
      <c r="AU96" s="349"/>
      <c r="AV96" s="920"/>
      <c r="AW96" s="906"/>
      <c r="AX96" s="907"/>
      <c r="AY96" s="908"/>
      <c r="AZ96" s="351">
        <f>AZ94</f>
        <v>634.40000822837101</v>
      </c>
      <c r="BA96" s="972">
        <f>SUM(AZ96-AJ96)</f>
        <v>4.5432473143591778E-6</v>
      </c>
      <c r="BB96" s="973"/>
      <c r="BC96" s="349"/>
    </row>
    <row r="97" spans="1:55" s="17" customFormat="1" ht="3" customHeight="1" x14ac:dyDescent="0.25">
      <c r="A97" s="928"/>
      <c r="B97" s="928"/>
      <c r="C97" s="928"/>
      <c r="D97" s="928"/>
      <c r="E97" s="928"/>
      <c r="F97" s="928"/>
      <c r="G97" s="928"/>
      <c r="H97" s="928"/>
      <c r="I97" s="928"/>
      <c r="J97" s="928"/>
      <c r="K97" s="928"/>
      <c r="L97" s="928"/>
      <c r="M97" s="928"/>
      <c r="N97" s="928"/>
      <c r="O97" s="928"/>
      <c r="P97" s="928"/>
      <c r="Q97" s="928"/>
      <c r="R97" s="928"/>
      <c r="S97" s="928"/>
      <c r="T97" s="928"/>
      <c r="U97" s="928"/>
      <c r="V97" s="929"/>
      <c r="W97" s="122"/>
      <c r="X97" s="921"/>
      <c r="Y97" s="918"/>
      <c r="Z97" s="919"/>
      <c r="AA97" s="919"/>
      <c r="AB97" s="919"/>
      <c r="AC97" s="919"/>
      <c r="AD97" s="919"/>
      <c r="AE97" s="350"/>
      <c r="AF97" s="921"/>
      <c r="AG97" s="969"/>
      <c r="AH97" s="970"/>
      <c r="AI97" s="970"/>
      <c r="AJ97" s="971"/>
      <c r="AK97" s="970"/>
      <c r="AL97" s="970"/>
      <c r="AM97" s="353"/>
      <c r="AN97" s="921"/>
      <c r="AO97" s="969"/>
      <c r="AP97" s="970"/>
      <c r="AQ97" s="970"/>
      <c r="AR97" s="971"/>
      <c r="AS97" s="970"/>
      <c r="AT97" s="970"/>
      <c r="AU97" s="353"/>
      <c r="AV97" s="921"/>
      <c r="AW97" s="969"/>
      <c r="AX97" s="970"/>
      <c r="AY97" s="970"/>
      <c r="AZ97" s="971"/>
      <c r="BA97" s="970"/>
      <c r="BB97" s="970"/>
      <c r="BC97" s="353"/>
    </row>
    <row r="98" spans="1:55" s="17" customFormat="1" ht="15" customHeight="1" x14ac:dyDescent="0.25">
      <c r="A98" s="886" t="s">
        <v>109</v>
      </c>
      <c r="B98" s="887"/>
      <c r="C98" s="887"/>
      <c r="D98" s="887"/>
      <c r="E98" s="887"/>
      <c r="F98" s="888"/>
      <c r="G98" s="886" t="s">
        <v>126</v>
      </c>
      <c r="H98" s="887"/>
      <c r="I98" s="887"/>
      <c r="J98" s="887"/>
      <c r="K98" s="887"/>
      <c r="L98" s="887"/>
      <c r="M98" s="888"/>
      <c r="N98" s="886" t="s">
        <v>125</v>
      </c>
      <c r="O98" s="887"/>
      <c r="P98" s="887"/>
      <c r="Q98" s="887"/>
      <c r="R98" s="887"/>
      <c r="S98" s="887"/>
      <c r="T98" s="888"/>
      <c r="U98" s="933" t="s">
        <v>10229</v>
      </c>
      <c r="V98" s="934"/>
      <c r="W98" s="122"/>
      <c r="X98" s="922"/>
      <c r="Y98" s="923" t="s">
        <v>750</v>
      </c>
      <c r="Z98" s="924"/>
      <c r="AA98" s="924"/>
      <c r="AB98" s="925"/>
      <c r="AC98" s="1182">
        <f>SUM(AB96*0.012)+AB96</f>
        <v>642.01280290285752</v>
      </c>
      <c r="AD98" s="1183"/>
      <c r="AE98" s="350"/>
      <c r="AF98" s="922"/>
      <c r="AG98" s="923" t="s">
        <v>750</v>
      </c>
      <c r="AH98" s="924"/>
      <c r="AI98" s="967"/>
      <c r="AJ98" s="968"/>
      <c r="AK98" s="972">
        <f>SUM(AJ96*0.012)+AJ96</f>
        <v>642.01280372934514</v>
      </c>
      <c r="AL98" s="973"/>
      <c r="AM98" s="294"/>
      <c r="AN98" s="966"/>
      <c r="AO98" s="974" t="s">
        <v>750</v>
      </c>
      <c r="AP98" s="967"/>
      <c r="AQ98" s="967"/>
      <c r="AR98" s="968"/>
      <c r="AS98" s="972">
        <f>SUM(AR96*0.012)+AR96</f>
        <v>642.01280203258057</v>
      </c>
      <c r="AT98" s="973"/>
      <c r="AU98" s="294"/>
      <c r="AV98" s="966"/>
      <c r="AW98" s="974" t="s">
        <v>750</v>
      </c>
      <c r="AX98" s="967"/>
      <c r="AY98" s="967"/>
      <c r="AZ98" s="968"/>
      <c r="BA98" s="972">
        <f>SUM(AZ96*0.012)+AZ96</f>
        <v>642.01280832711143</v>
      </c>
      <c r="BB98" s="973"/>
      <c r="BC98" s="294"/>
    </row>
    <row r="99" spans="1:55" ht="15" customHeight="1" thickBot="1" x14ac:dyDescent="0.3">
      <c r="A99" s="926" t="s">
        <v>10226</v>
      </c>
      <c r="B99" s="354">
        <v>1.5</v>
      </c>
      <c r="C99" s="355">
        <f>SUM((A12-A136)*B99)</f>
        <v>1.5E-6</v>
      </c>
      <c r="D99" s="915"/>
      <c r="E99" s="916"/>
      <c r="F99" s="917"/>
      <c r="G99" s="1187" t="s">
        <v>609</v>
      </c>
      <c r="H99" s="1188"/>
      <c r="I99" s="1188"/>
      <c r="J99" s="356" t="s">
        <v>195</v>
      </c>
      <c r="K99" s="357" t="s">
        <v>610</v>
      </c>
      <c r="L99" s="357" t="s">
        <v>196</v>
      </c>
      <c r="M99" s="358" t="s">
        <v>198</v>
      </c>
      <c r="N99" s="1184" t="s">
        <v>977</v>
      </c>
      <c r="O99" s="1185"/>
      <c r="P99" s="1186"/>
      <c r="Q99" s="359" t="s">
        <v>195</v>
      </c>
      <c r="R99" s="360" t="s">
        <v>10228</v>
      </c>
      <c r="S99" s="360" t="s">
        <v>196</v>
      </c>
      <c r="T99" s="358" t="s">
        <v>198</v>
      </c>
      <c r="U99" s="935"/>
      <c r="V99" s="936"/>
      <c r="W99" s="361"/>
      <c r="X99" s="697"/>
      <c r="Y99" s="1197" t="s">
        <v>1096</v>
      </c>
      <c r="Z99" s="1198"/>
      <c r="AA99" s="698"/>
      <c r="AB99" s="698"/>
      <c r="AC99" s="698"/>
      <c r="AD99" s="699"/>
      <c r="AE99" s="484"/>
      <c r="AF99" s="490" t="str">
        <f>C12</f>
        <v>GAF Timberline HDZ</v>
      </c>
      <c r="AG99" s="491"/>
      <c r="AH99" s="492"/>
      <c r="AN99" s="362"/>
      <c r="AV99" s="362"/>
    </row>
    <row r="100" spans="1:55" ht="15" customHeight="1" x14ac:dyDescent="0.25">
      <c r="A100" s="927"/>
      <c r="B100" s="1274"/>
      <c r="C100" s="364"/>
      <c r="D100" s="871" t="s">
        <v>110</v>
      </c>
      <c r="E100" s="872"/>
      <c r="F100" s="873"/>
      <c r="G100" s="847" t="s">
        <v>200</v>
      </c>
      <c r="H100" s="859"/>
      <c r="I100" s="859"/>
      <c r="J100" s="365">
        <v>0</v>
      </c>
      <c r="K100" s="366">
        <f>SUM(($S$71+S149+S208+S280)/5)</f>
        <v>2.0256079999999999E-6</v>
      </c>
      <c r="L100" s="323">
        <v>0</v>
      </c>
      <c r="M100" s="367">
        <f>SUM(J100*K100*L100)/4</f>
        <v>0</v>
      </c>
      <c r="N100" s="930" t="s">
        <v>10227</v>
      </c>
      <c r="O100" s="931"/>
      <c r="P100" s="932"/>
      <c r="Q100" s="365">
        <v>200</v>
      </c>
      <c r="R100" s="366">
        <f>SUM(($S$71+S149+S208+S280+S354)/20)</f>
        <v>6.0640199999999998E-7</v>
      </c>
      <c r="S100" s="323">
        <v>0</v>
      </c>
      <c r="T100" s="368">
        <f>SUM(Q100*R100*S100)</f>
        <v>0</v>
      </c>
      <c r="U100" s="935"/>
      <c r="V100" s="936"/>
      <c r="W100" s="361"/>
      <c r="X100" s="369" t="str">
        <f>C12</f>
        <v>GAF Timberline HDZ</v>
      </c>
      <c r="Y100" s="939">
        <f>U96-U94</f>
        <v>9.5159999999999627</v>
      </c>
      <c r="Z100" s="939"/>
      <c r="AA100" s="1194">
        <f>T96*0.015</f>
        <v>9.516</v>
      </c>
      <c r="AB100" s="1194"/>
      <c r="AC100" s="464" t="s">
        <v>1134</v>
      </c>
      <c r="AD100" s="700">
        <f>T94</f>
        <v>634.4</v>
      </c>
      <c r="AE100" s="485"/>
      <c r="AF100" s="486">
        <f>T94</f>
        <v>634.4</v>
      </c>
      <c r="AG100" s="482" t="s">
        <v>11</v>
      </c>
      <c r="AH100" s="487"/>
      <c r="AN100" s="362"/>
      <c r="AV100" s="362"/>
    </row>
    <row r="101" spans="1:55" ht="15" customHeight="1" x14ac:dyDescent="0.25">
      <c r="A101" s="927"/>
      <c r="B101" s="1274"/>
      <c r="C101" s="370">
        <f>SUM(C99:C100)</f>
        <v>1.5E-6</v>
      </c>
      <c r="D101" s="856"/>
      <c r="E101" s="857"/>
      <c r="F101" s="858"/>
      <c r="G101" s="847" t="s">
        <v>970</v>
      </c>
      <c r="H101" s="859"/>
      <c r="I101" s="859"/>
      <c r="J101" s="365">
        <v>0</v>
      </c>
      <c r="K101" s="366"/>
      <c r="L101" s="38">
        <f>L100</f>
        <v>0</v>
      </c>
      <c r="M101" s="367">
        <f>SUM(J101*L101)</f>
        <v>0</v>
      </c>
      <c r="N101" s="930" t="s">
        <v>1046</v>
      </c>
      <c r="O101" s="931"/>
      <c r="P101" s="932"/>
      <c r="Q101" s="365"/>
      <c r="R101" s="366">
        <f>R100/4</f>
        <v>1.5160049999999999E-7</v>
      </c>
      <c r="S101" s="38">
        <f>S100</f>
        <v>0</v>
      </c>
      <c r="T101" s="368">
        <f>SUM(Q101*R101*S101)</f>
        <v>0</v>
      </c>
      <c r="U101" s="935"/>
      <c r="V101" s="936"/>
      <c r="W101" s="361"/>
      <c r="X101" s="369" t="str">
        <f>Y92</f>
        <v>Malarkey Vista</v>
      </c>
      <c r="Y101" s="939">
        <f>AC98-AC94</f>
        <v>7.6128000344211841</v>
      </c>
      <c r="Z101" s="939"/>
      <c r="AD101" s="700">
        <f>AB94</f>
        <v>634.40000286843633</v>
      </c>
      <c r="AE101" s="485"/>
      <c r="AF101" s="486">
        <f>T94*0.05</f>
        <v>31.72</v>
      </c>
      <c r="AG101" s="482" t="s">
        <v>1244</v>
      </c>
      <c r="AH101" s="487"/>
      <c r="AN101" s="362"/>
      <c r="AV101" s="362"/>
    </row>
    <row r="102" spans="1:55" ht="15" customHeight="1" x14ac:dyDescent="0.25">
      <c r="A102" s="927"/>
      <c r="B102" s="1274"/>
      <c r="C102" s="331" t="s">
        <v>611</v>
      </c>
      <c r="D102" s="856"/>
      <c r="E102" s="857"/>
      <c r="F102" s="858"/>
      <c r="G102" s="847" t="s">
        <v>971</v>
      </c>
      <c r="H102" s="859"/>
      <c r="I102" s="859"/>
      <c r="J102" s="365">
        <v>0</v>
      </c>
      <c r="K102" s="366"/>
      <c r="L102" s="426">
        <f>L100</f>
        <v>0</v>
      </c>
      <c r="M102" s="367">
        <f>SUM(J102*L102)</f>
        <v>0</v>
      </c>
      <c r="N102" s="930" t="s">
        <v>1047</v>
      </c>
      <c r="O102" s="931"/>
      <c r="P102" s="932"/>
      <c r="Q102" s="365"/>
      <c r="R102" s="366">
        <f>R100/4</f>
        <v>1.5160049999999999E-7</v>
      </c>
      <c r="S102" s="38">
        <f>S100</f>
        <v>0</v>
      </c>
      <c r="T102" s="368">
        <f>SUM(Q102*R102*S102)</f>
        <v>0</v>
      </c>
      <c r="U102" s="935"/>
      <c r="V102" s="936"/>
      <c r="W102" s="361"/>
      <c r="X102" s="369" t="str">
        <f>AG92</f>
        <v>Malarkey Legacy</v>
      </c>
      <c r="Y102" s="939">
        <f>AK98-AK94</f>
        <v>7.6128000442214443</v>
      </c>
      <c r="Z102" s="939"/>
      <c r="AD102" s="700">
        <f>AJ94</f>
        <v>634.40000368512369</v>
      </c>
      <c r="AE102" s="485"/>
      <c r="AF102" s="486">
        <f>AF101+T94</f>
        <v>666.12</v>
      </c>
      <c r="AG102" s="482" t="s">
        <v>1245</v>
      </c>
      <c r="AH102" s="487"/>
      <c r="AN102" s="362"/>
      <c r="AV102" s="362"/>
    </row>
    <row r="103" spans="1:55" ht="15" customHeight="1" x14ac:dyDescent="0.25">
      <c r="A103" s="927"/>
      <c r="B103" s="666">
        <v>10</v>
      </c>
      <c r="C103" s="364">
        <f>SUM(A20/2*B103)</f>
        <v>0</v>
      </c>
      <c r="D103" s="856"/>
      <c r="E103" s="857"/>
      <c r="F103" s="858"/>
      <c r="G103" s="847" t="s">
        <v>200</v>
      </c>
      <c r="H103" s="859"/>
      <c r="I103" s="859"/>
      <c r="J103" s="365">
        <v>0</v>
      </c>
      <c r="K103" s="366">
        <f>SUM(($S$71+S149+S208+S280)/5)</f>
        <v>2.0256079999999999E-6</v>
      </c>
      <c r="L103" s="323">
        <v>0</v>
      </c>
      <c r="M103" s="367">
        <f t="shared" ref="M103" si="47">SUM(J103*K103*L103)/4</f>
        <v>0</v>
      </c>
      <c r="N103" s="1189" t="s">
        <v>976</v>
      </c>
      <c r="O103" s="1190"/>
      <c r="P103" s="1191"/>
      <c r="Q103" s="371">
        <v>100</v>
      </c>
      <c r="R103" s="172">
        <v>1</v>
      </c>
      <c r="S103" s="172">
        <f>S100</f>
        <v>0</v>
      </c>
      <c r="T103" s="372">
        <f>Q103*S103</f>
        <v>0</v>
      </c>
      <c r="U103" s="935"/>
      <c r="V103" s="936"/>
      <c r="W103" s="361"/>
      <c r="X103" s="369" t="str">
        <f>AO92</f>
        <v>OC Durations</v>
      </c>
      <c r="Y103" s="939">
        <f>AS98-AS94</f>
        <v>7.6128000241017162</v>
      </c>
      <c r="Z103" s="939"/>
      <c r="AD103" s="700">
        <f>AR94</f>
        <v>634.40000200847885</v>
      </c>
      <c r="AE103" s="485"/>
      <c r="AF103" s="486">
        <f>SUM(AF102*0.012)+AF102</f>
        <v>674.11343999999997</v>
      </c>
      <c r="AG103" s="482" t="s">
        <v>1246</v>
      </c>
      <c r="AH103" s="487"/>
      <c r="AN103" s="362"/>
      <c r="AV103" s="362"/>
    </row>
    <row r="104" spans="1:55" ht="15" customHeight="1" thickBot="1" x14ac:dyDescent="0.3">
      <c r="A104" s="927"/>
      <c r="B104" s="1195">
        <v>0.15</v>
      </c>
      <c r="C104" s="364"/>
      <c r="D104" s="871" t="s">
        <v>110</v>
      </c>
      <c r="E104" s="872"/>
      <c r="F104" s="873"/>
      <c r="G104" s="847" t="s">
        <v>970</v>
      </c>
      <c r="H104" s="859"/>
      <c r="I104" s="859"/>
      <c r="J104" s="365">
        <v>0</v>
      </c>
      <c r="K104" s="366"/>
      <c r="L104" s="38">
        <f>L103</f>
        <v>0</v>
      </c>
      <c r="M104" s="367">
        <f>SUM(J104*L104)</f>
        <v>0</v>
      </c>
      <c r="N104" s="1184" t="s">
        <v>978</v>
      </c>
      <c r="O104" s="1185"/>
      <c r="P104" s="1186"/>
      <c r="Q104" s="1192"/>
      <c r="R104" s="1192"/>
      <c r="S104" s="1192"/>
      <c r="T104" s="1193"/>
      <c r="U104" s="935"/>
      <c r="V104" s="936"/>
      <c r="W104" s="361"/>
      <c r="X104" s="460" t="s">
        <v>1209</v>
      </c>
      <c r="Y104" s="460" t="s">
        <v>1080</v>
      </c>
      <c r="Z104" s="460" t="s">
        <v>1081</v>
      </c>
      <c r="AA104" s="460" t="s">
        <v>279</v>
      </c>
      <c r="AB104" s="460" t="s">
        <v>1233</v>
      </c>
      <c r="AC104" s="460" t="s">
        <v>1234</v>
      </c>
      <c r="AD104" s="461" t="s">
        <v>1235</v>
      </c>
      <c r="AE104" s="485"/>
      <c r="AF104" s="490" t="str">
        <f>Y92</f>
        <v>Malarkey Vista</v>
      </c>
      <c r="AG104" s="491"/>
      <c r="AH104" s="492"/>
      <c r="AN104" s="362"/>
      <c r="AV104" s="362"/>
    </row>
    <row r="105" spans="1:55" ht="15" customHeight="1" x14ac:dyDescent="0.25">
      <c r="A105" s="927"/>
      <c r="B105" s="1195"/>
      <c r="C105" s="364">
        <f>SUM(C103:C104)</f>
        <v>0</v>
      </c>
      <c r="D105" s="856"/>
      <c r="E105" s="857"/>
      <c r="F105" s="858"/>
      <c r="G105" s="847" t="s">
        <v>971</v>
      </c>
      <c r="H105" s="859"/>
      <c r="I105" s="859"/>
      <c r="J105" s="365">
        <v>0</v>
      </c>
      <c r="K105" s="366"/>
      <c r="L105" s="165">
        <v>1</v>
      </c>
      <c r="M105" s="367">
        <f>SUM(J105*L105)</f>
        <v>0</v>
      </c>
      <c r="N105" s="930" t="s">
        <v>1045</v>
      </c>
      <c r="O105" s="931"/>
      <c r="P105" s="932"/>
      <c r="Q105" s="365">
        <v>40</v>
      </c>
      <c r="R105" s="366">
        <f>R100</f>
        <v>6.0640199999999998E-7</v>
      </c>
      <c r="S105" s="182">
        <v>0</v>
      </c>
      <c r="T105" s="374">
        <f>SUM(Q105*R105/4*S105/100)</f>
        <v>0</v>
      </c>
      <c r="U105" s="935"/>
      <c r="V105" s="936"/>
      <c r="W105" s="361"/>
      <c r="X105" s="369"/>
      <c r="Y105" s="369"/>
      <c r="Z105" s="369"/>
      <c r="AA105" s="458">
        <f>SUM(Y105+Z105)*Q96</f>
        <v>0</v>
      </c>
      <c r="AB105" s="459">
        <f>SUM(Y105+Z105+AA105)*D90</f>
        <v>0</v>
      </c>
      <c r="AC105" s="459">
        <f>SUM(Y105+Z105+AA105+AB105)*D93</f>
        <v>0</v>
      </c>
      <c r="AD105" s="459">
        <f>SUM(Y105:AC105)</f>
        <v>0</v>
      </c>
      <c r="AE105" s="485"/>
      <c r="AF105" s="486">
        <f>AB94</f>
        <v>634.40000286843633</v>
      </c>
      <c r="AG105" s="482" t="s">
        <v>11</v>
      </c>
      <c r="AH105" s="487"/>
      <c r="AN105" s="362"/>
      <c r="AV105" s="362"/>
    </row>
    <row r="106" spans="1:55" ht="15" customHeight="1" x14ac:dyDescent="0.25">
      <c r="A106" s="927"/>
      <c r="B106" s="1195"/>
      <c r="C106" s="375">
        <f>SUM(C101+C105)*(1+B104)</f>
        <v>1.725E-6</v>
      </c>
      <c r="D106" s="856"/>
      <c r="E106" s="857"/>
      <c r="F106" s="858"/>
      <c r="G106" s="847" t="s">
        <v>972</v>
      </c>
      <c r="H106" s="859"/>
      <c r="I106" s="859"/>
      <c r="J106" s="868" t="s">
        <v>975</v>
      </c>
      <c r="K106" s="869"/>
      <c r="L106" s="870"/>
      <c r="M106" s="367"/>
      <c r="N106" s="1189" t="s">
        <v>197</v>
      </c>
      <c r="O106" s="1190"/>
      <c r="P106" s="1191"/>
      <c r="Q106" s="371">
        <v>100</v>
      </c>
      <c r="R106" s="323">
        <v>0</v>
      </c>
      <c r="S106" s="172">
        <f>S105/10</f>
        <v>0</v>
      </c>
      <c r="T106" s="374">
        <f>SUM(Q106*R106+S106)</f>
        <v>0</v>
      </c>
      <c r="U106" s="935"/>
      <c r="V106" s="936"/>
      <c r="W106" s="361"/>
      <c r="X106" s="369"/>
      <c r="Y106" s="369"/>
      <c r="Z106" s="369"/>
      <c r="AA106" s="458">
        <f>SUM(Y106+Z106)*Q96</f>
        <v>0</v>
      </c>
      <c r="AB106" s="459">
        <f>SUM(Y106+Z106+AA106)*D90</f>
        <v>0</v>
      </c>
      <c r="AC106" s="459">
        <f>SUM(Y106+Z106+AA106+AB106)*D93</f>
        <v>0</v>
      </c>
      <c r="AD106" s="459">
        <f>SUM(Y106:AC106)</f>
        <v>0</v>
      </c>
      <c r="AE106" s="485"/>
      <c r="AF106" s="486">
        <f>AB94*0.05</f>
        <v>31.720000143421817</v>
      </c>
      <c r="AG106" s="482" t="s">
        <v>1244</v>
      </c>
      <c r="AH106" s="487"/>
      <c r="AN106" s="362"/>
      <c r="AV106" s="362"/>
    </row>
    <row r="107" spans="1:55" ht="15" customHeight="1" x14ac:dyDescent="0.25">
      <c r="A107" s="927"/>
      <c r="B107" s="1196"/>
      <c r="C107" s="364">
        <f>SUM(C99/4)</f>
        <v>3.7500000000000001E-7</v>
      </c>
      <c r="D107" s="874" t="s">
        <v>111</v>
      </c>
      <c r="E107" s="875"/>
      <c r="F107" s="876"/>
      <c r="G107" s="866" t="s">
        <v>199</v>
      </c>
      <c r="H107" s="867"/>
      <c r="I107" s="867"/>
      <c r="J107" s="867"/>
      <c r="K107" s="867"/>
      <c r="L107" s="867"/>
      <c r="M107" s="367">
        <f>SUM(M100:M106)</f>
        <v>0</v>
      </c>
      <c r="N107" s="1199" t="s">
        <v>199</v>
      </c>
      <c r="O107" s="1200"/>
      <c r="P107" s="1200"/>
      <c r="Q107" s="1200"/>
      <c r="R107" s="1200"/>
      <c r="S107" s="1200"/>
      <c r="T107" s="368">
        <f>SUM(T100:T106)</f>
        <v>0</v>
      </c>
      <c r="U107" s="937"/>
      <c r="V107" s="938"/>
      <c r="W107" s="361"/>
      <c r="X107" s="369"/>
      <c r="Y107" s="369"/>
      <c r="Z107" s="369"/>
      <c r="AA107" s="458">
        <f>SUM(Y107+Z107)*Q96</f>
        <v>0</v>
      </c>
      <c r="AB107" s="459">
        <f>SUM(Y107+Z107+AA107)*D90</f>
        <v>0</v>
      </c>
      <c r="AC107" s="459">
        <f>SUM(Y107+Z107+AA107+AB107)*D93</f>
        <v>0</v>
      </c>
      <c r="AD107" s="459">
        <f>SUM(Y107:AC107)</f>
        <v>0</v>
      </c>
      <c r="AE107" s="485"/>
      <c r="AF107" s="486">
        <f>AF106+AB94</f>
        <v>666.1200030118581</v>
      </c>
      <c r="AG107" s="482" t="s">
        <v>1245</v>
      </c>
      <c r="AH107" s="487"/>
      <c r="AN107" s="362"/>
      <c r="AV107" s="362"/>
    </row>
    <row r="108" spans="1:55" s="17" customFormat="1" ht="3" customHeight="1" x14ac:dyDescent="0.25">
      <c r="A108" s="928"/>
      <c r="B108" s="928"/>
      <c r="C108" s="928"/>
      <c r="D108" s="928"/>
      <c r="E108" s="928"/>
      <c r="F108" s="928"/>
      <c r="G108" s="1148"/>
      <c r="H108" s="1148"/>
      <c r="I108" s="1148"/>
      <c r="J108" s="1148"/>
      <c r="K108" s="1148"/>
      <c r="L108" s="1148"/>
      <c r="M108" s="1148"/>
      <c r="N108" s="1148"/>
      <c r="O108" s="1148"/>
      <c r="P108" s="1148"/>
      <c r="Q108" s="1148"/>
      <c r="R108" s="1148"/>
      <c r="S108" s="1148"/>
      <c r="T108" s="1148"/>
      <c r="U108" s="928"/>
      <c r="V108" s="929"/>
      <c r="W108" s="361"/>
      <c r="X108" s="1117"/>
      <c r="Y108" s="1117"/>
      <c r="Z108" s="1117"/>
      <c r="AA108" s="1117"/>
      <c r="AB108" s="1117"/>
      <c r="AC108" s="1117"/>
      <c r="AD108" s="1117"/>
      <c r="AE108" s="485"/>
      <c r="AF108" s="486"/>
      <c r="AG108" s="482"/>
      <c r="AH108" s="487"/>
      <c r="AL108" s="328"/>
      <c r="AM108" s="363"/>
      <c r="AN108" s="362"/>
      <c r="AO108" s="328"/>
      <c r="AP108" s="328"/>
      <c r="AQ108" s="328"/>
      <c r="AR108" s="328"/>
      <c r="AS108" s="328"/>
      <c r="AT108" s="328"/>
      <c r="AU108" s="363"/>
      <c r="AV108" s="362"/>
      <c r="AW108" s="328"/>
      <c r="AX108" s="328"/>
      <c r="AY108" s="328"/>
      <c r="AZ108" s="328"/>
      <c r="BA108" s="328"/>
      <c r="BB108" s="328"/>
      <c r="BC108" s="363"/>
    </row>
    <row r="109" spans="1:55" ht="15" customHeight="1" x14ac:dyDescent="0.25">
      <c r="A109" s="1146" t="s">
        <v>1185</v>
      </c>
      <c r="B109" s="1146"/>
      <c r="C109" s="1146"/>
      <c r="D109" s="1146"/>
      <c r="E109" s="1146"/>
      <c r="F109" s="1146"/>
      <c r="G109" s="1146"/>
      <c r="H109" s="1146"/>
      <c r="I109" s="1146"/>
      <c r="J109" s="1146"/>
      <c r="K109" s="1146"/>
      <c r="L109" s="1146"/>
      <c r="M109" s="1146"/>
      <c r="N109" s="1146"/>
      <c r="O109" s="1146"/>
      <c r="P109" s="1146"/>
      <c r="Q109" s="1146"/>
      <c r="R109" s="1146"/>
      <c r="S109" s="1146"/>
      <c r="T109" s="1147"/>
      <c r="U109" s="224" t="s">
        <v>33</v>
      </c>
      <c r="V109" s="224" t="s">
        <v>49</v>
      </c>
      <c r="W109" s="415"/>
      <c r="X109" s="1160" t="s">
        <v>1186</v>
      </c>
      <c r="Y109" s="1161"/>
      <c r="Z109" s="1160" t="s">
        <v>1193</v>
      </c>
      <c r="AA109" s="1380"/>
      <c r="AB109" s="1161"/>
      <c r="AC109" s="1160" t="s">
        <v>1198</v>
      </c>
      <c r="AD109" s="1161"/>
      <c r="AE109" s="484"/>
      <c r="AF109" s="486">
        <f>SUM(AF107*0.012)+AF107</f>
        <v>674.11344304800036</v>
      </c>
      <c r="AG109" s="482" t="s">
        <v>1246</v>
      </c>
      <c r="AH109" s="487"/>
      <c r="AN109" s="362"/>
      <c r="AV109" s="362"/>
    </row>
    <row r="110" spans="1:55" ht="15" customHeight="1" thickBot="1" x14ac:dyDescent="0.3">
      <c r="A110" s="1144"/>
      <c r="B110" s="1145"/>
      <c r="C110" s="1152" t="s">
        <v>21</v>
      </c>
      <c r="D110" s="1057"/>
      <c r="E110" s="1057"/>
      <c r="F110" s="1057"/>
      <c r="G110" s="1057"/>
      <c r="H110" s="1057"/>
      <c r="I110" s="1057"/>
      <c r="J110" s="1057"/>
      <c r="K110" s="1057"/>
      <c r="L110" s="1057"/>
      <c r="M110" s="1057"/>
      <c r="N110" s="1057"/>
      <c r="O110" s="1057"/>
      <c r="P110" s="1057"/>
      <c r="Q110" s="1057"/>
      <c r="R110" s="1057"/>
      <c r="S110" s="1057"/>
      <c r="T110" s="1059"/>
      <c r="U110" s="377">
        <f>SUM(T111:T119)</f>
        <v>0</v>
      </c>
      <c r="V110" s="299">
        <f>U110/A112</f>
        <v>0</v>
      </c>
      <c r="W110" s="415"/>
      <c r="X110" s="417" t="s">
        <v>1191</v>
      </c>
      <c r="Y110" s="418"/>
      <c r="Z110" s="1384"/>
      <c r="AA110" s="1385"/>
      <c r="AB110" s="373"/>
      <c r="AC110" s="373"/>
      <c r="AD110" s="373"/>
      <c r="AE110" s="485"/>
      <c r="AF110" s="490" t="str">
        <f>AG92</f>
        <v>Malarkey Legacy</v>
      </c>
      <c r="AG110" s="491"/>
      <c r="AH110" s="492"/>
      <c r="AN110" s="363"/>
      <c r="AV110" s="363"/>
    </row>
    <row r="111" spans="1:55" ht="15" customHeight="1" x14ac:dyDescent="0.25">
      <c r="A111" s="304">
        <f>A12</f>
        <v>9.9999999999999995E-7</v>
      </c>
      <c r="B111" s="301">
        <v>32</v>
      </c>
      <c r="C111" s="75" t="s">
        <v>1066</v>
      </c>
      <c r="D111" s="173">
        <f>SUM(A111/B111)</f>
        <v>3.1249999999999999E-8</v>
      </c>
      <c r="E111" s="378"/>
      <c r="F111" s="378"/>
      <c r="G111" s="378"/>
      <c r="H111" s="379">
        <v>1.05</v>
      </c>
      <c r="I111" s="380"/>
      <c r="J111" s="180">
        <f t="shared" ref="J111:J119" si="48">IF(D111&lt;&gt;0,D111,0)*IF(E111&lt;&gt;0,E111,1)*IF(F111&lt;&gt;0,F111,1)*IF(G111&lt;&gt;0,G111,1)*IF(H111&lt;&gt;0,H111,1)/IF(I111&lt;&gt;0,I111,1)</f>
        <v>3.2812499999999997E-8</v>
      </c>
      <c r="K111" s="82" t="s">
        <v>612</v>
      </c>
      <c r="L111" s="860"/>
      <c r="M111" s="861"/>
      <c r="N111" s="414">
        <v>55.65</v>
      </c>
      <c r="O111" s="180">
        <f t="shared" ref="O111:O119" si="49">ROUND(J111*N111,0)</f>
        <v>0</v>
      </c>
      <c r="P111" s="860"/>
      <c r="Q111" s="1149"/>
      <c r="R111" s="1149"/>
      <c r="S111" s="861"/>
      <c r="T111" s="180">
        <f t="shared" ref="T111:T119" si="50">ROUND(M111+O111+Q111+S111,0)</f>
        <v>0</v>
      </c>
      <c r="U111" s="1153"/>
      <c r="V111" s="1154"/>
      <c r="W111" s="415"/>
      <c r="X111" s="373" t="s">
        <v>1187</v>
      </c>
      <c r="Y111" s="419"/>
      <c r="Z111" s="844" t="s">
        <v>1194</v>
      </c>
      <c r="AA111" s="846"/>
      <c r="AB111" s="373"/>
      <c r="AC111" s="373" t="s">
        <v>1199</v>
      </c>
      <c r="AD111" s="373"/>
      <c r="AE111" s="485"/>
      <c r="AF111" s="486">
        <f>AJ94</f>
        <v>634.40000368512369</v>
      </c>
      <c r="AG111" s="482" t="s">
        <v>11</v>
      </c>
      <c r="AH111" s="487"/>
    </row>
    <row r="112" spans="1:55" ht="15" customHeight="1" x14ac:dyDescent="0.25">
      <c r="A112" s="304">
        <f>A12</f>
        <v>9.9999999999999995E-7</v>
      </c>
      <c r="B112" s="301">
        <v>16</v>
      </c>
      <c r="C112" s="239" t="s">
        <v>1186</v>
      </c>
      <c r="D112" s="173">
        <f t="shared" ref="D112:D119" si="51">SUM(A112/B112)</f>
        <v>6.2499999999999997E-8</v>
      </c>
      <c r="E112" s="378"/>
      <c r="F112" s="378"/>
      <c r="G112" s="378"/>
      <c r="H112" s="379">
        <v>1.1000000000000001</v>
      </c>
      <c r="I112" s="380"/>
      <c r="J112" s="180">
        <f t="shared" si="48"/>
        <v>6.8750000000000004E-8</v>
      </c>
      <c r="K112" s="82" t="s">
        <v>612</v>
      </c>
      <c r="L112" s="862"/>
      <c r="M112" s="863"/>
      <c r="N112" s="414">
        <v>26.67</v>
      </c>
      <c r="O112" s="180">
        <f t="shared" si="49"/>
        <v>0</v>
      </c>
      <c r="P112" s="862"/>
      <c r="Q112" s="1150"/>
      <c r="R112" s="1150"/>
      <c r="S112" s="863"/>
      <c r="T112" s="180">
        <f t="shared" si="50"/>
        <v>0</v>
      </c>
      <c r="U112" s="1155"/>
      <c r="V112" s="1156"/>
      <c r="W112" s="415"/>
      <c r="X112" s="373" t="s">
        <v>1188</v>
      </c>
      <c r="Y112" s="419"/>
      <c r="Z112" s="844" t="s">
        <v>1195</v>
      </c>
      <c r="AA112" s="846"/>
      <c r="AB112" s="373"/>
      <c r="AC112" s="373" t="s">
        <v>1200</v>
      </c>
      <c r="AD112" s="373"/>
      <c r="AE112" s="485"/>
      <c r="AF112" s="486">
        <f>AJ94*0.05</f>
        <v>31.720000184256186</v>
      </c>
      <c r="AG112" s="482" t="s">
        <v>1244</v>
      </c>
      <c r="AH112" s="487"/>
    </row>
    <row r="113" spans="1:55" s="17" customFormat="1" ht="15" customHeight="1" x14ac:dyDescent="0.25">
      <c r="A113" s="304">
        <f>A12</f>
        <v>9.9999999999999995E-7</v>
      </c>
      <c r="B113" s="301">
        <v>1000</v>
      </c>
      <c r="C113" s="75" t="s">
        <v>1067</v>
      </c>
      <c r="D113" s="173">
        <f t="shared" si="51"/>
        <v>9.9999999999999986E-10</v>
      </c>
      <c r="E113" s="378"/>
      <c r="F113" s="378"/>
      <c r="G113" s="378"/>
      <c r="H113" s="379">
        <v>1.05</v>
      </c>
      <c r="I113" s="380"/>
      <c r="J113" s="180">
        <f t="shared" si="48"/>
        <v>1.0499999999999999E-9</v>
      </c>
      <c r="K113" s="82" t="s">
        <v>612</v>
      </c>
      <c r="L113" s="862"/>
      <c r="M113" s="863"/>
      <c r="N113" s="414">
        <v>72.27</v>
      </c>
      <c r="O113" s="180">
        <f t="shared" si="49"/>
        <v>0</v>
      </c>
      <c r="P113" s="862"/>
      <c r="Q113" s="1150"/>
      <c r="R113" s="1150"/>
      <c r="S113" s="863"/>
      <c r="T113" s="180">
        <f t="shared" si="50"/>
        <v>0</v>
      </c>
      <c r="U113" s="1155"/>
      <c r="V113" s="1156"/>
      <c r="W113" s="415"/>
      <c r="X113" s="373" t="s">
        <v>1189</v>
      </c>
      <c r="Y113" s="419"/>
      <c r="Z113" s="844" t="s">
        <v>1196</v>
      </c>
      <c r="AA113" s="846"/>
      <c r="AB113" s="373"/>
      <c r="AC113" s="373" t="s">
        <v>1201</v>
      </c>
      <c r="AD113" s="373"/>
      <c r="AE113" s="485"/>
      <c r="AF113" s="486">
        <f>AF112+AJ94</f>
        <v>666.12000386937984</v>
      </c>
      <c r="AG113" s="482" t="s">
        <v>1245</v>
      </c>
      <c r="AH113" s="487"/>
      <c r="AI113" s="328"/>
      <c r="AJ113" s="328"/>
      <c r="AK113" s="328"/>
      <c r="AL113" s="328"/>
      <c r="AM113" s="363"/>
      <c r="AN113" s="328"/>
      <c r="AO113" s="328"/>
      <c r="AP113" s="328"/>
      <c r="AQ113" s="328"/>
      <c r="AR113" s="328"/>
      <c r="AS113" s="328"/>
      <c r="AT113" s="328"/>
      <c r="AU113" s="363"/>
      <c r="AV113" s="328"/>
      <c r="AW113" s="328"/>
      <c r="AX113" s="328"/>
      <c r="AY113" s="328"/>
      <c r="AZ113" s="328"/>
      <c r="BA113" s="328"/>
      <c r="BB113" s="328"/>
      <c r="BC113" s="363"/>
    </row>
    <row r="114" spans="1:55" s="17" customFormat="1" ht="15" customHeight="1" x14ac:dyDescent="0.25">
      <c r="A114" s="304">
        <f>A20+A21</f>
        <v>0</v>
      </c>
      <c r="B114" s="301">
        <v>1</v>
      </c>
      <c r="C114" s="75" t="str">
        <f>VLOOKUP(C112,X109:AA119,3,FALSE)</f>
        <v>Fascia</v>
      </c>
      <c r="D114" s="173">
        <f t="shared" si="51"/>
        <v>0</v>
      </c>
      <c r="E114" s="378"/>
      <c r="F114" s="378"/>
      <c r="G114" s="378"/>
      <c r="H114" s="379">
        <v>1.1000000000000001</v>
      </c>
      <c r="I114" s="380"/>
      <c r="J114" s="180">
        <f t="shared" si="48"/>
        <v>0</v>
      </c>
      <c r="K114" s="82" t="s">
        <v>612</v>
      </c>
      <c r="L114" s="862"/>
      <c r="M114" s="863"/>
      <c r="N114" s="414">
        <v>26.67</v>
      </c>
      <c r="O114" s="180">
        <f t="shared" si="49"/>
        <v>0</v>
      </c>
      <c r="P114" s="862"/>
      <c r="Q114" s="1150"/>
      <c r="R114" s="1150"/>
      <c r="S114" s="863"/>
      <c r="T114" s="180">
        <f t="shared" si="50"/>
        <v>0</v>
      </c>
      <c r="U114" s="1155"/>
      <c r="V114" s="1156"/>
      <c r="W114" s="415"/>
      <c r="X114" s="373" t="s">
        <v>1190</v>
      </c>
      <c r="Y114" s="419"/>
      <c r="Z114" s="844" t="s">
        <v>1197</v>
      </c>
      <c r="AA114" s="846"/>
      <c r="AB114" s="373"/>
      <c r="AC114" s="373" t="s">
        <v>1202</v>
      </c>
      <c r="AD114" s="373"/>
      <c r="AE114" s="485"/>
      <c r="AF114" s="486">
        <f>SUM(AF113*0.012)+AF113</f>
        <v>674.11344391581235</v>
      </c>
      <c r="AG114" s="482" t="s">
        <v>1246</v>
      </c>
      <c r="AH114" s="487"/>
      <c r="AI114" s="328"/>
      <c r="AJ114" s="328"/>
      <c r="AK114" s="328"/>
      <c r="AL114" s="328"/>
      <c r="AM114" s="363"/>
      <c r="AN114" s="328"/>
      <c r="AO114" s="328"/>
      <c r="AP114" s="328"/>
      <c r="AQ114" s="328"/>
      <c r="AR114" s="328"/>
      <c r="AS114" s="328"/>
      <c r="AT114" s="328"/>
      <c r="AU114" s="363"/>
      <c r="AV114" s="328"/>
      <c r="AW114" s="328"/>
      <c r="AX114" s="328"/>
      <c r="AY114" s="328"/>
      <c r="AZ114" s="328"/>
      <c r="BA114" s="328"/>
      <c r="BB114" s="328"/>
      <c r="BC114" s="363"/>
    </row>
    <row r="115" spans="1:55" s="17" customFormat="1" ht="15" customHeight="1" thickBot="1" x14ac:dyDescent="0.3">
      <c r="A115" s="304">
        <f>A12</f>
        <v>9.9999999999999995E-7</v>
      </c>
      <c r="B115" s="301">
        <v>32</v>
      </c>
      <c r="C115" s="75" t="s">
        <v>1068</v>
      </c>
      <c r="D115" s="173">
        <f t="shared" si="51"/>
        <v>3.1249999999999999E-8</v>
      </c>
      <c r="E115" s="378"/>
      <c r="F115" s="378"/>
      <c r="G115" s="378"/>
      <c r="H115" s="379">
        <v>1.07</v>
      </c>
      <c r="I115" s="380"/>
      <c r="J115" s="180">
        <f t="shared" si="48"/>
        <v>3.3437499999999997E-8</v>
      </c>
      <c r="K115" s="82" t="s">
        <v>612</v>
      </c>
      <c r="L115" s="862"/>
      <c r="M115" s="863"/>
      <c r="N115" s="414">
        <v>49</v>
      </c>
      <c r="O115" s="180">
        <f t="shared" si="49"/>
        <v>0</v>
      </c>
      <c r="P115" s="862"/>
      <c r="Q115" s="1150"/>
      <c r="R115" s="1150"/>
      <c r="S115" s="863"/>
      <c r="T115" s="180">
        <f t="shared" si="50"/>
        <v>0</v>
      </c>
      <c r="U115" s="1155"/>
      <c r="V115" s="1156"/>
      <c r="W115" s="415"/>
      <c r="X115" s="373" t="s">
        <v>1192</v>
      </c>
      <c r="Y115" s="419"/>
      <c r="Z115" s="844" t="s">
        <v>1197</v>
      </c>
      <c r="AA115" s="846"/>
      <c r="AB115" s="373"/>
      <c r="AC115" s="373" t="s">
        <v>1203</v>
      </c>
      <c r="AD115" s="373"/>
      <c r="AE115" s="485"/>
      <c r="AF115" s="490" t="str">
        <f>AO92</f>
        <v>OC Durations</v>
      </c>
      <c r="AG115" s="491"/>
      <c r="AH115" s="492"/>
      <c r="AI115" s="328"/>
      <c r="AJ115" s="328"/>
      <c r="AK115" s="328"/>
      <c r="AL115" s="328"/>
      <c r="AM115" s="363"/>
      <c r="AN115" s="328"/>
      <c r="AO115" s="328"/>
      <c r="AP115" s="328"/>
      <c r="AQ115" s="328"/>
      <c r="AR115" s="328"/>
      <c r="AS115" s="328"/>
      <c r="AT115" s="328"/>
      <c r="AU115" s="363"/>
      <c r="AV115" s="328"/>
      <c r="AW115" s="328"/>
      <c r="AX115" s="328"/>
      <c r="AY115" s="328"/>
      <c r="AZ115" s="328"/>
      <c r="BA115" s="328"/>
      <c r="BB115" s="328"/>
      <c r="BC115" s="363"/>
    </row>
    <row r="116" spans="1:55" s="17" customFormat="1" ht="15" customHeight="1" x14ac:dyDescent="0.25">
      <c r="A116" s="304">
        <f>A117</f>
        <v>0</v>
      </c>
      <c r="B116" s="301">
        <v>16</v>
      </c>
      <c r="C116" s="239" t="s">
        <v>1198</v>
      </c>
      <c r="D116" s="173">
        <f t="shared" si="51"/>
        <v>0</v>
      </c>
      <c r="E116" s="378"/>
      <c r="F116" s="378"/>
      <c r="G116" s="378"/>
      <c r="H116" s="379">
        <v>1.05</v>
      </c>
      <c r="I116" s="380"/>
      <c r="J116" s="180">
        <f t="shared" si="48"/>
        <v>0</v>
      </c>
      <c r="K116" s="82" t="s">
        <v>612</v>
      </c>
      <c r="L116" s="862"/>
      <c r="M116" s="863"/>
      <c r="N116" s="414">
        <v>32.22</v>
      </c>
      <c r="O116" s="180">
        <f t="shared" si="49"/>
        <v>0</v>
      </c>
      <c r="P116" s="862"/>
      <c r="Q116" s="1150"/>
      <c r="R116" s="1150"/>
      <c r="S116" s="863"/>
      <c r="T116" s="180">
        <f t="shared" si="50"/>
        <v>0</v>
      </c>
      <c r="U116" s="1155"/>
      <c r="V116" s="1156"/>
      <c r="W116" s="415"/>
      <c r="X116" s="373"/>
      <c r="Y116" s="419"/>
      <c r="Z116" s="1382"/>
      <c r="AA116" s="1351"/>
      <c r="AB116" s="373"/>
      <c r="AC116" s="373"/>
      <c r="AD116" s="373"/>
      <c r="AE116" s="485"/>
      <c r="AF116" s="486">
        <f>AR94</f>
        <v>634.40000200847885</v>
      </c>
      <c r="AG116" s="482" t="s">
        <v>11</v>
      </c>
      <c r="AH116" s="487"/>
      <c r="AI116" s="328"/>
      <c r="AJ116" s="328"/>
      <c r="AK116" s="328"/>
      <c r="AL116" s="328"/>
      <c r="AM116" s="363"/>
      <c r="AN116" s="328"/>
      <c r="AO116" s="328"/>
      <c r="AP116" s="328"/>
      <c r="AQ116" s="328"/>
      <c r="AR116" s="328"/>
      <c r="AS116" s="328"/>
      <c r="AT116" s="328"/>
      <c r="AU116" s="363"/>
      <c r="AV116" s="328"/>
      <c r="AW116" s="328"/>
      <c r="AX116" s="328"/>
      <c r="AY116" s="328"/>
      <c r="AZ116" s="328"/>
      <c r="BA116" s="328"/>
      <c r="BB116" s="328"/>
      <c r="BC116" s="363"/>
    </row>
    <row r="117" spans="1:55" ht="15" customHeight="1" x14ac:dyDescent="0.25">
      <c r="A117" s="329"/>
      <c r="B117" s="301">
        <v>1</v>
      </c>
      <c r="C117" s="75" t="s">
        <v>1069</v>
      </c>
      <c r="D117" s="173">
        <f t="shared" si="51"/>
        <v>0</v>
      </c>
      <c r="E117" s="378"/>
      <c r="F117" s="378"/>
      <c r="G117" s="378"/>
      <c r="H117" s="379">
        <v>0</v>
      </c>
      <c r="I117" s="380"/>
      <c r="J117" s="180">
        <f t="shared" si="48"/>
        <v>0</v>
      </c>
      <c r="K117" s="82" t="s">
        <v>612</v>
      </c>
      <c r="L117" s="862"/>
      <c r="M117" s="863"/>
      <c r="N117" s="414"/>
      <c r="O117" s="180">
        <f t="shared" si="49"/>
        <v>0</v>
      </c>
      <c r="P117" s="862"/>
      <c r="Q117" s="1150"/>
      <c r="R117" s="1150"/>
      <c r="S117" s="863"/>
      <c r="T117" s="180">
        <f t="shared" si="50"/>
        <v>0</v>
      </c>
      <c r="U117" s="1155"/>
      <c r="V117" s="1156"/>
      <c r="W117" s="415"/>
      <c r="X117" s="373"/>
      <c r="Y117" s="419"/>
      <c r="Z117" s="1382"/>
      <c r="AA117" s="1351"/>
      <c r="AB117" s="373"/>
      <c r="AC117" s="373"/>
      <c r="AD117" s="373"/>
      <c r="AE117" s="485"/>
      <c r="AF117" s="486">
        <f>AR94*0.05</f>
        <v>31.720000100423945</v>
      </c>
      <c r="AG117" s="482" t="s">
        <v>1244</v>
      </c>
      <c r="AH117" s="487"/>
      <c r="AN117" s="362"/>
      <c r="AV117" s="362"/>
    </row>
    <row r="118" spans="1:55" ht="15" customHeight="1" x14ac:dyDescent="0.25">
      <c r="A118" s="304">
        <f>A117</f>
        <v>0</v>
      </c>
      <c r="B118" s="301">
        <v>1</v>
      </c>
      <c r="C118" s="75" t="s">
        <v>10062</v>
      </c>
      <c r="D118" s="173">
        <f>SUM(A118/B118)</f>
        <v>0</v>
      </c>
      <c r="E118" s="378"/>
      <c r="F118" s="378"/>
      <c r="G118" s="378"/>
      <c r="H118" s="379"/>
      <c r="I118" s="380"/>
      <c r="J118" s="180">
        <f t="shared" si="48"/>
        <v>0</v>
      </c>
      <c r="K118" s="82" t="s">
        <v>10063</v>
      </c>
      <c r="L118" s="862"/>
      <c r="M118" s="863"/>
      <c r="N118" s="525">
        <v>15.82</v>
      </c>
      <c r="O118" s="180">
        <f t="shared" si="49"/>
        <v>0</v>
      </c>
      <c r="P118" s="862"/>
      <c r="Q118" s="1150"/>
      <c r="R118" s="1150"/>
      <c r="S118" s="863"/>
      <c r="T118" s="180">
        <f t="shared" si="50"/>
        <v>0</v>
      </c>
      <c r="U118" s="1155"/>
      <c r="V118" s="1156"/>
      <c r="W118" s="416"/>
      <c r="X118" s="373"/>
      <c r="Y118" s="419"/>
      <c r="Z118" s="1382"/>
      <c r="AA118" s="1351"/>
      <c r="AB118" s="373"/>
      <c r="AC118" s="373"/>
      <c r="AD118" s="373"/>
      <c r="AE118" s="485"/>
      <c r="AF118" s="486">
        <f>AF117+AR94</f>
        <v>666.12000210890278</v>
      </c>
      <c r="AG118" s="482" t="s">
        <v>1245</v>
      </c>
      <c r="AH118" s="487"/>
      <c r="AN118" s="362"/>
      <c r="AV118" s="362"/>
    </row>
    <row r="119" spans="1:55" ht="15" customHeight="1" x14ac:dyDescent="0.25">
      <c r="A119" s="306"/>
      <c r="B119" s="301">
        <v>1</v>
      </c>
      <c r="C119" s="75" t="s">
        <v>1070</v>
      </c>
      <c r="D119" s="173">
        <f t="shared" si="51"/>
        <v>0</v>
      </c>
      <c r="E119" s="378"/>
      <c r="F119" s="378"/>
      <c r="G119" s="378"/>
      <c r="H119" s="379"/>
      <c r="I119" s="380"/>
      <c r="J119" s="180">
        <f t="shared" si="48"/>
        <v>0</v>
      </c>
      <c r="K119" s="82" t="s">
        <v>37</v>
      </c>
      <c r="L119" s="864"/>
      <c r="M119" s="865"/>
      <c r="N119" s="414">
        <v>10</v>
      </c>
      <c r="O119" s="180">
        <f t="shared" si="49"/>
        <v>0</v>
      </c>
      <c r="P119" s="864"/>
      <c r="Q119" s="1151"/>
      <c r="R119" s="1151"/>
      <c r="S119" s="865"/>
      <c r="T119" s="180">
        <f t="shared" si="50"/>
        <v>0</v>
      </c>
      <c r="U119" s="1157"/>
      <c r="V119" s="1158"/>
      <c r="W119" s="416"/>
      <c r="X119" s="420"/>
      <c r="Y119" s="421"/>
      <c r="Z119" s="1383"/>
      <c r="AA119" s="1353"/>
      <c r="AB119" s="373"/>
      <c r="AC119" s="373"/>
      <c r="AD119" s="373"/>
      <c r="AE119" s="485"/>
      <c r="AF119" s="486">
        <f>SUM(AF118*0.012)+AF118</f>
        <v>674.11344213420966</v>
      </c>
      <c r="AG119" s="482" t="s">
        <v>1246</v>
      </c>
      <c r="AH119" s="487"/>
      <c r="AN119" s="376"/>
      <c r="AV119" s="376"/>
    </row>
    <row r="120" spans="1:55" s="17" customFormat="1" ht="3" customHeight="1" x14ac:dyDescent="0.25">
      <c r="A120" s="928"/>
      <c r="B120" s="928"/>
      <c r="C120" s="928"/>
      <c r="D120" s="928"/>
      <c r="E120" s="928"/>
      <c r="F120" s="928"/>
      <c r="G120" s="1148"/>
      <c r="H120" s="1148"/>
      <c r="I120" s="1148"/>
      <c r="J120" s="1148"/>
      <c r="K120" s="1148"/>
      <c r="L120" s="1148"/>
      <c r="M120" s="1148"/>
      <c r="N120" s="1148"/>
      <c r="O120" s="1148"/>
      <c r="P120" s="1148"/>
      <c r="Q120" s="1148"/>
      <c r="R120" s="1148"/>
      <c r="S120" s="1148"/>
      <c r="T120" s="1148"/>
      <c r="U120" s="928"/>
      <c r="V120" s="929"/>
      <c r="W120" s="361"/>
      <c r="X120" s="1142"/>
      <c r="Y120" s="1142"/>
      <c r="Z120" s="1143"/>
      <c r="AA120" s="1143"/>
      <c r="AB120" s="1143"/>
      <c r="AC120" s="1143"/>
      <c r="AD120" s="1143"/>
      <c r="AE120" s="485"/>
      <c r="AF120" s="486"/>
      <c r="AG120" s="482"/>
      <c r="AH120" s="487"/>
      <c r="AL120" s="328"/>
      <c r="AM120" s="363"/>
      <c r="AN120" s="362"/>
      <c r="AO120" s="328"/>
      <c r="AP120" s="328"/>
      <c r="AQ120" s="328"/>
      <c r="AR120" s="328"/>
      <c r="AS120" s="328"/>
      <c r="AT120" s="328"/>
      <c r="AU120" s="363"/>
      <c r="AV120" s="362"/>
      <c r="AW120" s="328"/>
      <c r="AX120" s="328"/>
      <c r="AY120" s="328"/>
      <c r="AZ120" s="328"/>
      <c r="BA120" s="328"/>
      <c r="BB120" s="328"/>
      <c r="BC120" s="363"/>
    </row>
    <row r="121" spans="1:55" ht="15" customHeight="1" thickBot="1" x14ac:dyDescent="0.3">
      <c r="A121" s="1252"/>
      <c r="B121" s="1253"/>
      <c r="C121" s="83" t="s">
        <v>171</v>
      </c>
      <c r="D121" s="1211" t="s">
        <v>225</v>
      </c>
      <c r="E121" s="1212"/>
      <c r="F121" s="1213"/>
      <c r="G121" s="1273"/>
      <c r="H121" s="1273"/>
      <c r="I121" s="1273"/>
      <c r="J121" s="1273"/>
      <c r="K121" s="1273"/>
      <c r="L121" s="1273"/>
      <c r="M121" s="1273"/>
      <c r="N121" s="1273"/>
      <c r="O121" s="1273"/>
      <c r="P121" s="1273"/>
      <c r="Q121" s="1273"/>
      <c r="R121" s="1273"/>
      <c r="S121" s="1273"/>
      <c r="T121" s="1273"/>
      <c r="U121" s="1291"/>
      <c r="V121" s="1292"/>
      <c r="W121" s="122"/>
      <c r="X121" s="422" t="s">
        <v>788</v>
      </c>
      <c r="Y121" s="423"/>
      <c r="Z121" s="423"/>
      <c r="AA121" s="423"/>
      <c r="AB121" s="423"/>
      <c r="AC121" s="423"/>
      <c r="AD121" s="424"/>
      <c r="AE121" s="485"/>
      <c r="AF121" s="490" t="str">
        <f>AW92</f>
        <v>Euroshield Beaumont</v>
      </c>
      <c r="AG121" s="491"/>
      <c r="AH121" s="492"/>
      <c r="AI121" s="385"/>
      <c r="AN121" s="376"/>
      <c r="AQ121" s="385"/>
      <c r="AV121" s="376"/>
      <c r="AY121" s="385"/>
    </row>
    <row r="122" spans="1:55" ht="15" customHeight="1" x14ac:dyDescent="0.25">
      <c r="A122" s="1254"/>
      <c r="B122" s="1255"/>
      <c r="C122" s="84" t="s">
        <v>172</v>
      </c>
      <c r="D122" s="882" t="s">
        <v>227</v>
      </c>
      <c r="E122" s="883"/>
      <c r="F122" s="1272"/>
      <c r="G122" s="1265"/>
      <c r="H122" s="1265"/>
      <c r="I122" s="1265"/>
      <c r="J122" s="1265"/>
      <c r="K122" s="1265"/>
      <c r="L122" s="1265"/>
      <c r="M122" s="1265"/>
      <c r="N122" s="1265"/>
      <c r="O122" s="1265"/>
      <c r="P122" s="1265"/>
      <c r="Q122" s="1265"/>
      <c r="R122" s="1265"/>
      <c r="S122" s="1265"/>
      <c r="T122" s="1265"/>
      <c r="U122" s="224" t="s">
        <v>33</v>
      </c>
      <c r="V122" s="224" t="s">
        <v>49</v>
      </c>
      <c r="W122" s="122"/>
      <c r="X122" s="633" t="s">
        <v>10253</v>
      </c>
      <c r="AF122" s="486">
        <f>AZ94</f>
        <v>634.40000822837101</v>
      </c>
      <c r="AG122" s="482" t="s">
        <v>11</v>
      </c>
      <c r="AH122" s="487"/>
      <c r="AN122" s="376"/>
      <c r="AV122" s="376"/>
    </row>
    <row r="123" spans="1:55" ht="15" customHeight="1" x14ac:dyDescent="0.25">
      <c r="A123" s="1256"/>
      <c r="B123" s="1257"/>
      <c r="C123" s="87" t="s">
        <v>21</v>
      </c>
      <c r="D123" s="1140" t="s">
        <v>226</v>
      </c>
      <c r="E123" s="1141"/>
      <c r="F123" s="1271"/>
      <c r="G123" s="1265"/>
      <c r="H123" s="1265"/>
      <c r="I123" s="1265"/>
      <c r="J123" s="1265"/>
      <c r="K123" s="1265"/>
      <c r="L123" s="1265"/>
      <c r="M123" s="1265"/>
      <c r="N123" s="1265"/>
      <c r="O123" s="1265"/>
      <c r="P123" s="1265"/>
      <c r="Q123" s="1265"/>
      <c r="R123" s="1265"/>
      <c r="S123" s="1265"/>
      <c r="T123" s="1265"/>
      <c r="U123" s="386">
        <f>SUM(T124:T141)*1.25</f>
        <v>0</v>
      </c>
      <c r="V123" s="299">
        <f>U123/D148</f>
        <v>0</v>
      </c>
      <c r="W123" s="122"/>
      <c r="X123" s="373"/>
      <c r="AF123" s="486">
        <f>AZ94*0.05</f>
        <v>31.720000411418553</v>
      </c>
      <c r="AG123" s="482" t="s">
        <v>1244</v>
      </c>
      <c r="AH123" s="487"/>
      <c r="AN123" s="376"/>
      <c r="AV123" s="376"/>
    </row>
    <row r="124" spans="1:55" ht="15" customHeight="1" x14ac:dyDescent="0.25">
      <c r="A124" s="88">
        <f>Input!C37+Input!C38</f>
        <v>0</v>
      </c>
      <c r="B124" s="81">
        <v>10</v>
      </c>
      <c r="C124" s="239" t="s">
        <v>1127</v>
      </c>
      <c r="D124" s="259">
        <f>SUM(A124)/B124</f>
        <v>0</v>
      </c>
      <c r="E124" s="260"/>
      <c r="F124" s="260"/>
      <c r="G124" s="264"/>
      <c r="H124" s="465">
        <v>1.1000000000000001</v>
      </c>
      <c r="I124" s="265"/>
      <c r="J124" s="89">
        <f t="shared" ref="J124:J141" si="52">IF(D124&lt;&gt;0,D124,0)*IF(E124&lt;&gt;0,E124,1)*IF(F124&lt;&gt;0,F124,1)*IF(G124&lt;&gt;0,G124,1)*IF(H124&lt;&gt;0,H124,1)/IF(I124&lt;&gt;0,I124,1)</f>
        <v>0</v>
      </c>
      <c r="K124" s="90" t="s">
        <v>173</v>
      </c>
      <c r="L124" s="1267"/>
      <c r="M124" s="1266"/>
      <c r="N124" s="91">
        <f>VLOOKUP(C124,Input!BD37:BE41,2,FALSE)</f>
        <v>0</v>
      </c>
      <c r="O124" s="89">
        <f t="shared" ref="O124:O141" si="53">ROUND(J124*N124,0)</f>
        <v>0</v>
      </c>
      <c r="P124" s="1264"/>
      <c r="Q124" s="1265"/>
      <c r="R124" s="1265"/>
      <c r="S124" s="1266"/>
      <c r="T124" s="387">
        <f>ROUND(L124+O124+P124+S124,0)</f>
        <v>0</v>
      </c>
      <c r="U124" s="1258" t="s">
        <v>165</v>
      </c>
      <c r="V124" s="1259"/>
      <c r="W124" s="122"/>
      <c r="X124" s="633" t="s">
        <v>10168</v>
      </c>
      <c r="AF124" s="486">
        <f>AZ94+T107</f>
        <v>634.40000822837101</v>
      </c>
      <c r="AG124" s="482" t="s">
        <v>1245</v>
      </c>
      <c r="AH124" s="487"/>
      <c r="AN124" s="376"/>
      <c r="AV124" s="376"/>
    </row>
    <row r="125" spans="1:55" ht="15" customHeight="1" x14ac:dyDescent="0.25">
      <c r="A125" s="88">
        <f>Input!C38</f>
        <v>0</v>
      </c>
      <c r="B125" s="81">
        <v>10</v>
      </c>
      <c r="C125" s="75" t="s">
        <v>150</v>
      </c>
      <c r="D125" s="259">
        <f>SUM(A125)/B125</f>
        <v>0</v>
      </c>
      <c r="E125" s="260"/>
      <c r="F125" s="260"/>
      <c r="G125" s="260"/>
      <c r="H125" s="261">
        <v>1.1000000000000001</v>
      </c>
      <c r="I125" s="262"/>
      <c r="J125" s="76">
        <f t="shared" si="52"/>
        <v>0</v>
      </c>
      <c r="K125" s="82" t="s">
        <v>173</v>
      </c>
      <c r="L125" s="1267"/>
      <c r="M125" s="1266"/>
      <c r="N125" s="642">
        <v>5.9</v>
      </c>
      <c r="O125" s="76">
        <f t="shared" si="53"/>
        <v>0</v>
      </c>
      <c r="P125" s="1267"/>
      <c r="Q125" s="1265"/>
      <c r="R125" s="1265"/>
      <c r="S125" s="1266"/>
      <c r="T125" s="180">
        <f t="shared" ref="T125:T141" si="54">ROUND(M125+O125+Q125+S125,0)</f>
        <v>0</v>
      </c>
      <c r="U125" s="1260"/>
      <c r="V125" s="1261"/>
      <c r="W125" s="122"/>
      <c r="X125" s="373" t="s">
        <v>10169</v>
      </c>
      <c r="Y125" s="165">
        <v>1</v>
      </c>
      <c r="Z125" s="634">
        <v>450</v>
      </c>
      <c r="AC125" s="635">
        <f>Y125*Z125</f>
        <v>450</v>
      </c>
      <c r="AF125" s="488">
        <f>SUM(AF124*0.012)+AF124</f>
        <v>642.01280832711143</v>
      </c>
      <c r="AG125" s="483" t="s">
        <v>1246</v>
      </c>
      <c r="AH125" s="489"/>
      <c r="AN125" s="376"/>
      <c r="AV125" s="376"/>
    </row>
    <row r="126" spans="1:55" ht="15" customHeight="1" x14ac:dyDescent="0.25">
      <c r="A126" s="88">
        <f>Input!C39</f>
        <v>0</v>
      </c>
      <c r="B126" s="81"/>
      <c r="C126" s="239" t="s">
        <v>742</v>
      </c>
      <c r="D126" s="259">
        <f t="shared" ref="D126:D135" si="55">SUM(A126)</f>
        <v>0</v>
      </c>
      <c r="E126" s="260"/>
      <c r="F126" s="260"/>
      <c r="G126" s="260"/>
      <c r="H126" s="261">
        <v>1.07</v>
      </c>
      <c r="I126" s="262"/>
      <c r="J126" s="76">
        <f t="shared" si="52"/>
        <v>0</v>
      </c>
      <c r="K126" s="82" t="s">
        <v>174</v>
      </c>
      <c r="L126" s="1267"/>
      <c r="M126" s="1266"/>
      <c r="N126" s="79">
        <f>VLOOKUP(C126,Input!BD42:BE45,2,FALSE)</f>
        <v>2.25</v>
      </c>
      <c r="O126" s="76">
        <f t="shared" si="53"/>
        <v>0</v>
      </c>
      <c r="P126" s="1267"/>
      <c r="Q126" s="1265"/>
      <c r="R126" s="1265"/>
      <c r="S126" s="1266"/>
      <c r="T126" s="180">
        <f t="shared" si="54"/>
        <v>0</v>
      </c>
      <c r="U126" s="1260"/>
      <c r="V126" s="1261"/>
      <c r="W126" s="122"/>
      <c r="X126" s="373" t="s">
        <v>10170</v>
      </c>
      <c r="Y126" s="636"/>
      <c r="Z126" s="634">
        <v>175</v>
      </c>
      <c r="AC126" s="635">
        <f t="shared" ref="AC126" si="56">Y126*Z126</f>
        <v>0</v>
      </c>
      <c r="AF126" s="376"/>
      <c r="AN126" s="376"/>
      <c r="AV126" s="376"/>
    </row>
    <row r="127" spans="1:55" ht="15" customHeight="1" x14ac:dyDescent="0.25">
      <c r="A127" s="88">
        <f>Input!C40</f>
        <v>0</v>
      </c>
      <c r="B127" s="81"/>
      <c r="C127" s="75" t="str">
        <f>VLOOKUP(C126,Input!BD42:BI45,6,FALSE)</f>
        <v>5" Hanger</v>
      </c>
      <c r="D127" s="259">
        <f t="shared" si="55"/>
        <v>0</v>
      </c>
      <c r="E127" s="260"/>
      <c r="F127" s="260"/>
      <c r="G127" s="260"/>
      <c r="H127" s="261"/>
      <c r="I127" s="262"/>
      <c r="J127" s="76">
        <f t="shared" si="52"/>
        <v>0</v>
      </c>
      <c r="K127" s="82" t="s">
        <v>173</v>
      </c>
      <c r="L127" s="1267"/>
      <c r="M127" s="1266"/>
      <c r="N127" s="79">
        <f>VLOOKUP(C127,Input!BI42:BJ45,2,FALSE)</f>
        <v>0.41</v>
      </c>
      <c r="O127" s="76">
        <f t="shared" si="53"/>
        <v>0</v>
      </c>
      <c r="P127" s="1267"/>
      <c r="Q127" s="1265"/>
      <c r="R127" s="1265"/>
      <c r="S127" s="1266"/>
      <c r="T127" s="180">
        <f t="shared" si="54"/>
        <v>0</v>
      </c>
      <c r="U127" s="1260"/>
      <c r="V127" s="1261"/>
      <c r="W127" s="122"/>
      <c r="X127" s="373" t="s">
        <v>10171</v>
      </c>
      <c r="Y127" s="636">
        <v>1.4</v>
      </c>
      <c r="Z127" s="634"/>
      <c r="AC127" s="667">
        <f>SUM(AC125+AC126)*Y127</f>
        <v>630</v>
      </c>
      <c r="AF127" s="376"/>
      <c r="AN127" s="376"/>
      <c r="AV127" s="376"/>
    </row>
    <row r="128" spans="1:55" ht="15" customHeight="1" x14ac:dyDescent="0.25">
      <c r="A128" s="88">
        <f>Input!C41</f>
        <v>0</v>
      </c>
      <c r="B128" s="81"/>
      <c r="C128" s="75" t="str">
        <f>VLOOKUP(C126,Input!BD42:BG45,4,FALSE)</f>
        <v>5" End Cap</v>
      </c>
      <c r="D128" s="259">
        <f t="shared" si="55"/>
        <v>0</v>
      </c>
      <c r="E128" s="260"/>
      <c r="F128" s="260"/>
      <c r="G128" s="260"/>
      <c r="H128" s="261"/>
      <c r="I128" s="262"/>
      <c r="J128" s="76">
        <f t="shared" si="52"/>
        <v>0</v>
      </c>
      <c r="K128" s="82" t="s">
        <v>173</v>
      </c>
      <c r="L128" s="1267"/>
      <c r="M128" s="1266"/>
      <c r="N128" s="79">
        <f>VLOOKUP(C128,Input!BG42:BH45,2,FALSE)</f>
        <v>0.63</v>
      </c>
      <c r="O128" s="76">
        <f t="shared" si="53"/>
        <v>0</v>
      </c>
      <c r="P128" s="1267"/>
      <c r="Q128" s="1265"/>
      <c r="R128" s="1265"/>
      <c r="S128" s="1266"/>
      <c r="T128" s="180">
        <f t="shared" si="54"/>
        <v>0</v>
      </c>
      <c r="U128" s="1260"/>
      <c r="V128" s="1261"/>
      <c r="W128" s="122"/>
      <c r="X128" s="633" t="s">
        <v>10172</v>
      </c>
      <c r="AF128" s="376"/>
      <c r="AN128" s="376"/>
      <c r="AV128" s="376"/>
    </row>
    <row r="129" spans="1:48" ht="15" customHeight="1" x14ac:dyDescent="0.25">
      <c r="A129" s="88">
        <f>Input!C42</f>
        <v>0</v>
      </c>
      <c r="B129" s="81"/>
      <c r="C129" s="75" t="s">
        <v>154</v>
      </c>
      <c r="D129" s="259">
        <f t="shared" si="55"/>
        <v>0</v>
      </c>
      <c r="E129" s="260"/>
      <c r="F129" s="260"/>
      <c r="G129" s="260"/>
      <c r="H129" s="261"/>
      <c r="I129" s="262"/>
      <c r="J129" s="76">
        <f t="shared" si="52"/>
        <v>0</v>
      </c>
      <c r="K129" s="82" t="s">
        <v>173</v>
      </c>
      <c r="L129" s="1267"/>
      <c r="M129" s="1266"/>
      <c r="N129" s="79">
        <v>4.5</v>
      </c>
      <c r="O129" s="76">
        <f t="shared" si="53"/>
        <v>0</v>
      </c>
      <c r="P129" s="1267"/>
      <c r="Q129" s="1265"/>
      <c r="R129" s="1265"/>
      <c r="S129" s="1266"/>
      <c r="T129" s="180">
        <f t="shared" si="54"/>
        <v>0</v>
      </c>
      <c r="U129" s="1260"/>
      <c r="V129" s="1261"/>
      <c r="W129" s="122"/>
      <c r="X129" s="373" t="s">
        <v>10173</v>
      </c>
      <c r="Y129" s="637"/>
      <c r="Z129" s="634">
        <v>43</v>
      </c>
      <c r="AC129" s="635">
        <f t="shared" ref="AC129:AC132" si="57">Y129*Z129</f>
        <v>0</v>
      </c>
      <c r="AF129" s="376"/>
      <c r="AN129" s="376"/>
      <c r="AV129" s="376"/>
    </row>
    <row r="130" spans="1:48" ht="15" customHeight="1" x14ac:dyDescent="0.25">
      <c r="A130" s="88">
        <f>Input!C43</f>
        <v>0</v>
      </c>
      <c r="B130" s="81"/>
      <c r="C130" s="75" t="s">
        <v>155</v>
      </c>
      <c r="D130" s="259">
        <f t="shared" si="55"/>
        <v>0</v>
      </c>
      <c r="E130" s="260"/>
      <c r="F130" s="260"/>
      <c r="G130" s="260"/>
      <c r="H130" s="261"/>
      <c r="I130" s="262"/>
      <c r="J130" s="76">
        <f t="shared" si="52"/>
        <v>0</v>
      </c>
      <c r="K130" s="82" t="s">
        <v>114</v>
      </c>
      <c r="L130" s="1267"/>
      <c r="M130" s="1266"/>
      <c r="N130" s="79">
        <v>7.55</v>
      </c>
      <c r="O130" s="76">
        <f t="shared" si="53"/>
        <v>0</v>
      </c>
      <c r="P130" s="1267"/>
      <c r="Q130" s="1265"/>
      <c r="R130" s="1265"/>
      <c r="S130" s="1266"/>
      <c r="T130" s="180">
        <f t="shared" si="54"/>
        <v>0</v>
      </c>
      <c r="U130" s="1260"/>
      <c r="V130" s="1261"/>
      <c r="W130" s="122"/>
      <c r="X130" s="373" t="s">
        <v>10174</v>
      </c>
      <c r="Y130" s="637"/>
      <c r="Z130" s="634">
        <v>55</v>
      </c>
      <c r="AC130" s="635">
        <f t="shared" si="57"/>
        <v>0</v>
      </c>
      <c r="AF130" s="376"/>
      <c r="AN130" s="376"/>
      <c r="AV130" s="376"/>
    </row>
    <row r="131" spans="1:48" ht="15" customHeight="1" x14ac:dyDescent="0.25">
      <c r="A131" s="88">
        <f>Input!C44</f>
        <v>0</v>
      </c>
      <c r="B131" s="81"/>
      <c r="C131" s="75" t="s">
        <v>156</v>
      </c>
      <c r="D131" s="259">
        <f t="shared" si="55"/>
        <v>0</v>
      </c>
      <c r="E131" s="260"/>
      <c r="F131" s="260"/>
      <c r="G131" s="260"/>
      <c r="H131" s="261"/>
      <c r="I131" s="262"/>
      <c r="J131" s="76">
        <f t="shared" si="52"/>
        <v>0</v>
      </c>
      <c r="K131" s="82" t="s">
        <v>114</v>
      </c>
      <c r="L131" s="1267"/>
      <c r="M131" s="1266"/>
      <c r="N131" s="79">
        <v>16.55</v>
      </c>
      <c r="O131" s="76">
        <f t="shared" si="53"/>
        <v>0</v>
      </c>
      <c r="P131" s="1267"/>
      <c r="Q131" s="1265"/>
      <c r="R131" s="1265"/>
      <c r="S131" s="1266"/>
      <c r="T131" s="180">
        <f t="shared" si="54"/>
        <v>0</v>
      </c>
      <c r="U131" s="1260"/>
      <c r="V131" s="1261"/>
      <c r="W131" s="122"/>
      <c r="X131" s="373" t="s">
        <v>10175</v>
      </c>
      <c r="Y131" s="637"/>
      <c r="Z131" s="634">
        <v>96</v>
      </c>
      <c r="AC131" s="635">
        <f t="shared" si="57"/>
        <v>0</v>
      </c>
      <c r="AF131" s="376"/>
      <c r="AN131" s="376"/>
      <c r="AV131" s="376"/>
    </row>
    <row r="132" spans="1:48" ht="15" customHeight="1" x14ac:dyDescent="0.25">
      <c r="A132" s="88">
        <f>Input!C45</f>
        <v>0</v>
      </c>
      <c r="B132" s="81"/>
      <c r="C132" s="75" t="str">
        <f>VLOOKUP(C133,Input!BD46:BK55,8,FALSE)</f>
        <v>Outlet 2-5/8</v>
      </c>
      <c r="D132" s="259">
        <f t="shared" si="55"/>
        <v>0</v>
      </c>
      <c r="E132" s="260"/>
      <c r="F132" s="260"/>
      <c r="G132" s="260"/>
      <c r="H132" s="261"/>
      <c r="I132" s="262"/>
      <c r="J132" s="76">
        <f t="shared" si="52"/>
        <v>0</v>
      </c>
      <c r="K132" s="82" t="s">
        <v>173</v>
      </c>
      <c r="L132" s="1267"/>
      <c r="M132" s="1266"/>
      <c r="N132" s="79">
        <f>VLOOKUP(C132,Input!BK46:BL55,2,FALSE)</f>
        <v>2.0699999999999998</v>
      </c>
      <c r="O132" s="76">
        <f t="shared" si="53"/>
        <v>0</v>
      </c>
      <c r="P132" s="1267"/>
      <c r="Q132" s="1265"/>
      <c r="R132" s="1265"/>
      <c r="S132" s="1266"/>
      <c r="T132" s="180">
        <f t="shared" si="54"/>
        <v>0</v>
      </c>
      <c r="U132" s="1260"/>
      <c r="V132" s="1261"/>
      <c r="W132" s="122"/>
      <c r="X132" s="373" t="s">
        <v>10176</v>
      </c>
      <c r="Y132" s="637"/>
      <c r="Z132" s="634">
        <v>149</v>
      </c>
      <c r="AC132" s="635">
        <f t="shared" si="57"/>
        <v>0</v>
      </c>
      <c r="AF132" s="376"/>
      <c r="AN132" s="376"/>
      <c r="AV132" s="376"/>
    </row>
    <row r="133" spans="1:48" ht="15" customHeight="1" x14ac:dyDescent="0.25">
      <c r="A133" s="88">
        <f>SUM(Input!C46:'Input'!C51)</f>
        <v>0</v>
      </c>
      <c r="B133" s="81">
        <v>10</v>
      </c>
      <c r="C133" s="239" t="s">
        <v>1137</v>
      </c>
      <c r="D133" s="259">
        <f t="shared" si="55"/>
        <v>0</v>
      </c>
      <c r="E133" s="260"/>
      <c r="F133" s="260"/>
      <c r="G133" s="260"/>
      <c r="H133" s="261"/>
      <c r="I133" s="262"/>
      <c r="J133" s="76">
        <f t="shared" si="52"/>
        <v>0</v>
      </c>
      <c r="K133" s="82" t="s">
        <v>173</v>
      </c>
      <c r="L133" s="1267"/>
      <c r="M133" s="1266"/>
      <c r="N133" s="79">
        <f>VLOOKUP(C133,Input!BD46:BE55,2,FALSE)</f>
        <v>11.1</v>
      </c>
      <c r="O133" s="76">
        <f t="shared" si="53"/>
        <v>0</v>
      </c>
      <c r="P133" s="1267"/>
      <c r="Q133" s="1265"/>
      <c r="R133" s="1265"/>
      <c r="S133" s="1266"/>
      <c r="T133" s="180">
        <f t="shared" si="54"/>
        <v>0</v>
      </c>
      <c r="U133" s="1260"/>
      <c r="V133" s="1261"/>
      <c r="W133" s="122"/>
      <c r="X133" s="373"/>
      <c r="AC133" s="667">
        <f>SUM(AC129:AC132)</f>
        <v>0</v>
      </c>
      <c r="AF133" s="376"/>
      <c r="AN133" s="376"/>
      <c r="AV133" s="376"/>
    </row>
    <row r="134" spans="1:48" ht="15" customHeight="1" x14ac:dyDescent="0.25">
      <c r="A134" s="88">
        <f>Input!C52</f>
        <v>0</v>
      </c>
      <c r="B134" s="81"/>
      <c r="C134" s="75" t="str">
        <f>VLOOKUP(C133,Input!BD46:BG55,4,FALSE)</f>
        <v>2-5/8" Elbow</v>
      </c>
      <c r="D134" s="259">
        <f t="shared" si="55"/>
        <v>0</v>
      </c>
      <c r="E134" s="260"/>
      <c r="F134" s="260"/>
      <c r="G134" s="260"/>
      <c r="H134" s="261"/>
      <c r="I134" s="262"/>
      <c r="J134" s="76">
        <f t="shared" si="52"/>
        <v>0</v>
      </c>
      <c r="K134" s="82" t="s">
        <v>173</v>
      </c>
      <c r="L134" s="1267"/>
      <c r="M134" s="1266"/>
      <c r="N134" s="79">
        <f>VLOOKUP(C134,Input!BG46:BH55,2,FALSE)</f>
        <v>1.34</v>
      </c>
      <c r="O134" s="76">
        <f t="shared" si="53"/>
        <v>0</v>
      </c>
      <c r="P134" s="1267"/>
      <c r="Q134" s="1265"/>
      <c r="R134" s="1265"/>
      <c r="S134" s="1266"/>
      <c r="T134" s="180">
        <f t="shared" si="54"/>
        <v>0</v>
      </c>
      <c r="U134" s="1260"/>
      <c r="V134" s="1261"/>
      <c r="W134" s="122"/>
      <c r="AF134" s="376"/>
      <c r="AN134" s="376"/>
      <c r="AV134" s="376"/>
    </row>
    <row r="135" spans="1:48" ht="15" customHeight="1" x14ac:dyDescent="0.25">
      <c r="A135" s="88">
        <f>SUM(D133*2)</f>
        <v>0</v>
      </c>
      <c r="B135" s="81"/>
      <c r="C135" s="75" t="str">
        <f>VLOOKUP(C133,Input!BD46:BI55,6,FALSE)</f>
        <v>Pipe Strap 2-5/8"</v>
      </c>
      <c r="D135" s="259">
        <f t="shared" si="55"/>
        <v>0</v>
      </c>
      <c r="E135" s="260"/>
      <c r="F135" s="260"/>
      <c r="G135" s="260"/>
      <c r="H135" s="261"/>
      <c r="I135" s="262"/>
      <c r="J135" s="76">
        <f t="shared" si="52"/>
        <v>0</v>
      </c>
      <c r="K135" s="82" t="s">
        <v>173</v>
      </c>
      <c r="L135" s="1267"/>
      <c r="M135" s="1266"/>
      <c r="N135" s="79">
        <f>VLOOKUP(C135,Input!BI46:BJ55,2,FALSE)</f>
        <v>0.42</v>
      </c>
      <c r="O135" s="76">
        <f t="shared" si="53"/>
        <v>0</v>
      </c>
      <c r="P135" s="1267"/>
      <c r="Q135" s="1265"/>
      <c r="R135" s="1265"/>
      <c r="S135" s="1266"/>
      <c r="T135" s="180">
        <f t="shared" si="54"/>
        <v>0</v>
      </c>
      <c r="U135" s="1260"/>
      <c r="V135" s="1261"/>
      <c r="W135" s="122"/>
      <c r="AF135" s="376"/>
      <c r="AN135" s="376"/>
      <c r="AV135" s="376"/>
    </row>
    <row r="136" spans="1:48" ht="15" customHeight="1" x14ac:dyDescent="0.25">
      <c r="A136" s="88">
        <f>Input!C53</f>
        <v>0</v>
      </c>
      <c r="B136" s="81">
        <v>12</v>
      </c>
      <c r="C136" s="75" t="s">
        <v>10089</v>
      </c>
      <c r="D136" s="259">
        <f>SUM(A136)/B136</f>
        <v>0</v>
      </c>
      <c r="E136" s="260"/>
      <c r="F136" s="260"/>
      <c r="G136" s="260"/>
      <c r="H136" s="261">
        <v>1.1000000000000001</v>
      </c>
      <c r="I136" s="262"/>
      <c r="J136" s="76">
        <f t="shared" si="52"/>
        <v>0</v>
      </c>
      <c r="K136" s="82" t="s">
        <v>173</v>
      </c>
      <c r="L136" s="1267"/>
      <c r="M136" s="1266"/>
      <c r="N136" s="642">
        <v>15.98</v>
      </c>
      <c r="O136" s="76">
        <f t="shared" si="53"/>
        <v>0</v>
      </c>
      <c r="P136" s="1267"/>
      <c r="Q136" s="1265"/>
      <c r="R136" s="1265"/>
      <c r="S136" s="1266"/>
      <c r="T136" s="180">
        <f t="shared" si="54"/>
        <v>0</v>
      </c>
      <c r="U136" s="1260"/>
      <c r="V136" s="1261"/>
      <c r="W136" s="122"/>
      <c r="X136" s="373"/>
      <c r="AF136" s="376"/>
      <c r="AN136" s="376"/>
      <c r="AV136" s="376"/>
    </row>
    <row r="137" spans="1:48" ht="15" customHeight="1" x14ac:dyDescent="0.25">
      <c r="A137" s="88">
        <f>SUM(Input!C37:'Input'!C38)</f>
        <v>0</v>
      </c>
      <c r="B137" s="81">
        <v>12</v>
      </c>
      <c r="C137" s="75" t="s">
        <v>176</v>
      </c>
      <c r="D137" s="259">
        <f>SUM(A137)/B137</f>
        <v>0</v>
      </c>
      <c r="E137" s="260"/>
      <c r="F137" s="260"/>
      <c r="G137" s="260"/>
      <c r="H137" s="261"/>
      <c r="I137" s="262"/>
      <c r="J137" s="76">
        <f t="shared" si="52"/>
        <v>0</v>
      </c>
      <c r="K137" s="82" t="s">
        <v>173</v>
      </c>
      <c r="L137" s="1267"/>
      <c r="M137" s="1266"/>
      <c r="N137" s="642">
        <v>4.1100000000000003</v>
      </c>
      <c r="O137" s="76">
        <f t="shared" si="53"/>
        <v>0</v>
      </c>
      <c r="P137" s="1267"/>
      <c r="Q137" s="1265"/>
      <c r="R137" s="1265"/>
      <c r="S137" s="1266"/>
      <c r="T137" s="180">
        <f t="shared" si="54"/>
        <v>0</v>
      </c>
      <c r="U137" s="1260"/>
      <c r="V137" s="1261"/>
      <c r="W137" s="122"/>
      <c r="X137" s="373"/>
      <c r="AF137" s="376"/>
      <c r="AN137" s="376"/>
      <c r="AV137" s="376"/>
    </row>
    <row r="138" spans="1:48" ht="15" customHeight="1" x14ac:dyDescent="0.25">
      <c r="A138" s="88" cm="1">
        <f t="array" ref="A138">SUM((D124:D127+D137)/2+D135*2)+D136</f>
        <v>0</v>
      </c>
      <c r="B138" s="81"/>
      <c r="C138" s="75" t="s">
        <v>35</v>
      </c>
      <c r="D138" s="259">
        <f>SUM(A138)</f>
        <v>0</v>
      </c>
      <c r="E138" s="260"/>
      <c r="F138" s="260"/>
      <c r="G138" s="260"/>
      <c r="H138" s="261">
        <v>1.07</v>
      </c>
      <c r="I138" s="262">
        <v>1000</v>
      </c>
      <c r="J138" s="76">
        <f t="shared" si="52"/>
        <v>0</v>
      </c>
      <c r="K138" s="82" t="s">
        <v>177</v>
      </c>
      <c r="L138" s="1267"/>
      <c r="M138" s="1266"/>
      <c r="N138" s="79">
        <v>47.7</v>
      </c>
      <c r="O138" s="76">
        <f t="shared" si="53"/>
        <v>0</v>
      </c>
      <c r="P138" s="1267"/>
      <c r="Q138" s="1265"/>
      <c r="R138" s="1265"/>
      <c r="S138" s="1266"/>
      <c r="T138" s="180">
        <f t="shared" si="54"/>
        <v>0</v>
      </c>
      <c r="U138" s="1260"/>
      <c r="V138" s="1261"/>
      <c r="W138" s="122"/>
      <c r="X138" s="373"/>
      <c r="AF138" s="376"/>
      <c r="AN138" s="376"/>
      <c r="AV138" s="376"/>
    </row>
    <row r="139" spans="1:48" ht="15" customHeight="1" x14ac:dyDescent="0.25">
      <c r="A139" s="88">
        <f>A126</f>
        <v>0</v>
      </c>
      <c r="B139" s="323">
        <v>0</v>
      </c>
      <c r="C139" s="75" t="str">
        <f>VLOOKUP(C126,Input!BD42:BK45,8,FALSE)</f>
        <v>Aul-Rex M5200</v>
      </c>
      <c r="D139" s="259">
        <f>SUM(A139)*B139/7.5</f>
        <v>0</v>
      </c>
      <c r="E139" s="260"/>
      <c r="F139" s="260"/>
      <c r="G139" s="260"/>
      <c r="H139" s="261"/>
      <c r="I139" s="262">
        <v>8</v>
      </c>
      <c r="J139" s="76">
        <f t="shared" si="52"/>
        <v>0</v>
      </c>
      <c r="K139" s="82"/>
      <c r="L139" s="1267"/>
      <c r="M139" s="1266"/>
      <c r="N139" s="642">
        <v>19.100000000000001</v>
      </c>
      <c r="O139" s="76">
        <f t="shared" si="53"/>
        <v>0</v>
      </c>
      <c r="P139" s="1267"/>
      <c r="Q139" s="1265"/>
      <c r="R139" s="1265"/>
      <c r="S139" s="1266"/>
      <c r="T139" s="180">
        <f t="shared" si="54"/>
        <v>0</v>
      </c>
      <c r="U139" s="1260"/>
      <c r="V139" s="1261"/>
      <c r="W139" s="122"/>
      <c r="X139" s="373"/>
      <c r="AF139" s="376"/>
      <c r="AN139" s="376"/>
      <c r="AV139" s="376"/>
    </row>
    <row r="140" spans="1:48" ht="15" customHeight="1" x14ac:dyDescent="0.25">
      <c r="A140" s="88">
        <f>Input!C53</f>
        <v>0</v>
      </c>
      <c r="B140" s="81"/>
      <c r="C140" s="92"/>
      <c r="D140" s="259">
        <f>SUM(A140)</f>
        <v>0</v>
      </c>
      <c r="E140" s="260"/>
      <c r="F140" s="260"/>
      <c r="G140" s="260"/>
      <c r="H140" s="261"/>
      <c r="I140" s="262"/>
      <c r="J140" s="76">
        <f t="shared" si="52"/>
        <v>0</v>
      </c>
      <c r="K140" s="82"/>
      <c r="L140" s="1267"/>
      <c r="M140" s="1266"/>
      <c r="N140" s="79">
        <f>SUM(Y137)</f>
        <v>0</v>
      </c>
      <c r="O140" s="76">
        <f t="shared" si="53"/>
        <v>0</v>
      </c>
      <c r="P140" s="1267"/>
      <c r="Q140" s="1265"/>
      <c r="R140" s="1265"/>
      <c r="S140" s="1266"/>
      <c r="T140" s="180">
        <f t="shared" si="54"/>
        <v>0</v>
      </c>
      <c r="U140" s="1260"/>
      <c r="V140" s="1261"/>
      <c r="W140" s="122"/>
      <c r="X140" s="373"/>
      <c r="AF140" s="376"/>
      <c r="AN140" s="376"/>
      <c r="AV140" s="376"/>
    </row>
    <row r="141" spans="1:48" ht="15" customHeight="1" x14ac:dyDescent="0.25">
      <c r="A141" s="88">
        <f>Input!C54</f>
        <v>0</v>
      </c>
      <c r="B141" s="81"/>
      <c r="C141" s="92"/>
      <c r="D141" s="259">
        <f>Input!C54</f>
        <v>0</v>
      </c>
      <c r="E141" s="260"/>
      <c r="F141" s="260"/>
      <c r="G141" s="260"/>
      <c r="H141" s="261"/>
      <c r="I141" s="262"/>
      <c r="J141" s="76">
        <f t="shared" si="52"/>
        <v>0</v>
      </c>
      <c r="K141" s="82"/>
      <c r="L141" s="1268"/>
      <c r="M141" s="1270"/>
      <c r="N141" s="79">
        <f>SUM(Y138)</f>
        <v>0</v>
      </c>
      <c r="O141" s="76">
        <f t="shared" si="53"/>
        <v>0</v>
      </c>
      <c r="P141" s="1268"/>
      <c r="Q141" s="1269"/>
      <c r="R141" s="1269"/>
      <c r="S141" s="1270"/>
      <c r="T141" s="180">
        <f t="shared" si="54"/>
        <v>0</v>
      </c>
      <c r="U141" s="1262"/>
      <c r="V141" s="1263"/>
      <c r="W141" s="122"/>
      <c r="X141" s="373"/>
      <c r="AF141" s="376"/>
      <c r="AN141" s="376"/>
      <c r="AV141" s="376"/>
    </row>
    <row r="142" spans="1:48" ht="15" customHeight="1" x14ac:dyDescent="0.25">
      <c r="A142" s="1013"/>
      <c r="B142" s="1201"/>
      <c r="C142" s="1202" t="s">
        <v>25</v>
      </c>
      <c r="D142" s="1011"/>
      <c r="E142" s="1011"/>
      <c r="F142" s="1011"/>
      <c r="G142" s="1011"/>
      <c r="H142" s="1011"/>
      <c r="I142" s="1011"/>
      <c r="J142" s="1011"/>
      <c r="K142" s="1011"/>
      <c r="L142" s="1011"/>
      <c r="M142" s="1011"/>
      <c r="N142" s="1011"/>
      <c r="O142" s="1011"/>
      <c r="P142" s="1011"/>
      <c r="Q142" s="1011"/>
      <c r="R142" s="1011"/>
      <c r="S142" s="1011"/>
      <c r="T142" s="1012"/>
      <c r="U142" s="386">
        <f>SUM(T143:T148)</f>
        <v>0</v>
      </c>
      <c r="V142" s="299">
        <f>U142/D148</f>
        <v>0</v>
      </c>
      <c r="W142" s="122"/>
      <c r="X142" s="373"/>
      <c r="AF142" s="376"/>
      <c r="AN142" s="376"/>
      <c r="AV142" s="376"/>
    </row>
    <row r="143" spans="1:48" ht="15" customHeight="1" x14ac:dyDescent="0.25">
      <c r="A143" s="1277"/>
      <c r="B143" s="1278"/>
      <c r="C143" s="75" t="str">
        <f>C124</f>
        <v>Select Fascia</v>
      </c>
      <c r="D143" s="259">
        <f>SUM(D124*10)+0.00001</f>
        <v>1.0000000000000001E-5</v>
      </c>
      <c r="E143" s="260"/>
      <c r="F143" s="260"/>
      <c r="G143" s="260"/>
      <c r="H143" s="261"/>
      <c r="I143" s="262"/>
      <c r="J143" s="76">
        <f t="shared" ref="J143:J148" si="58">IF(D143&lt;&gt;0,D143,0)*IF(E143&lt;&gt;0,E143,1)*IF(F143&lt;&gt;0,F143,1)*IF(G143&lt;&gt;0,G143,1)*IF(H143&lt;&gt;0,H143,1)/IF(I143&lt;&gt;0,I143,1)</f>
        <v>1.0000000000000001E-5</v>
      </c>
      <c r="K143" s="77" t="s">
        <v>174</v>
      </c>
      <c r="L143" s="78"/>
      <c r="M143" s="76">
        <f t="shared" ref="M143:M148" si="59">ROUND(J143*L143,0)</f>
        <v>0</v>
      </c>
      <c r="N143" s="79">
        <v>3</v>
      </c>
      <c r="O143" s="76">
        <f t="shared" ref="O143:O148" si="60">ROUND(J143*N143,0)</f>
        <v>0</v>
      </c>
      <c r="P143" s="78"/>
      <c r="Q143" s="76">
        <f t="shared" ref="Q143:Q148" si="61">ROUND(J143*P143,0)</f>
        <v>0</v>
      </c>
      <c r="R143" s="78"/>
      <c r="S143" s="76">
        <f t="shared" ref="S143:S148" si="62">ROUND(J143*R143,0)</f>
        <v>0</v>
      </c>
      <c r="T143" s="180">
        <f t="shared" ref="T143:T148" si="63">ROUND(M143+O143+Q143+S143,0)</f>
        <v>0</v>
      </c>
      <c r="U143" s="1293"/>
      <c r="V143" s="388" cm="1">
        <f t="array" ref="V143">SUM((T124:T125+T143)/D143)</f>
        <v>0</v>
      </c>
      <c r="W143" s="122"/>
      <c r="X143" s="373"/>
      <c r="AF143" s="376"/>
      <c r="AN143" s="376"/>
      <c r="AV143" s="376"/>
    </row>
    <row r="144" spans="1:48" ht="15" customHeight="1" x14ac:dyDescent="0.25">
      <c r="A144" s="1279"/>
      <c r="B144" s="1280"/>
      <c r="C144" s="75" t="s">
        <v>1166</v>
      </c>
      <c r="D144" s="259">
        <f>SUM(A126+A133*B133)+0.00001</f>
        <v>1.0000000000000001E-5</v>
      </c>
      <c r="E144" s="260"/>
      <c r="F144" s="260"/>
      <c r="G144" s="260"/>
      <c r="H144" s="261"/>
      <c r="I144" s="262"/>
      <c r="J144" s="76">
        <f t="shared" si="58"/>
        <v>1.0000000000000001E-5</v>
      </c>
      <c r="K144" s="77" t="s">
        <v>174</v>
      </c>
      <c r="L144" s="78"/>
      <c r="M144" s="76">
        <f t="shared" si="59"/>
        <v>0</v>
      </c>
      <c r="N144" s="79">
        <f>N143</f>
        <v>3</v>
      </c>
      <c r="O144" s="76">
        <f t="shared" si="60"/>
        <v>0</v>
      </c>
      <c r="P144" s="78"/>
      <c r="Q144" s="76">
        <f t="shared" si="61"/>
        <v>0</v>
      </c>
      <c r="R144" s="78"/>
      <c r="S144" s="76">
        <f t="shared" si="62"/>
        <v>0</v>
      </c>
      <c r="T144" s="180">
        <f t="shared" si="63"/>
        <v>0</v>
      </c>
      <c r="U144" s="1293"/>
      <c r="V144" s="388" cm="1">
        <f t="array" ref="V144">SUM(T126:T127+T144)/D144</f>
        <v>0</v>
      </c>
      <c r="W144" s="122"/>
      <c r="X144" s="373"/>
      <c r="AF144" s="376"/>
      <c r="AN144" s="376"/>
      <c r="AV144" s="376"/>
    </row>
    <row r="145" spans="1:55" ht="15" customHeight="1" x14ac:dyDescent="0.25">
      <c r="A145" s="1279"/>
      <c r="B145" s="1280"/>
      <c r="C145" s="75" t="str">
        <f>C139</f>
        <v>Aul-Rex M5200</v>
      </c>
      <c r="D145" s="259">
        <f>D139</f>
        <v>0</v>
      </c>
      <c r="E145" s="260"/>
      <c r="F145" s="260"/>
      <c r="G145" s="260"/>
      <c r="H145" s="261"/>
      <c r="I145" s="262"/>
      <c r="J145" s="76">
        <f t="shared" si="58"/>
        <v>0</v>
      </c>
      <c r="K145" s="77" t="s">
        <v>174</v>
      </c>
      <c r="L145" s="78"/>
      <c r="M145" s="76">
        <f t="shared" si="59"/>
        <v>0</v>
      </c>
      <c r="N145" s="79">
        <f>N144</f>
        <v>3</v>
      </c>
      <c r="O145" s="76">
        <f t="shared" si="60"/>
        <v>0</v>
      </c>
      <c r="P145" s="78"/>
      <c r="Q145" s="76">
        <f t="shared" si="61"/>
        <v>0</v>
      </c>
      <c r="R145" s="78"/>
      <c r="S145" s="76">
        <f t="shared" si="62"/>
        <v>0</v>
      </c>
      <c r="T145" s="180">
        <f t="shared" si="63"/>
        <v>0</v>
      </c>
      <c r="U145" s="1293"/>
      <c r="V145" s="388" t="e">
        <f>SUM(T140+T145)/D145</f>
        <v>#DIV/0!</v>
      </c>
      <c r="W145" s="122"/>
      <c r="X145" s="373"/>
      <c r="AF145" s="376"/>
      <c r="AN145" s="376"/>
      <c r="AV145" s="376"/>
    </row>
    <row r="146" spans="1:55" ht="15" customHeight="1" x14ac:dyDescent="0.25">
      <c r="A146" s="1279"/>
      <c r="B146" s="1280"/>
      <c r="C146" s="75" t="s">
        <v>178</v>
      </c>
      <c r="D146" s="259" cm="1">
        <f t="array" ref="D146">SUM(D128:D129+D134)+0.00001</f>
        <v>1.0000000000000001E-5</v>
      </c>
      <c r="E146" s="260"/>
      <c r="F146" s="260"/>
      <c r="G146" s="260"/>
      <c r="H146" s="261"/>
      <c r="I146" s="262"/>
      <c r="J146" s="76">
        <f t="shared" si="58"/>
        <v>1.0000000000000001E-5</v>
      </c>
      <c r="K146" s="77" t="s">
        <v>174</v>
      </c>
      <c r="L146" s="78"/>
      <c r="M146" s="76">
        <f t="shared" si="59"/>
        <v>0</v>
      </c>
      <c r="N146" s="79">
        <f>N145</f>
        <v>3</v>
      </c>
      <c r="O146" s="76">
        <f t="shared" si="60"/>
        <v>0</v>
      </c>
      <c r="P146" s="78"/>
      <c r="Q146" s="76">
        <f t="shared" si="61"/>
        <v>0</v>
      </c>
      <c r="R146" s="78"/>
      <c r="S146" s="76">
        <f t="shared" si="62"/>
        <v>0</v>
      </c>
      <c r="T146" s="180">
        <f t="shared" si="63"/>
        <v>0</v>
      </c>
      <c r="U146" s="1293"/>
      <c r="V146" s="388" cm="1">
        <f t="array" ref="V146">SUM(T129:T130+T146)/D146</f>
        <v>0</v>
      </c>
      <c r="W146" s="122"/>
      <c r="X146" s="373"/>
      <c r="AF146" s="376"/>
      <c r="AN146" s="376"/>
      <c r="AV146" s="376"/>
    </row>
    <row r="147" spans="1:55" s="17" customFormat="1" ht="16.5" customHeight="1" x14ac:dyDescent="0.25">
      <c r="A147" s="1279"/>
      <c r="B147" s="1280"/>
      <c r="C147" s="75" t="s">
        <v>175</v>
      </c>
      <c r="D147" s="259">
        <f>SUM(A136)+0.00001</f>
        <v>1.0000000000000001E-5</v>
      </c>
      <c r="E147" s="260"/>
      <c r="F147" s="260"/>
      <c r="G147" s="260"/>
      <c r="H147" s="261"/>
      <c r="I147" s="262"/>
      <c r="J147" s="76">
        <f t="shared" si="58"/>
        <v>1.0000000000000001E-5</v>
      </c>
      <c r="K147" s="77" t="s">
        <v>174</v>
      </c>
      <c r="L147" s="78"/>
      <c r="M147" s="76">
        <f t="shared" si="59"/>
        <v>0</v>
      </c>
      <c r="N147" s="79">
        <f>N146</f>
        <v>3</v>
      </c>
      <c r="O147" s="76">
        <f t="shared" si="60"/>
        <v>0</v>
      </c>
      <c r="P147" s="78"/>
      <c r="Q147" s="76">
        <f t="shared" si="61"/>
        <v>0</v>
      </c>
      <c r="R147" s="78"/>
      <c r="S147" s="76">
        <f t="shared" si="62"/>
        <v>0</v>
      </c>
      <c r="T147" s="180">
        <f t="shared" si="63"/>
        <v>0</v>
      </c>
      <c r="U147" s="1293"/>
      <c r="V147" s="388" cm="1">
        <f t="array" ref="V147">SUM(T136:T137+T147)/D147</f>
        <v>0</v>
      </c>
      <c r="W147" s="122"/>
      <c r="X147" s="373"/>
      <c r="Y147" s="328"/>
      <c r="Z147" s="328"/>
      <c r="AA147" s="328"/>
      <c r="AB147" s="328"/>
      <c r="AC147" s="328"/>
      <c r="AD147" s="328"/>
      <c r="AE147" s="363"/>
      <c r="AF147" s="376"/>
      <c r="AG147" s="328"/>
      <c r="AH147" s="328"/>
      <c r="AI147" s="328"/>
      <c r="AJ147" s="328"/>
      <c r="AK147" s="328"/>
      <c r="AL147" s="328"/>
      <c r="AM147" s="363"/>
      <c r="AN147" s="376"/>
      <c r="AO147" s="328"/>
      <c r="AP147" s="328"/>
      <c r="AQ147" s="328"/>
      <c r="AR147" s="328"/>
      <c r="AS147" s="328"/>
      <c r="AT147" s="328"/>
      <c r="AU147" s="363"/>
      <c r="AV147" s="376"/>
      <c r="AW147" s="328"/>
      <c r="AX147" s="328"/>
      <c r="AY147" s="328"/>
      <c r="AZ147" s="328"/>
      <c r="BA147" s="328"/>
      <c r="BB147" s="328"/>
      <c r="BC147" s="363"/>
    </row>
    <row r="148" spans="1:55" s="17" customFormat="1" ht="16.5" customHeight="1" x14ac:dyDescent="0.25">
      <c r="A148" s="1279"/>
      <c r="B148" s="1280"/>
      <c r="C148" s="86" t="s">
        <v>179</v>
      </c>
      <c r="D148" s="263">
        <f>SUM(D143:D147)+0.00001</f>
        <v>5.0000000000000002E-5</v>
      </c>
      <c r="E148" s="260"/>
      <c r="F148" s="260"/>
      <c r="G148" s="260"/>
      <c r="H148" s="261"/>
      <c r="I148" s="262"/>
      <c r="J148" s="76">
        <f t="shared" si="58"/>
        <v>5.0000000000000002E-5</v>
      </c>
      <c r="K148" s="77"/>
      <c r="L148" s="78"/>
      <c r="M148" s="76">
        <f t="shared" si="59"/>
        <v>0</v>
      </c>
      <c r="N148" s="78"/>
      <c r="O148" s="76">
        <f t="shared" si="60"/>
        <v>0</v>
      </c>
      <c r="P148" s="78"/>
      <c r="Q148" s="76">
        <f t="shared" si="61"/>
        <v>0</v>
      </c>
      <c r="R148" s="78"/>
      <c r="S148" s="76">
        <f t="shared" si="62"/>
        <v>0</v>
      </c>
      <c r="T148" s="180">
        <f t="shared" si="63"/>
        <v>0</v>
      </c>
      <c r="U148" s="1293"/>
      <c r="V148" s="389"/>
      <c r="W148" s="122"/>
      <c r="X148" s="373"/>
      <c r="Y148" s="328"/>
      <c r="Z148" s="328"/>
      <c r="AA148" s="328"/>
      <c r="AB148" s="328"/>
      <c r="AC148" s="328"/>
      <c r="AD148" s="328"/>
      <c r="AE148" s="363"/>
      <c r="AF148" s="376"/>
      <c r="AG148" s="328"/>
      <c r="AH148" s="328"/>
      <c r="AI148" s="328"/>
      <c r="AJ148" s="328"/>
      <c r="AK148" s="328"/>
      <c r="AL148" s="328"/>
      <c r="AM148" s="363"/>
      <c r="AN148" s="376"/>
      <c r="AO148" s="328"/>
      <c r="AP148" s="328"/>
      <c r="AQ148" s="328"/>
      <c r="AR148" s="328"/>
      <c r="AS148" s="328"/>
      <c r="AT148" s="328"/>
      <c r="AU148" s="363"/>
      <c r="AV148" s="376"/>
      <c r="AW148" s="328"/>
      <c r="AX148" s="328"/>
      <c r="AY148" s="328"/>
      <c r="AZ148" s="328"/>
      <c r="BA148" s="328"/>
      <c r="BB148" s="328"/>
      <c r="BC148" s="363"/>
    </row>
    <row r="149" spans="1:55" s="17" customFormat="1" ht="16.5" customHeight="1" x14ac:dyDescent="0.25">
      <c r="A149" s="1279"/>
      <c r="B149" s="1280"/>
      <c r="C149" s="1226" t="s">
        <v>26</v>
      </c>
      <c r="D149" s="1227"/>
      <c r="E149" s="1227"/>
      <c r="F149" s="1227"/>
      <c r="G149" s="1227"/>
      <c r="H149" s="1227"/>
      <c r="I149" s="1227"/>
      <c r="J149" s="1227"/>
      <c r="K149" s="1227"/>
      <c r="L149" s="1227"/>
      <c r="M149" s="1227"/>
      <c r="N149" s="1251"/>
      <c r="O149" s="994" t="s">
        <v>211</v>
      </c>
      <c r="P149" s="995"/>
      <c r="Q149" s="74" t="s">
        <v>330</v>
      </c>
      <c r="R149" s="45">
        <v>500</v>
      </c>
      <c r="S149" s="44">
        <f>SUM(D148/R149)</f>
        <v>1.0000000000000001E-7</v>
      </c>
      <c r="T149" s="73" t="s">
        <v>212</v>
      </c>
      <c r="U149" s="386">
        <f>SUM(T150:T165)</f>
        <v>0</v>
      </c>
      <c r="V149" s="299">
        <f>U149/D148</f>
        <v>0</v>
      </c>
      <c r="W149" s="122"/>
      <c r="X149" s="373"/>
      <c r="Y149" s="328"/>
      <c r="Z149" s="328"/>
      <c r="AA149" s="328"/>
      <c r="AB149" s="328"/>
      <c r="AC149" s="328"/>
      <c r="AD149" s="328"/>
      <c r="AE149" s="363"/>
      <c r="AF149" s="376"/>
      <c r="AG149" s="328"/>
      <c r="AH149" s="328"/>
      <c r="AI149" s="328"/>
      <c r="AJ149" s="328"/>
      <c r="AK149" s="328"/>
      <c r="AL149" s="328"/>
      <c r="AM149" s="363"/>
      <c r="AN149" s="376"/>
      <c r="AO149" s="328"/>
      <c r="AP149" s="328"/>
      <c r="AQ149" s="328"/>
      <c r="AR149" s="328"/>
      <c r="AS149" s="328"/>
      <c r="AT149" s="328"/>
      <c r="AU149" s="363"/>
      <c r="AV149" s="376"/>
      <c r="AW149" s="328"/>
      <c r="AX149" s="328"/>
      <c r="AY149" s="328"/>
      <c r="AZ149" s="328"/>
      <c r="BA149" s="328"/>
      <c r="BB149" s="328"/>
      <c r="BC149" s="363"/>
    </row>
    <row r="150" spans="1:55" s="17" customFormat="1" ht="16.5" customHeight="1" x14ac:dyDescent="0.25">
      <c r="A150" s="1279"/>
      <c r="B150" s="1280"/>
      <c r="C150" s="75" t="s">
        <v>27</v>
      </c>
      <c r="D150" s="173" cm="1">
        <f t="array" ref="D150">SUM((D124:D126+D133)/R149)</f>
        <v>0</v>
      </c>
      <c r="E150" s="174"/>
      <c r="F150" s="174"/>
      <c r="G150" s="174"/>
      <c r="H150" s="175">
        <v>3</v>
      </c>
      <c r="I150" s="176"/>
      <c r="J150" s="180">
        <f t="shared" ref="J150:J165" si="64">IF(D150&lt;&gt;0,D150,0)*IF(E150&lt;&gt;0,E150,1)*IF(F150&lt;&gt;0,F150,1)*IF(G150&lt;&gt;0,G150,1)*IF(H150&lt;&gt;0,H150,1)/IF(I150&lt;&gt;0,I150,1)</f>
        <v>0</v>
      </c>
      <c r="K150" s="82" t="s">
        <v>61</v>
      </c>
      <c r="L150" s="181">
        <f>L72</f>
        <v>50</v>
      </c>
      <c r="M150" s="180">
        <f t="shared" ref="M150:M165" si="65">ROUND(J150*L150,0)</f>
        <v>0</v>
      </c>
      <c r="N150" s="1360"/>
      <c r="O150" s="180">
        <f t="shared" ref="O150:O165" si="66">ROUND(J150*N150,0)</f>
        <v>0</v>
      </c>
      <c r="P150" s="1360"/>
      <c r="Q150" s="180">
        <f t="shared" ref="Q150:Q165" si="67">ROUND(J150*P150,0)</f>
        <v>0</v>
      </c>
      <c r="R150" s="79"/>
      <c r="S150" s="180">
        <f t="shared" ref="S150:S165" si="68">ROUND(J150*R150,0)</f>
        <v>0</v>
      </c>
      <c r="T150" s="180">
        <f t="shared" ref="T150:T165" si="69">ROUND(M150+O150+Q150+S150,0)</f>
        <v>0</v>
      </c>
      <c r="U150" s="1358" t="s">
        <v>165</v>
      </c>
      <c r="V150" s="1359"/>
      <c r="W150" s="122"/>
      <c r="X150" s="373"/>
      <c r="Y150" s="328"/>
      <c r="Z150" s="328"/>
      <c r="AA150" s="328"/>
      <c r="AB150" s="328"/>
      <c r="AC150" s="328"/>
      <c r="AD150" s="328"/>
      <c r="AE150" s="363"/>
      <c r="AF150" s="376"/>
      <c r="AG150" s="328"/>
      <c r="AH150" s="328"/>
      <c r="AI150" s="328"/>
      <c r="AJ150" s="328"/>
      <c r="AK150" s="328"/>
      <c r="AL150" s="328"/>
      <c r="AM150" s="363"/>
      <c r="AN150" s="376"/>
      <c r="AO150" s="328"/>
      <c r="AP150" s="328"/>
      <c r="AQ150" s="328"/>
      <c r="AR150" s="328"/>
      <c r="AS150" s="328"/>
      <c r="AT150" s="328"/>
      <c r="AU150" s="363"/>
      <c r="AV150" s="376"/>
      <c r="AW150" s="328"/>
      <c r="AX150" s="328"/>
      <c r="AY150" s="328"/>
      <c r="AZ150" s="328"/>
      <c r="BA150" s="328"/>
      <c r="BB150" s="328"/>
      <c r="BC150" s="363"/>
    </row>
    <row r="151" spans="1:55" s="17" customFormat="1" ht="16.5" customHeight="1" x14ac:dyDescent="0.25">
      <c r="A151" s="1279"/>
      <c r="B151" s="1280"/>
      <c r="C151" s="75" t="s">
        <v>604</v>
      </c>
      <c r="D151" s="177">
        <v>1</v>
      </c>
      <c r="E151" s="174"/>
      <c r="F151" s="174"/>
      <c r="G151" s="174"/>
      <c r="H151" s="175"/>
      <c r="I151" s="176"/>
      <c r="J151" s="180">
        <f t="shared" si="64"/>
        <v>1</v>
      </c>
      <c r="K151" s="82" t="s">
        <v>124</v>
      </c>
      <c r="L151" s="181"/>
      <c r="M151" s="180">
        <f t="shared" si="65"/>
        <v>0</v>
      </c>
      <c r="N151" s="1361"/>
      <c r="O151" s="180">
        <f t="shared" si="66"/>
        <v>0</v>
      </c>
      <c r="P151" s="1361"/>
      <c r="Q151" s="180">
        <f t="shared" si="67"/>
        <v>0</v>
      </c>
      <c r="R151" s="79"/>
      <c r="S151" s="180">
        <f t="shared" si="68"/>
        <v>0</v>
      </c>
      <c r="T151" s="180">
        <f t="shared" si="69"/>
        <v>0</v>
      </c>
      <c r="U151" s="1358"/>
      <c r="V151" s="1359"/>
      <c r="W151" s="122"/>
      <c r="X151" s="373"/>
      <c r="Y151" s="328"/>
      <c r="Z151" s="328"/>
      <c r="AA151" s="328"/>
      <c r="AB151" s="328"/>
      <c r="AC151" s="328"/>
      <c r="AD151" s="328"/>
      <c r="AE151" s="363"/>
      <c r="AF151" s="376"/>
      <c r="AG151" s="328"/>
      <c r="AH151" s="328"/>
      <c r="AI151" s="328"/>
      <c r="AJ151" s="328"/>
      <c r="AK151" s="328"/>
      <c r="AL151" s="328"/>
      <c r="AM151" s="363"/>
      <c r="AN151" s="376"/>
      <c r="AO151" s="328"/>
      <c r="AP151" s="328"/>
      <c r="AQ151" s="328"/>
      <c r="AR151" s="328"/>
      <c r="AS151" s="328"/>
      <c r="AT151" s="328"/>
      <c r="AU151" s="363"/>
      <c r="AV151" s="376"/>
      <c r="AW151" s="328"/>
      <c r="AX151" s="328"/>
      <c r="AY151" s="328"/>
      <c r="AZ151" s="328"/>
      <c r="BA151" s="328"/>
      <c r="BB151" s="328"/>
      <c r="BC151" s="363"/>
    </row>
    <row r="152" spans="1:55" s="17" customFormat="1" ht="16.5" customHeight="1" x14ac:dyDescent="0.25">
      <c r="A152" s="1279"/>
      <c r="B152" s="1280"/>
      <c r="C152" s="75" t="s">
        <v>1082</v>
      </c>
      <c r="D152" s="288">
        <v>0</v>
      </c>
      <c r="E152" s="174"/>
      <c r="F152" s="174"/>
      <c r="G152" s="174"/>
      <c r="H152" s="175"/>
      <c r="I152" s="176"/>
      <c r="J152" s="180">
        <f t="shared" si="64"/>
        <v>0</v>
      </c>
      <c r="K152" s="82" t="s">
        <v>203</v>
      </c>
      <c r="L152" s="181"/>
      <c r="M152" s="180">
        <f t="shared" si="65"/>
        <v>0</v>
      </c>
      <c r="N152" s="1361"/>
      <c r="O152" s="327">
        <f t="shared" si="66"/>
        <v>0</v>
      </c>
      <c r="P152" s="1361"/>
      <c r="Q152" s="303">
        <f t="shared" si="67"/>
        <v>0</v>
      </c>
      <c r="R152" s="181">
        <v>500</v>
      </c>
      <c r="S152" s="180">
        <f t="shared" si="68"/>
        <v>0</v>
      </c>
      <c r="T152" s="180">
        <f t="shared" si="69"/>
        <v>0</v>
      </c>
      <c r="U152" s="1358"/>
      <c r="V152" s="1359"/>
      <c r="W152" s="122"/>
      <c r="X152" s="373"/>
      <c r="Y152" s="328"/>
      <c r="Z152" s="328"/>
      <c r="AA152" s="328"/>
      <c r="AB152" s="328"/>
      <c r="AC152" s="328"/>
      <c r="AD152" s="328"/>
      <c r="AE152" s="363"/>
      <c r="AF152" s="376"/>
      <c r="AG152" s="328"/>
      <c r="AH152" s="328"/>
      <c r="AI152" s="328"/>
      <c r="AJ152" s="328"/>
      <c r="AK152" s="328"/>
      <c r="AL152" s="328"/>
      <c r="AM152" s="363"/>
      <c r="AN152" s="376"/>
      <c r="AO152" s="328"/>
      <c r="AP152" s="328"/>
      <c r="AQ152" s="328"/>
      <c r="AR152" s="328"/>
      <c r="AS152" s="328"/>
      <c r="AT152" s="328"/>
      <c r="AU152" s="363"/>
      <c r="AV152" s="376"/>
      <c r="AW152" s="328"/>
      <c r="AX152" s="328"/>
      <c r="AY152" s="328"/>
      <c r="AZ152" s="328"/>
      <c r="BA152" s="328"/>
      <c r="BB152" s="328"/>
      <c r="BC152" s="363"/>
    </row>
    <row r="153" spans="1:55" s="17" customFormat="1" ht="16.5" customHeight="1" x14ac:dyDescent="0.25">
      <c r="A153" s="1279"/>
      <c r="B153" s="1280"/>
      <c r="C153" s="75" t="s">
        <v>42</v>
      </c>
      <c r="D153" s="177">
        <v>1</v>
      </c>
      <c r="E153" s="174"/>
      <c r="F153" s="174"/>
      <c r="G153" s="174"/>
      <c r="H153" s="175"/>
      <c r="I153" s="176"/>
      <c r="J153" s="180">
        <f t="shared" si="64"/>
        <v>1</v>
      </c>
      <c r="K153" s="82" t="s">
        <v>203</v>
      </c>
      <c r="L153" s="181"/>
      <c r="M153" s="180">
        <f t="shared" si="65"/>
        <v>0</v>
      </c>
      <c r="N153" s="1361"/>
      <c r="O153" s="180">
        <f t="shared" si="66"/>
        <v>0</v>
      </c>
      <c r="P153" s="1361"/>
      <c r="Q153" s="180">
        <f t="shared" si="67"/>
        <v>0</v>
      </c>
      <c r="R153" s="79"/>
      <c r="S153" s="180">
        <f t="shared" si="68"/>
        <v>0</v>
      </c>
      <c r="T153" s="180">
        <f t="shared" si="69"/>
        <v>0</v>
      </c>
      <c r="U153" s="1358"/>
      <c r="V153" s="1359"/>
      <c r="W153" s="122"/>
      <c r="X153" s="373"/>
      <c r="Y153" s="328"/>
      <c r="Z153" s="328"/>
      <c r="AA153" s="328"/>
      <c r="AB153" s="328"/>
      <c r="AC153" s="328"/>
      <c r="AD153" s="328"/>
      <c r="AE153" s="363"/>
      <c r="AF153" s="376"/>
      <c r="AG153" s="328"/>
      <c r="AH153" s="328"/>
      <c r="AI153" s="328"/>
      <c r="AJ153" s="328"/>
      <c r="AK153" s="328"/>
      <c r="AL153" s="328"/>
      <c r="AM153" s="363"/>
      <c r="AN153" s="376"/>
      <c r="AO153" s="328"/>
      <c r="AP153" s="328"/>
      <c r="AQ153" s="328"/>
      <c r="AR153" s="328"/>
      <c r="AS153" s="328"/>
      <c r="AT153" s="328"/>
      <c r="AU153" s="363"/>
      <c r="AV153" s="376"/>
      <c r="AW153" s="328"/>
      <c r="AX153" s="328"/>
      <c r="AY153" s="328"/>
      <c r="AZ153" s="328"/>
      <c r="BA153" s="328"/>
      <c r="BB153" s="328"/>
      <c r="BC153" s="363"/>
    </row>
    <row r="154" spans="1:55" s="17" customFormat="1" ht="15.95" customHeight="1" x14ac:dyDescent="0.25">
      <c r="A154" s="1279"/>
      <c r="B154" s="1280"/>
      <c r="C154" s="75" t="s">
        <v>194</v>
      </c>
      <c r="D154" s="173">
        <f>SUM(S159)</f>
        <v>0</v>
      </c>
      <c r="E154" s="174"/>
      <c r="F154" s="174"/>
      <c r="G154" s="174"/>
      <c r="H154" s="175">
        <v>4</v>
      </c>
      <c r="I154" s="176"/>
      <c r="J154" s="180">
        <f t="shared" si="64"/>
        <v>0</v>
      </c>
      <c r="K154" s="82" t="s">
        <v>61</v>
      </c>
      <c r="L154" s="181">
        <f>L76</f>
        <v>35</v>
      </c>
      <c r="M154" s="180">
        <f t="shared" si="65"/>
        <v>0</v>
      </c>
      <c r="N154" s="1361"/>
      <c r="O154" s="180">
        <f t="shared" si="66"/>
        <v>0</v>
      </c>
      <c r="P154" s="1361"/>
      <c r="Q154" s="180">
        <f t="shared" si="67"/>
        <v>0</v>
      </c>
      <c r="R154" s="79"/>
      <c r="S154" s="180">
        <f t="shared" si="68"/>
        <v>0</v>
      </c>
      <c r="T154" s="180">
        <f t="shared" si="69"/>
        <v>0</v>
      </c>
      <c r="U154" s="1358"/>
      <c r="V154" s="1359"/>
      <c r="W154" s="122"/>
      <c r="X154" s="373"/>
      <c r="Y154" s="328"/>
      <c r="Z154" s="328"/>
      <c r="AA154" s="328"/>
      <c r="AB154" s="328"/>
      <c r="AC154" s="328"/>
      <c r="AD154" s="328"/>
      <c r="AE154" s="363"/>
      <c r="AF154" s="376"/>
      <c r="AG154" s="328"/>
      <c r="AH154" s="328"/>
      <c r="AI154" s="328"/>
      <c r="AJ154" s="328"/>
      <c r="AK154" s="328"/>
      <c r="AL154" s="328"/>
      <c r="AM154" s="363"/>
      <c r="AN154" s="376"/>
      <c r="AO154" s="328"/>
      <c r="AP154" s="328"/>
      <c r="AQ154" s="328"/>
      <c r="AR154" s="328"/>
      <c r="AS154" s="328"/>
      <c r="AT154" s="328"/>
      <c r="AU154" s="363"/>
      <c r="AV154" s="376"/>
      <c r="AW154" s="328"/>
      <c r="AX154" s="328"/>
      <c r="AY154" s="328"/>
      <c r="AZ154" s="328"/>
      <c r="BA154" s="328"/>
      <c r="BB154" s="328"/>
      <c r="BC154" s="363"/>
    </row>
    <row r="155" spans="1:55" s="17" customFormat="1" ht="15.95" customHeight="1" x14ac:dyDescent="0.25">
      <c r="A155" s="1279"/>
      <c r="B155" s="1280"/>
      <c r="C155" s="75" t="s">
        <v>125</v>
      </c>
      <c r="D155" s="173">
        <v>1</v>
      </c>
      <c r="E155" s="174"/>
      <c r="F155" s="174"/>
      <c r="G155" s="174"/>
      <c r="H155" s="175"/>
      <c r="I155" s="176"/>
      <c r="J155" s="180">
        <f t="shared" si="64"/>
        <v>1</v>
      </c>
      <c r="K155" s="82" t="s">
        <v>124</v>
      </c>
      <c r="L155" s="181"/>
      <c r="M155" s="180">
        <f t="shared" si="65"/>
        <v>0</v>
      </c>
      <c r="N155" s="1361"/>
      <c r="O155" s="180">
        <f t="shared" si="66"/>
        <v>0</v>
      </c>
      <c r="P155" s="1361"/>
      <c r="Q155" s="180">
        <f t="shared" si="67"/>
        <v>0</v>
      </c>
      <c r="R155" s="79">
        <f>(T107/R100)*(S149/5)</f>
        <v>0</v>
      </c>
      <c r="S155" s="180">
        <f t="shared" si="68"/>
        <v>0</v>
      </c>
      <c r="T155" s="180">
        <f t="shared" si="69"/>
        <v>0</v>
      </c>
      <c r="U155" s="1358"/>
      <c r="V155" s="1359"/>
      <c r="W155" s="122">
        <v>0</v>
      </c>
      <c r="X155" s="373"/>
      <c r="Y155" s="328"/>
      <c r="Z155" s="328"/>
      <c r="AA155" s="328"/>
      <c r="AB155" s="328"/>
      <c r="AC155" s="328"/>
      <c r="AD155" s="328"/>
      <c r="AE155" s="363"/>
      <c r="AF155" s="376"/>
      <c r="AG155" s="328"/>
      <c r="AH155" s="328"/>
      <c r="AI155" s="328"/>
      <c r="AJ155" s="328"/>
      <c r="AK155" s="328"/>
      <c r="AL155" s="328"/>
      <c r="AM155" s="363"/>
      <c r="AN155" s="376"/>
      <c r="AO155" s="328"/>
      <c r="AP155" s="328"/>
      <c r="AQ155" s="328"/>
      <c r="AR155" s="328"/>
      <c r="AS155" s="328"/>
      <c r="AT155" s="328"/>
      <c r="AU155" s="363"/>
      <c r="AV155" s="376"/>
      <c r="AW155" s="328"/>
      <c r="AX155" s="328"/>
      <c r="AY155" s="328"/>
      <c r="AZ155" s="328"/>
      <c r="BA155" s="328"/>
      <c r="BB155" s="328"/>
      <c r="BC155" s="363"/>
    </row>
    <row r="156" spans="1:55" s="17" customFormat="1" ht="15.95" customHeight="1" x14ac:dyDescent="0.25">
      <c r="A156" s="1279"/>
      <c r="B156" s="1280"/>
      <c r="C156" s="75" t="s">
        <v>126</v>
      </c>
      <c r="D156" s="288">
        <v>0</v>
      </c>
      <c r="E156" s="174"/>
      <c r="F156" s="174"/>
      <c r="G156" s="174"/>
      <c r="H156" s="175"/>
      <c r="I156" s="176"/>
      <c r="J156" s="180">
        <f t="shared" si="64"/>
        <v>0</v>
      </c>
      <c r="K156" s="82" t="s">
        <v>124</v>
      </c>
      <c r="L156" s="181"/>
      <c r="M156" s="180">
        <f t="shared" si="65"/>
        <v>0</v>
      </c>
      <c r="N156" s="1361"/>
      <c r="O156" s="180">
        <f t="shared" si="66"/>
        <v>0</v>
      </c>
      <c r="P156" s="1361"/>
      <c r="Q156" s="180">
        <f t="shared" si="67"/>
        <v>0</v>
      </c>
      <c r="R156" s="79">
        <f>(M107/R100)*(S149/4)</f>
        <v>0</v>
      </c>
      <c r="S156" s="180">
        <f t="shared" si="68"/>
        <v>0</v>
      </c>
      <c r="T156" s="180">
        <f t="shared" si="69"/>
        <v>0</v>
      </c>
      <c r="U156" s="1358"/>
      <c r="V156" s="1359"/>
      <c r="W156" s="122"/>
      <c r="X156" s="373"/>
      <c r="Y156" s="328"/>
      <c r="Z156" s="328"/>
      <c r="AA156" s="328"/>
      <c r="AB156" s="328"/>
      <c r="AC156" s="328"/>
      <c r="AD156" s="328"/>
      <c r="AE156" s="363"/>
      <c r="AF156" s="376"/>
      <c r="AG156" s="328"/>
      <c r="AH156" s="328"/>
      <c r="AI156" s="328"/>
      <c r="AJ156" s="328"/>
      <c r="AK156" s="328"/>
      <c r="AL156" s="328"/>
      <c r="AM156" s="363"/>
      <c r="AN156" s="376"/>
      <c r="AO156" s="328"/>
      <c r="AP156" s="328"/>
      <c r="AQ156" s="328"/>
      <c r="AR156" s="328"/>
      <c r="AS156" s="328"/>
      <c r="AT156" s="328"/>
      <c r="AU156" s="363"/>
      <c r="AV156" s="376"/>
      <c r="AW156" s="328"/>
      <c r="AX156" s="328"/>
      <c r="AY156" s="328"/>
      <c r="AZ156" s="328"/>
      <c r="BA156" s="328"/>
      <c r="BB156" s="328"/>
      <c r="BC156" s="363"/>
    </row>
    <row r="157" spans="1:55" s="17" customFormat="1" ht="15.95" customHeight="1" x14ac:dyDescent="0.25">
      <c r="A157" s="1279"/>
      <c r="B157" s="1280"/>
      <c r="C157" s="75" t="s">
        <v>28</v>
      </c>
      <c r="D157" s="222">
        <f>SUM(A93)</f>
        <v>0</v>
      </c>
      <c r="E157" s="174"/>
      <c r="F157" s="174"/>
      <c r="G157" s="174"/>
      <c r="H157" s="175"/>
      <c r="I157" s="176">
        <v>100</v>
      </c>
      <c r="J157" s="180">
        <f t="shared" si="64"/>
        <v>0</v>
      </c>
      <c r="K157" s="82" t="s">
        <v>180</v>
      </c>
      <c r="L157" s="181"/>
      <c r="M157" s="180">
        <f t="shared" si="65"/>
        <v>0</v>
      </c>
      <c r="N157" s="1361"/>
      <c r="O157" s="180">
        <f t="shared" si="66"/>
        <v>0</v>
      </c>
      <c r="P157" s="1361"/>
      <c r="Q157" s="180">
        <f t="shared" si="67"/>
        <v>0</v>
      </c>
      <c r="R157" s="79">
        <v>22</v>
      </c>
      <c r="S157" s="180">
        <f t="shared" si="68"/>
        <v>0</v>
      </c>
      <c r="T157" s="180">
        <f t="shared" si="69"/>
        <v>0</v>
      </c>
      <c r="U157" s="1358"/>
      <c r="V157" s="1359"/>
      <c r="W157" s="122"/>
      <c r="X157" s="373"/>
      <c r="Y157" s="328"/>
      <c r="Z157" s="328"/>
      <c r="AA157" s="328"/>
      <c r="AB157" s="328"/>
      <c r="AC157" s="328"/>
      <c r="AD157" s="328"/>
      <c r="AE157" s="363"/>
      <c r="AF157" s="376"/>
      <c r="AG157" s="328"/>
      <c r="AH157" s="328"/>
      <c r="AI157" s="328"/>
      <c r="AJ157" s="328"/>
      <c r="AK157" s="328"/>
      <c r="AL157" s="328"/>
      <c r="AM157" s="363"/>
      <c r="AN157" s="376"/>
      <c r="AO157" s="328"/>
      <c r="AP157" s="328"/>
      <c r="AQ157" s="328"/>
      <c r="AR157" s="328"/>
      <c r="AS157" s="328"/>
      <c r="AT157" s="328"/>
      <c r="AU157" s="363"/>
      <c r="AV157" s="376"/>
      <c r="AW157" s="328"/>
      <c r="AX157" s="328"/>
      <c r="AY157" s="328"/>
      <c r="AZ157" s="328"/>
      <c r="BA157" s="328"/>
      <c r="BB157" s="328"/>
      <c r="BC157" s="363"/>
    </row>
    <row r="158" spans="1:55" s="17" customFormat="1" ht="15.95" customHeight="1" x14ac:dyDescent="0.25">
      <c r="A158" s="1279"/>
      <c r="B158" s="1280"/>
      <c r="C158" s="75" t="s">
        <v>38</v>
      </c>
      <c r="D158" s="323">
        <v>0</v>
      </c>
      <c r="E158" s="174"/>
      <c r="F158" s="174"/>
      <c r="G158" s="174"/>
      <c r="H158" s="175"/>
      <c r="I158" s="176"/>
      <c r="J158" s="180">
        <f t="shared" si="64"/>
        <v>0</v>
      </c>
      <c r="K158" s="82" t="s">
        <v>202</v>
      </c>
      <c r="L158" s="181"/>
      <c r="M158" s="180">
        <f t="shared" si="65"/>
        <v>0</v>
      </c>
      <c r="N158" s="1361"/>
      <c r="O158" s="180">
        <f t="shared" si="66"/>
        <v>0</v>
      </c>
      <c r="P158" s="1361"/>
      <c r="Q158" s="180">
        <f t="shared" si="67"/>
        <v>0</v>
      </c>
      <c r="R158" s="79">
        <v>325</v>
      </c>
      <c r="S158" s="180">
        <f t="shared" si="68"/>
        <v>0</v>
      </c>
      <c r="T158" s="180">
        <f t="shared" si="69"/>
        <v>0</v>
      </c>
      <c r="U158" s="1358"/>
      <c r="V158" s="1359"/>
      <c r="W158" s="122"/>
      <c r="X158" s="373"/>
      <c r="Y158" s="328"/>
      <c r="Z158" s="328"/>
      <c r="AA158" s="328"/>
      <c r="AB158" s="328"/>
      <c r="AC158" s="328"/>
      <c r="AD158" s="328"/>
      <c r="AE158" s="363"/>
      <c r="AF158" s="376"/>
      <c r="AG158" s="328"/>
      <c r="AH158" s="328"/>
      <c r="AI158" s="328"/>
      <c r="AJ158" s="328"/>
      <c r="AK158" s="328"/>
      <c r="AL158" s="328"/>
      <c r="AM158" s="363"/>
      <c r="AN158" s="376"/>
      <c r="AO158" s="328"/>
      <c r="AP158" s="328"/>
      <c r="AQ158" s="328"/>
      <c r="AR158" s="328"/>
      <c r="AS158" s="328"/>
      <c r="AT158" s="328"/>
      <c r="AU158" s="363"/>
      <c r="AV158" s="376"/>
      <c r="AW158" s="328"/>
      <c r="AX158" s="328"/>
      <c r="AY158" s="328"/>
      <c r="AZ158" s="328"/>
      <c r="BA158" s="328"/>
      <c r="BB158" s="328"/>
      <c r="BC158" s="363"/>
    </row>
    <row r="159" spans="1:55" s="17" customFormat="1" ht="15.95" customHeight="1" x14ac:dyDescent="0.25">
      <c r="A159" s="1279"/>
      <c r="B159" s="1280"/>
      <c r="C159" s="75" t="s">
        <v>29</v>
      </c>
      <c r="D159" s="179">
        <f>D150</f>
        <v>0</v>
      </c>
      <c r="E159" s="174"/>
      <c r="F159" s="174"/>
      <c r="G159" s="174"/>
      <c r="H159" s="175">
        <v>2</v>
      </c>
      <c r="I159" s="176"/>
      <c r="J159" s="180">
        <f t="shared" si="64"/>
        <v>0</v>
      </c>
      <c r="K159" s="82" t="s">
        <v>61</v>
      </c>
      <c r="L159" s="181">
        <f>L82</f>
        <v>125</v>
      </c>
      <c r="M159" s="180">
        <f t="shared" si="65"/>
        <v>0</v>
      </c>
      <c r="N159" s="1361"/>
      <c r="O159" s="180">
        <f t="shared" si="66"/>
        <v>0</v>
      </c>
      <c r="P159" s="1361"/>
      <c r="Q159" s="180">
        <f t="shared" si="67"/>
        <v>0</v>
      </c>
      <c r="R159" s="79"/>
      <c r="S159" s="180">
        <f t="shared" si="68"/>
        <v>0</v>
      </c>
      <c r="T159" s="180">
        <f t="shared" si="69"/>
        <v>0</v>
      </c>
      <c r="U159" s="1358"/>
      <c r="V159" s="1359"/>
      <c r="W159" s="122"/>
      <c r="X159" s="373"/>
      <c r="Y159" s="328"/>
      <c r="Z159" s="328"/>
      <c r="AA159" s="328"/>
      <c r="AB159" s="328"/>
      <c r="AC159" s="328"/>
    </row>
    <row r="160" spans="1:55" s="17" customFormat="1" ht="15.95" customHeight="1" x14ac:dyDescent="0.25">
      <c r="A160" s="1279"/>
      <c r="B160" s="1280"/>
      <c r="C160" s="75" t="s">
        <v>606</v>
      </c>
      <c r="D160" s="173"/>
      <c r="E160" s="174"/>
      <c r="F160" s="174"/>
      <c r="G160" s="174"/>
      <c r="H160" s="175">
        <v>2</v>
      </c>
      <c r="I160" s="176"/>
      <c r="J160" s="180">
        <f t="shared" si="64"/>
        <v>0</v>
      </c>
      <c r="K160" s="82" t="s">
        <v>196</v>
      </c>
      <c r="L160" s="181"/>
      <c r="M160" s="180">
        <f t="shared" si="65"/>
        <v>0</v>
      </c>
      <c r="N160" s="1361"/>
      <c r="O160" s="180">
        <f t="shared" si="66"/>
        <v>0</v>
      </c>
      <c r="P160" s="1361"/>
      <c r="Q160" s="180">
        <f t="shared" si="67"/>
        <v>0</v>
      </c>
      <c r="R160" s="79">
        <v>20</v>
      </c>
      <c r="S160" s="180">
        <f t="shared" si="68"/>
        <v>0</v>
      </c>
      <c r="T160" s="180">
        <f t="shared" si="69"/>
        <v>0</v>
      </c>
      <c r="U160" s="1358"/>
      <c r="V160" s="1359"/>
      <c r="W160" s="122"/>
      <c r="X160" s="373"/>
      <c r="Y160" s="328"/>
      <c r="Z160" s="328"/>
      <c r="AA160" s="328"/>
      <c r="AB160" s="328"/>
      <c r="AC160" s="328"/>
    </row>
    <row r="161" spans="1:55" s="17" customFormat="1" ht="15.95" customHeight="1" x14ac:dyDescent="0.25">
      <c r="A161" s="1279"/>
      <c r="B161" s="1280"/>
      <c r="C161" s="75" t="s">
        <v>607</v>
      </c>
      <c r="D161" s="173"/>
      <c r="E161" s="174"/>
      <c r="F161" s="174"/>
      <c r="G161" s="174"/>
      <c r="H161" s="175">
        <v>2</v>
      </c>
      <c r="I161" s="176"/>
      <c r="J161" s="180">
        <f t="shared" si="64"/>
        <v>0</v>
      </c>
      <c r="K161" s="82" t="s">
        <v>196</v>
      </c>
      <c r="L161" s="181"/>
      <c r="M161" s="180">
        <f t="shared" si="65"/>
        <v>0</v>
      </c>
      <c r="N161" s="1361"/>
      <c r="O161" s="180">
        <f t="shared" si="66"/>
        <v>0</v>
      </c>
      <c r="P161" s="1361"/>
      <c r="Q161" s="180">
        <f t="shared" si="67"/>
        <v>0</v>
      </c>
      <c r="R161" s="79">
        <v>20</v>
      </c>
      <c r="S161" s="180">
        <f t="shared" si="68"/>
        <v>0</v>
      </c>
      <c r="T161" s="180">
        <f t="shared" si="69"/>
        <v>0</v>
      </c>
      <c r="U161" s="1358"/>
      <c r="V161" s="1359"/>
      <c r="W161" s="122"/>
      <c r="X161" s="373"/>
      <c r="Y161" s="328"/>
      <c r="Z161" s="328"/>
      <c r="AA161" s="328"/>
      <c r="AB161" s="328"/>
      <c r="AC161" s="328"/>
    </row>
    <row r="162" spans="1:55" s="17" customFormat="1" ht="15.95" customHeight="1" x14ac:dyDescent="0.25">
      <c r="A162" s="1279"/>
      <c r="B162" s="1280"/>
      <c r="C162" s="75" t="s">
        <v>608</v>
      </c>
      <c r="D162" s="173"/>
      <c r="E162" s="174"/>
      <c r="F162" s="174"/>
      <c r="G162" s="174"/>
      <c r="H162" s="175">
        <v>2</v>
      </c>
      <c r="I162" s="176"/>
      <c r="J162" s="180">
        <f t="shared" si="64"/>
        <v>0</v>
      </c>
      <c r="K162" s="82" t="s">
        <v>196</v>
      </c>
      <c r="L162" s="181"/>
      <c r="M162" s="180">
        <f t="shared" si="65"/>
        <v>0</v>
      </c>
      <c r="N162" s="1361"/>
      <c r="O162" s="180">
        <f t="shared" si="66"/>
        <v>0</v>
      </c>
      <c r="P162" s="1361"/>
      <c r="Q162" s="180">
        <f t="shared" si="67"/>
        <v>0</v>
      </c>
      <c r="R162" s="79">
        <v>20</v>
      </c>
      <c r="S162" s="180">
        <f t="shared" si="68"/>
        <v>0</v>
      </c>
      <c r="T162" s="180">
        <f t="shared" si="69"/>
        <v>0</v>
      </c>
      <c r="U162" s="1358"/>
      <c r="V162" s="1359"/>
      <c r="W162" s="122"/>
      <c r="X162" s="373"/>
      <c r="Y162" s="328"/>
      <c r="Z162" s="328"/>
      <c r="AA162" s="328"/>
      <c r="AB162" s="328"/>
      <c r="AC162" s="328"/>
    </row>
    <row r="163" spans="1:55" ht="15" customHeight="1" x14ac:dyDescent="0.25">
      <c r="A163" s="1279"/>
      <c r="B163" s="1280"/>
      <c r="C163" s="75" t="s">
        <v>127</v>
      </c>
      <c r="D163" s="286">
        <f>$B$86</f>
        <v>0</v>
      </c>
      <c r="E163" s="287">
        <f>ROUNDUP(S149/5,0)</f>
        <v>1</v>
      </c>
      <c r="F163" s="288">
        <v>4</v>
      </c>
      <c r="G163" s="174"/>
      <c r="H163" s="17"/>
      <c r="I163" s="176"/>
      <c r="J163" s="180">
        <f t="shared" si="64"/>
        <v>0</v>
      </c>
      <c r="K163" s="330" t="s">
        <v>61</v>
      </c>
      <c r="L163" s="181">
        <f>L86</f>
        <v>40</v>
      </c>
      <c r="M163" s="180">
        <f t="shared" si="65"/>
        <v>0</v>
      </c>
      <c r="N163" s="1361"/>
      <c r="O163" s="180">
        <f t="shared" si="66"/>
        <v>0</v>
      </c>
      <c r="P163" s="1361"/>
      <c r="Q163" s="180">
        <f t="shared" si="67"/>
        <v>0</v>
      </c>
      <c r="R163" s="79"/>
      <c r="S163" s="180">
        <f t="shared" si="68"/>
        <v>0</v>
      </c>
      <c r="T163" s="180">
        <f t="shared" si="69"/>
        <v>0</v>
      </c>
      <c r="U163" s="1358"/>
      <c r="V163" s="1359"/>
      <c r="W163" s="122"/>
      <c r="X163" s="555" t="s">
        <v>10148</v>
      </c>
      <c r="Y163" s="939">
        <v>200</v>
      </c>
      <c r="Z163" s="939"/>
      <c r="AE163" s="328"/>
      <c r="AM163" s="328"/>
      <c r="AU163" s="328"/>
      <c r="BC163" s="328"/>
    </row>
    <row r="164" spans="1:55" ht="15" customHeight="1" x14ac:dyDescent="0.25">
      <c r="A164" s="1279"/>
      <c r="B164" s="1280"/>
      <c r="C164" s="75" t="s">
        <v>128</v>
      </c>
      <c r="D164" s="286">
        <f>$B$87</f>
        <v>0</v>
      </c>
      <c r="E164" s="287">
        <f>ROUNDUP(S149,0)</f>
        <v>1</v>
      </c>
      <c r="F164" s="287">
        <f>F163/2</f>
        <v>2</v>
      </c>
      <c r="G164" s="174"/>
      <c r="H164" s="17"/>
      <c r="I164" s="176"/>
      <c r="J164" s="180">
        <f t="shared" si="64"/>
        <v>0</v>
      </c>
      <c r="K164" s="330" t="s">
        <v>204</v>
      </c>
      <c r="L164" s="181">
        <f>L87</f>
        <v>200</v>
      </c>
      <c r="M164" s="180">
        <f t="shared" si="65"/>
        <v>0</v>
      </c>
      <c r="N164" s="1361"/>
      <c r="O164" s="180">
        <f t="shared" si="66"/>
        <v>0</v>
      </c>
      <c r="P164" s="1361"/>
      <c r="Q164" s="180">
        <f t="shared" si="67"/>
        <v>0</v>
      </c>
      <c r="R164" s="79"/>
      <c r="S164" s="180">
        <f t="shared" si="68"/>
        <v>0</v>
      </c>
      <c r="T164" s="180">
        <f t="shared" si="69"/>
        <v>0</v>
      </c>
      <c r="U164" s="1358"/>
      <c r="V164" s="1359"/>
      <c r="W164" s="122"/>
      <c r="X164" s="555" t="s">
        <v>10149</v>
      </c>
      <c r="Y164" s="939">
        <v>350</v>
      </c>
      <c r="Z164" s="939"/>
      <c r="AE164" s="328"/>
      <c r="AM164" s="328"/>
      <c r="AU164" s="328"/>
      <c r="BC164" s="328"/>
    </row>
    <row r="165" spans="1:55" ht="15" customHeight="1" x14ac:dyDescent="0.25">
      <c r="A165" s="1279"/>
      <c r="B165" s="1280"/>
      <c r="C165" s="75" t="s">
        <v>1182</v>
      </c>
      <c r="D165" s="286">
        <f>$B$87</f>
        <v>0</v>
      </c>
      <c r="E165" s="287">
        <f>ROUNDUP(S149,0)</f>
        <v>1</v>
      </c>
      <c r="F165" s="287">
        <f>F163</f>
        <v>4</v>
      </c>
      <c r="G165" s="174"/>
      <c r="H165" s="17"/>
      <c r="I165" s="176"/>
      <c r="J165" s="180">
        <f t="shared" si="64"/>
        <v>0</v>
      </c>
      <c r="K165" s="330" t="s">
        <v>204</v>
      </c>
      <c r="L165" s="181">
        <f>L88</f>
        <v>70</v>
      </c>
      <c r="M165" s="180">
        <f t="shared" si="65"/>
        <v>0</v>
      </c>
      <c r="N165" s="1362"/>
      <c r="O165" s="180">
        <f t="shared" si="66"/>
        <v>0</v>
      </c>
      <c r="P165" s="1362"/>
      <c r="Q165" s="180">
        <f t="shared" si="67"/>
        <v>0</v>
      </c>
      <c r="R165" s="79"/>
      <c r="S165" s="180">
        <f t="shared" si="68"/>
        <v>0</v>
      </c>
      <c r="T165" s="180">
        <f t="shared" si="69"/>
        <v>0</v>
      </c>
      <c r="U165" s="1358"/>
      <c r="V165" s="1359"/>
      <c r="W165" s="122"/>
      <c r="X165" s="373"/>
      <c r="AE165" s="328"/>
      <c r="AM165" s="328"/>
      <c r="AU165" s="328"/>
      <c r="BC165" s="328"/>
    </row>
    <row r="166" spans="1:55" ht="15" customHeight="1" x14ac:dyDescent="0.25">
      <c r="A166" s="1279"/>
      <c r="B166" s="1280"/>
      <c r="C166" s="1128"/>
      <c r="D166" s="1129"/>
      <c r="E166" s="1129"/>
      <c r="F166" s="1129"/>
      <c r="G166" s="1129"/>
      <c r="H166" s="1129"/>
      <c r="I166" s="1129"/>
      <c r="J166" s="1129"/>
      <c r="K166" s="1129"/>
      <c r="L166" s="1129"/>
      <c r="M166" s="1129"/>
      <c r="N166" s="1129"/>
      <c r="O166" s="1129"/>
      <c r="P166" s="1129"/>
      <c r="Q166" s="1129"/>
      <c r="R166" s="1129"/>
      <c r="S166" s="1129"/>
      <c r="T166" s="1130"/>
      <c r="U166" s="1124"/>
      <c r="V166" s="1125"/>
      <c r="W166" s="122"/>
      <c r="X166" s="373"/>
      <c r="AE166" s="328"/>
      <c r="AM166" s="328"/>
      <c r="AU166" s="328"/>
      <c r="BC166" s="328"/>
    </row>
    <row r="167" spans="1:55" ht="15" customHeight="1" x14ac:dyDescent="0.25">
      <c r="A167" s="1279"/>
      <c r="B167" s="1280"/>
      <c r="C167" s="75" t="s">
        <v>80</v>
      </c>
      <c r="D167" s="981">
        <v>0.03</v>
      </c>
      <c r="E167" s="982"/>
      <c r="F167" s="982"/>
      <c r="G167" s="982"/>
      <c r="H167" s="982"/>
      <c r="I167" s="982"/>
      <c r="J167" s="982"/>
      <c r="K167" s="982"/>
      <c r="L167" s="982"/>
      <c r="M167" s="982"/>
      <c r="N167" s="982"/>
      <c r="O167" s="982"/>
      <c r="P167" s="982"/>
      <c r="Q167" s="982"/>
      <c r="R167" s="982"/>
      <c r="S167" s="983"/>
      <c r="T167" s="320">
        <f>SUM(U123+U142+U149)*D167</f>
        <v>0</v>
      </c>
      <c r="U167" s="390">
        <f>T167</f>
        <v>0</v>
      </c>
      <c r="V167" s="299">
        <f>U167/D148</f>
        <v>0</v>
      </c>
      <c r="W167" s="122"/>
      <c r="X167" s="373">
        <f>U171*0.01</f>
        <v>0</v>
      </c>
      <c r="Y167" s="328" t="s">
        <v>1134</v>
      </c>
      <c r="AF167" s="376"/>
      <c r="AN167" s="376"/>
      <c r="AV167" s="376"/>
    </row>
    <row r="168" spans="1:55" ht="15" customHeight="1" x14ac:dyDescent="0.25">
      <c r="A168" s="1279"/>
      <c r="B168" s="1280"/>
      <c r="C168" s="1128"/>
      <c r="D168" s="1129"/>
      <c r="E168" s="1129"/>
      <c r="F168" s="1129"/>
      <c r="G168" s="1129"/>
      <c r="H168" s="1129"/>
      <c r="I168" s="1129"/>
      <c r="J168" s="1129"/>
      <c r="K168" s="1129"/>
      <c r="L168" s="1129"/>
      <c r="M168" s="1129"/>
      <c r="N168" s="1129"/>
      <c r="O168" s="1129"/>
      <c r="P168" s="1129"/>
      <c r="Q168" s="1129"/>
      <c r="R168" s="1129"/>
      <c r="S168" s="1129"/>
      <c r="T168" s="1130"/>
      <c r="U168" s="1124"/>
      <c r="V168" s="1125"/>
      <c r="W168" s="122"/>
      <c r="X168" s="391" t="s">
        <v>1096</v>
      </c>
      <c r="AF168" s="376"/>
      <c r="AN168" s="376"/>
      <c r="AV168" s="376"/>
    </row>
    <row r="169" spans="1:55" ht="15" customHeight="1" x14ac:dyDescent="0.25">
      <c r="A169" s="1279"/>
      <c r="B169" s="1280"/>
      <c r="C169" s="75" t="s">
        <v>30</v>
      </c>
      <c r="D169" s="1244"/>
      <c r="E169" s="1245"/>
      <c r="F169" s="1245"/>
      <c r="G169" s="1245"/>
      <c r="H169" s="1245"/>
      <c r="I169" s="1245"/>
      <c r="J169" s="1245">
        <f>IF(D169&lt;&gt;0,D169,0)*IF(E169&lt;&gt;0,E169,1)*IF(F169&lt;&gt;0,F169,1)*IF(G169&lt;&gt;0,G169,1)*IF(H169&lt;&gt;0,H169,1)/IF(I169&lt;&gt;0,I169,1)</f>
        <v>0</v>
      </c>
      <c r="K169" s="1245"/>
      <c r="L169" s="1245"/>
      <c r="M169" s="1245">
        <f>ROUND(J169*L169,0)</f>
        <v>0</v>
      </c>
      <c r="N169" s="1245"/>
      <c r="O169" s="1245">
        <f>ROUND(J169*N169,0)</f>
        <v>0</v>
      </c>
      <c r="P169" s="1245"/>
      <c r="Q169" s="1245">
        <f>ROUND(J169*P169,0)</f>
        <v>0</v>
      </c>
      <c r="R169" s="1245"/>
      <c r="S169" s="1246">
        <f>ROUND(J169*R169,0)</f>
        <v>0</v>
      </c>
      <c r="T169" s="320">
        <f>SUM(U123+U142+U149)+T167</f>
        <v>0</v>
      </c>
      <c r="U169" s="1354"/>
      <c r="V169" s="1355"/>
      <c r="W169" s="122"/>
      <c r="X169" s="369" t="s">
        <v>165</v>
      </c>
      <c r="Y169" s="939">
        <f>U172-U171</f>
        <v>0</v>
      </c>
      <c r="Z169" s="939"/>
      <c r="AF169" s="376"/>
      <c r="AN169" s="376"/>
      <c r="AV169" s="376"/>
    </row>
    <row r="170" spans="1:55" ht="15" customHeight="1" x14ac:dyDescent="0.25">
      <c r="A170" s="1279"/>
      <c r="B170" s="1280"/>
      <c r="C170" s="75" t="s">
        <v>81</v>
      </c>
      <c r="D170" s="981">
        <v>0.28000000000000003</v>
      </c>
      <c r="E170" s="982"/>
      <c r="F170" s="982"/>
      <c r="G170" s="982"/>
      <c r="H170" s="982"/>
      <c r="I170" s="982"/>
      <c r="J170" s="982"/>
      <c r="K170" s="982"/>
      <c r="L170" s="982"/>
      <c r="M170" s="982"/>
      <c r="N170" s="982"/>
      <c r="O170" s="982"/>
      <c r="P170" s="982"/>
      <c r="Q170" s="982"/>
      <c r="R170" s="982"/>
      <c r="S170" s="983"/>
      <c r="T170" s="320">
        <f>T169*D170</f>
        <v>0</v>
      </c>
      <c r="U170" s="1356"/>
      <c r="V170" s="1357"/>
      <c r="W170" s="122"/>
      <c r="X170" s="373"/>
      <c r="AE170" s="392"/>
      <c r="AF170" s="376"/>
      <c r="AN170" s="376"/>
      <c r="AV170" s="376"/>
    </row>
    <row r="171" spans="1:55" ht="15" customHeight="1" x14ac:dyDescent="0.25">
      <c r="A171" s="1281"/>
      <c r="B171" s="1282"/>
      <c r="C171" s="75" t="s">
        <v>31</v>
      </c>
      <c r="D171" s="1244"/>
      <c r="E171" s="1245"/>
      <c r="F171" s="1245"/>
      <c r="G171" s="1245"/>
      <c r="H171" s="1245"/>
      <c r="I171" s="1245"/>
      <c r="J171" s="1245"/>
      <c r="K171" s="1245"/>
      <c r="L171" s="1245"/>
      <c r="M171" s="1245"/>
      <c r="N171" s="1245"/>
      <c r="O171" s="1245"/>
      <c r="P171" s="1245"/>
      <c r="Q171" s="1245"/>
      <c r="R171" s="1245"/>
      <c r="S171" s="1246"/>
      <c r="T171" s="320">
        <f>SUM(T169:T170)</f>
        <v>0</v>
      </c>
      <c r="U171" s="386">
        <f>T171</f>
        <v>0</v>
      </c>
      <c r="V171" s="299">
        <f>U171/D148</f>
        <v>0</v>
      </c>
      <c r="W171" s="122"/>
      <c r="X171" s="373"/>
      <c r="AF171" s="376"/>
      <c r="AN171" s="376"/>
      <c r="AV171" s="376"/>
    </row>
    <row r="172" spans="1:55" ht="15" customHeight="1" x14ac:dyDescent="0.25">
      <c r="A172" s="778">
        <f>T159</f>
        <v>0</v>
      </c>
      <c r="B172" s="772">
        <v>0.04</v>
      </c>
      <c r="C172" s="773">
        <f>(T170)*B172</f>
        <v>0</v>
      </c>
      <c r="D172" s="664" t="s">
        <v>19</v>
      </c>
      <c r="E172" s="665"/>
      <c r="F172" s="665"/>
      <c r="G172" s="877" t="s">
        <v>1080</v>
      </c>
      <c r="H172" s="878"/>
      <c r="I172" s="879">
        <f>U123</f>
        <v>0</v>
      </c>
      <c r="J172" s="880"/>
      <c r="K172" s="880"/>
      <c r="L172" s="881"/>
      <c r="M172" s="346" t="s">
        <v>1081</v>
      </c>
      <c r="N172" s="879">
        <f>U142</f>
        <v>0</v>
      </c>
      <c r="O172" s="881"/>
      <c r="P172" s="346" t="s">
        <v>279</v>
      </c>
      <c r="Q172" s="347" t="e">
        <f>SUM(U149/U171)</f>
        <v>#DIV/0!</v>
      </c>
      <c r="R172" s="879">
        <f>U149</f>
        <v>0</v>
      </c>
      <c r="S172" s="881"/>
      <c r="T172" s="348">
        <f>T170</f>
        <v>0</v>
      </c>
      <c r="U172" s="1233">
        <f>SUM(U171*0.012)+U171</f>
        <v>0</v>
      </c>
      <c r="V172" s="1234"/>
      <c r="X172" s="373"/>
      <c r="AF172" s="376"/>
      <c r="AN172" s="376"/>
      <c r="AV172" s="376"/>
    </row>
    <row r="173" spans="1:55" ht="5.0999999999999996" customHeight="1" x14ac:dyDescent="0.25">
      <c r="A173" s="1131"/>
      <c r="B173" s="1131"/>
      <c r="C173" s="1131"/>
      <c r="D173" s="1131"/>
      <c r="E173" s="1131"/>
      <c r="F173" s="1131"/>
      <c r="G173" s="1131"/>
      <c r="H173" s="1131"/>
      <c r="I173" s="1131"/>
      <c r="J173" s="1131"/>
      <c r="K173" s="1131"/>
      <c r="L173" s="1131"/>
      <c r="M173" s="1131"/>
      <c r="N173" s="1131"/>
      <c r="O173" s="1131"/>
      <c r="P173" s="1131"/>
      <c r="Q173" s="1131"/>
      <c r="R173" s="1131"/>
      <c r="S173" s="1131"/>
      <c r="T173" s="1131"/>
      <c r="U173" s="1131"/>
      <c r="V173" s="1131"/>
      <c r="X173" s="373"/>
      <c r="AF173" s="376"/>
      <c r="AN173" s="376"/>
      <c r="AV173" s="376"/>
    </row>
    <row r="174" spans="1:55" ht="15" customHeight="1" x14ac:dyDescent="0.25">
      <c r="A174" s="1132"/>
      <c r="B174" s="1121"/>
      <c r="C174" s="84" t="s">
        <v>290</v>
      </c>
      <c r="D174" s="882" t="s">
        <v>225</v>
      </c>
      <c r="E174" s="883"/>
      <c r="F174" s="883"/>
      <c r="G174" s="1134"/>
      <c r="H174" s="1138"/>
      <c r="I174" s="1138"/>
      <c r="J174" s="1138"/>
      <c r="K174" s="1138"/>
      <c r="L174" s="1138"/>
      <c r="M174" s="1138"/>
      <c r="N174" s="1138"/>
      <c r="O174" s="1138"/>
      <c r="P174" s="1138"/>
      <c r="Q174" s="1138"/>
      <c r="R174" s="1138"/>
      <c r="S174" s="1138"/>
      <c r="T174" s="1138"/>
      <c r="U174" s="1238"/>
      <c r="V174" s="1239"/>
      <c r="X174" s="373"/>
      <c r="AF174" s="376"/>
      <c r="AN174" s="376"/>
      <c r="AV174" s="376"/>
    </row>
    <row r="175" spans="1:55" ht="15" customHeight="1" thickBot="1" x14ac:dyDescent="0.3">
      <c r="A175" s="1132"/>
      <c r="B175" s="1121"/>
      <c r="C175" s="84" t="s">
        <v>172</v>
      </c>
      <c r="D175" s="882" t="s">
        <v>227</v>
      </c>
      <c r="E175" s="883"/>
      <c r="F175" s="883"/>
      <c r="G175" s="1134"/>
      <c r="H175" s="1138"/>
      <c r="I175" s="1138"/>
      <c r="J175" s="1138"/>
      <c r="K175" s="1138"/>
      <c r="L175" s="1138"/>
      <c r="M175" s="1138"/>
      <c r="N175" s="1138"/>
      <c r="O175" s="1138"/>
      <c r="P175" s="1138"/>
      <c r="Q175" s="1138"/>
      <c r="R175" s="1138"/>
      <c r="S175" s="1138"/>
      <c r="T175" s="1138"/>
      <c r="U175" s="224" t="s">
        <v>33</v>
      </c>
      <c r="V175" s="224" t="s">
        <v>49</v>
      </c>
      <c r="X175" s="373"/>
      <c r="AF175" s="490" t="s">
        <v>165</v>
      </c>
      <c r="AG175" s="491"/>
      <c r="AH175" s="492"/>
      <c r="AN175" s="376"/>
      <c r="AV175" s="376"/>
    </row>
    <row r="176" spans="1:55" ht="15" customHeight="1" x14ac:dyDescent="0.25">
      <c r="A176" s="1133"/>
      <c r="B176" s="1123"/>
      <c r="C176" s="85" t="s">
        <v>21</v>
      </c>
      <c r="D176" s="1140" t="s">
        <v>226</v>
      </c>
      <c r="E176" s="1141"/>
      <c r="F176" s="1141"/>
      <c r="G176" s="1134"/>
      <c r="H176" s="1138"/>
      <c r="I176" s="1138"/>
      <c r="J176" s="1138"/>
      <c r="K176" s="1138"/>
      <c r="L176" s="1138"/>
      <c r="M176" s="1138"/>
      <c r="N176" s="1138"/>
      <c r="O176" s="1138"/>
      <c r="P176" s="1138"/>
      <c r="Q176" s="1138"/>
      <c r="R176" s="1138"/>
      <c r="S176" s="1138"/>
      <c r="T176" s="1138"/>
      <c r="U176" s="386">
        <f>SUM(T177:T200)</f>
        <v>0</v>
      </c>
      <c r="V176" s="299" t="e">
        <f>U176/D207</f>
        <v>#DIV/0!</v>
      </c>
      <c r="X176" s="373"/>
      <c r="AF176" s="486">
        <f>T171*0.05</f>
        <v>0</v>
      </c>
      <c r="AG176" s="482" t="s">
        <v>1244</v>
      </c>
      <c r="AH176" s="487"/>
      <c r="AN176" s="376"/>
      <c r="AV176" s="376"/>
    </row>
    <row r="177" spans="1:48" ht="15" customHeight="1" x14ac:dyDescent="0.25">
      <c r="A177" s="80">
        <f>Input!C58</f>
        <v>0</v>
      </c>
      <c r="B177" s="81">
        <v>200</v>
      </c>
      <c r="C177" s="75" t="str">
        <f>Input!A58</f>
        <v>Vinyl Siding</v>
      </c>
      <c r="D177" s="259">
        <f t="shared" ref="D177:D189" si="70">SUM(A177)/B177</f>
        <v>0</v>
      </c>
      <c r="E177" s="260"/>
      <c r="F177" s="260"/>
      <c r="G177" s="264"/>
      <c r="H177" s="465">
        <v>1.1000000000000001</v>
      </c>
      <c r="I177" s="265"/>
      <c r="J177" s="89">
        <f t="shared" ref="J177:J200" si="71">IF(D177&lt;&gt;0,D177,0)*IF(E177&lt;&gt;0,E177,1)*IF(F177&lt;&gt;0,F177,1)*IF(G177&lt;&gt;0,G177,1)*IF(H177&lt;&gt;0,H177,1)/IF(I177&lt;&gt;0,I177,1)</f>
        <v>0</v>
      </c>
      <c r="K177" s="90" t="s">
        <v>291</v>
      </c>
      <c r="L177" s="1134"/>
      <c r="M177" s="1135"/>
      <c r="N177" s="93">
        <v>137.99</v>
      </c>
      <c r="O177" s="89">
        <f t="shared" ref="O177:O200" si="72">ROUND(J177*N177,0)</f>
        <v>0</v>
      </c>
      <c r="P177" s="1134"/>
      <c r="Q177" s="1138"/>
      <c r="R177" s="1138"/>
      <c r="S177" s="1135"/>
      <c r="T177" s="387">
        <f>ROUND(L177+O177+P177+S177,0)</f>
        <v>0</v>
      </c>
      <c r="U177" s="1240" t="s">
        <v>253</v>
      </c>
      <c r="V177" s="1376"/>
      <c r="X177" s="373"/>
      <c r="AF177" s="486">
        <f>AF176+T171</f>
        <v>0</v>
      </c>
      <c r="AG177" s="482" t="s">
        <v>1245</v>
      </c>
      <c r="AH177" s="487"/>
      <c r="AN177" s="376"/>
      <c r="AV177" s="376"/>
    </row>
    <row r="178" spans="1:48" ht="15" customHeight="1" x14ac:dyDescent="0.25">
      <c r="A178" s="80">
        <f>Input!C59</f>
        <v>0</v>
      </c>
      <c r="B178" s="81">
        <v>12</v>
      </c>
      <c r="C178" s="75" t="str">
        <f>Input!A59</f>
        <v>Vinyl Trim</v>
      </c>
      <c r="D178" s="259">
        <f t="shared" si="70"/>
        <v>0</v>
      </c>
      <c r="E178" s="260"/>
      <c r="F178" s="260"/>
      <c r="G178" s="260"/>
      <c r="H178" s="261">
        <v>1.1000000000000001</v>
      </c>
      <c r="I178" s="262"/>
      <c r="J178" s="76">
        <f t="shared" si="71"/>
        <v>0</v>
      </c>
      <c r="K178" s="82" t="s">
        <v>173</v>
      </c>
      <c r="L178" s="1134"/>
      <c r="M178" s="1135"/>
      <c r="N178" s="79">
        <v>3.75</v>
      </c>
      <c r="O178" s="76">
        <f t="shared" si="72"/>
        <v>0</v>
      </c>
      <c r="P178" s="1134"/>
      <c r="Q178" s="1138"/>
      <c r="R178" s="1138"/>
      <c r="S178" s="1135"/>
      <c r="T178" s="180">
        <f t="shared" ref="T178:T200" si="73">ROUND(M178+O178+Q178+S178,0)</f>
        <v>0</v>
      </c>
      <c r="U178" s="1242"/>
      <c r="V178" s="1377"/>
      <c r="X178" s="373"/>
      <c r="AF178" s="488">
        <f>SUM(AF177*0.012)+AF177</f>
        <v>0</v>
      </c>
      <c r="AG178" s="483" t="s">
        <v>1246</v>
      </c>
      <c r="AH178" s="489"/>
      <c r="AN178" s="376"/>
      <c r="AV178" s="376"/>
    </row>
    <row r="179" spans="1:48" ht="15" customHeight="1" x14ac:dyDescent="0.25">
      <c r="A179" s="80">
        <f>Input!C60</f>
        <v>0</v>
      </c>
      <c r="B179" s="81">
        <v>12</v>
      </c>
      <c r="C179" s="75" t="str">
        <f>Input!A60</f>
        <v>Vinyl Starter Strip</v>
      </c>
      <c r="D179" s="259">
        <f t="shared" si="70"/>
        <v>0</v>
      </c>
      <c r="E179" s="260"/>
      <c r="F179" s="260"/>
      <c r="G179" s="260"/>
      <c r="H179" s="261">
        <v>1.07</v>
      </c>
      <c r="I179" s="262"/>
      <c r="J179" s="76">
        <f t="shared" si="71"/>
        <v>0</v>
      </c>
      <c r="K179" s="82" t="s">
        <v>174</v>
      </c>
      <c r="L179" s="1134"/>
      <c r="M179" s="1135"/>
      <c r="N179" s="79">
        <v>4</v>
      </c>
      <c r="O179" s="76">
        <f t="shared" si="72"/>
        <v>0</v>
      </c>
      <c r="P179" s="1134"/>
      <c r="Q179" s="1138"/>
      <c r="R179" s="1138"/>
      <c r="S179" s="1135"/>
      <c r="T179" s="180">
        <f t="shared" si="73"/>
        <v>0</v>
      </c>
      <c r="U179" s="1242"/>
      <c r="V179" s="1377"/>
      <c r="X179" s="373"/>
      <c r="AF179" s="376"/>
      <c r="AN179" s="376"/>
      <c r="AV179" s="376"/>
    </row>
    <row r="180" spans="1:48" ht="15" customHeight="1" x14ac:dyDescent="0.25">
      <c r="A180" s="80">
        <f>Input!C61</f>
        <v>0</v>
      </c>
      <c r="B180" s="81">
        <v>12</v>
      </c>
      <c r="C180" s="75" t="str">
        <f>Input!A61</f>
        <v>Vinyl J-Channel</v>
      </c>
      <c r="D180" s="259">
        <f t="shared" si="70"/>
        <v>0</v>
      </c>
      <c r="E180" s="260"/>
      <c r="F180" s="260"/>
      <c r="G180" s="260"/>
      <c r="H180" s="261"/>
      <c r="I180" s="262"/>
      <c r="J180" s="76">
        <f t="shared" si="71"/>
        <v>0</v>
      </c>
      <c r="K180" s="82" t="s">
        <v>173</v>
      </c>
      <c r="L180" s="1134"/>
      <c r="M180" s="1135"/>
      <c r="N180" s="79">
        <v>3.75</v>
      </c>
      <c r="O180" s="76">
        <f t="shared" si="72"/>
        <v>0</v>
      </c>
      <c r="P180" s="1134"/>
      <c r="Q180" s="1138"/>
      <c r="R180" s="1138"/>
      <c r="S180" s="1135"/>
      <c r="T180" s="180">
        <f t="shared" si="73"/>
        <v>0</v>
      </c>
      <c r="U180" s="1242"/>
      <c r="V180" s="1377"/>
      <c r="X180" s="373"/>
      <c r="AF180" s="376"/>
      <c r="AN180" s="376"/>
      <c r="AV180" s="376"/>
    </row>
    <row r="181" spans="1:48" ht="15" customHeight="1" x14ac:dyDescent="0.25">
      <c r="A181" s="80">
        <f>Input!C62</f>
        <v>0</v>
      </c>
      <c r="B181" s="81">
        <v>10</v>
      </c>
      <c r="C181" s="75" t="str">
        <f>Input!A62</f>
        <v>Residential Universal Corner Post</v>
      </c>
      <c r="D181" s="259">
        <f t="shared" si="70"/>
        <v>0</v>
      </c>
      <c r="E181" s="260"/>
      <c r="F181" s="260"/>
      <c r="G181" s="260"/>
      <c r="H181" s="261"/>
      <c r="I181" s="262"/>
      <c r="J181" s="76">
        <f t="shared" si="71"/>
        <v>0</v>
      </c>
      <c r="K181" s="82" t="s">
        <v>173</v>
      </c>
      <c r="L181" s="1134"/>
      <c r="M181" s="1135"/>
      <c r="N181" s="79">
        <v>3.75</v>
      </c>
      <c r="O181" s="76">
        <f t="shared" si="72"/>
        <v>0</v>
      </c>
      <c r="P181" s="1134"/>
      <c r="Q181" s="1138"/>
      <c r="R181" s="1138"/>
      <c r="S181" s="1135"/>
      <c r="T181" s="180">
        <f t="shared" si="73"/>
        <v>0</v>
      </c>
      <c r="U181" s="1242"/>
      <c r="V181" s="1377"/>
      <c r="X181" s="373"/>
      <c r="AF181" s="376"/>
      <c r="AN181" s="376"/>
      <c r="AV181" s="376"/>
    </row>
    <row r="182" spans="1:48" ht="15" customHeight="1" x14ac:dyDescent="0.25">
      <c r="A182" s="80">
        <f>Input!C63</f>
        <v>0</v>
      </c>
      <c r="B182" s="81">
        <v>10</v>
      </c>
      <c r="C182" s="75" t="str">
        <f>Input!A63</f>
        <v>LP 540 Smart Trim 6"</v>
      </c>
      <c r="D182" s="259">
        <f t="shared" si="70"/>
        <v>0</v>
      </c>
      <c r="E182" s="260"/>
      <c r="F182" s="260"/>
      <c r="G182" s="260"/>
      <c r="H182" s="261"/>
      <c r="I182" s="262"/>
      <c r="J182" s="76">
        <f t="shared" si="71"/>
        <v>0</v>
      </c>
      <c r="K182" s="82" t="s">
        <v>173</v>
      </c>
      <c r="L182" s="1134"/>
      <c r="M182" s="1135"/>
      <c r="N182" s="79">
        <v>10.31</v>
      </c>
      <c r="O182" s="76">
        <f t="shared" si="72"/>
        <v>0</v>
      </c>
      <c r="P182" s="1134"/>
      <c r="Q182" s="1138"/>
      <c r="R182" s="1138"/>
      <c r="S182" s="1135"/>
      <c r="T182" s="180">
        <f t="shared" si="73"/>
        <v>0</v>
      </c>
      <c r="U182" s="1242"/>
      <c r="V182" s="1377"/>
      <c r="X182" s="373"/>
      <c r="AF182" s="376"/>
      <c r="AN182" s="376"/>
      <c r="AV182" s="376"/>
    </row>
    <row r="183" spans="1:48" ht="15" customHeight="1" x14ac:dyDescent="0.25">
      <c r="A183" s="80">
        <f>Input!C64</f>
        <v>0</v>
      </c>
      <c r="B183" s="81">
        <v>12</v>
      </c>
      <c r="C183" s="75" t="str">
        <f>Input!A64</f>
        <v>LP 540 Smart Trim - Out Corner</v>
      </c>
      <c r="D183" s="259">
        <f t="shared" si="70"/>
        <v>0</v>
      </c>
      <c r="E183" s="260"/>
      <c r="F183" s="260"/>
      <c r="G183" s="260"/>
      <c r="H183" s="261"/>
      <c r="I183" s="262"/>
      <c r="J183" s="76">
        <f t="shared" si="71"/>
        <v>0</v>
      </c>
      <c r="K183" s="82" t="s">
        <v>114</v>
      </c>
      <c r="L183" s="1134"/>
      <c r="M183" s="1135"/>
      <c r="N183" s="79">
        <v>30.25</v>
      </c>
      <c r="O183" s="76">
        <f t="shared" si="72"/>
        <v>0</v>
      </c>
      <c r="P183" s="1134"/>
      <c r="Q183" s="1138"/>
      <c r="R183" s="1138"/>
      <c r="S183" s="1135"/>
      <c r="T183" s="180">
        <f t="shared" si="73"/>
        <v>0</v>
      </c>
      <c r="U183" s="1242"/>
      <c r="V183" s="1377"/>
      <c r="X183" s="373"/>
      <c r="AF183" s="376"/>
      <c r="AN183" s="376"/>
      <c r="AV183" s="376"/>
    </row>
    <row r="184" spans="1:48" ht="15" customHeight="1" x14ac:dyDescent="0.25">
      <c r="A184" s="80">
        <f>Input!C65</f>
        <v>0</v>
      </c>
      <c r="B184" s="81">
        <v>10</v>
      </c>
      <c r="C184" s="75" t="str">
        <f>Input!A65</f>
        <v>Miscellaneous Flashings</v>
      </c>
      <c r="D184" s="259">
        <f t="shared" si="70"/>
        <v>0</v>
      </c>
      <c r="E184" s="260"/>
      <c r="F184" s="260"/>
      <c r="G184" s="260"/>
      <c r="H184" s="261"/>
      <c r="I184" s="262"/>
      <c r="J184" s="76">
        <f t="shared" si="71"/>
        <v>0</v>
      </c>
      <c r="K184" s="82" t="s">
        <v>114</v>
      </c>
      <c r="L184" s="1134"/>
      <c r="M184" s="1135"/>
      <c r="N184" s="79">
        <v>21.78</v>
      </c>
      <c r="O184" s="76">
        <f t="shared" si="72"/>
        <v>0</v>
      </c>
      <c r="P184" s="1134"/>
      <c r="Q184" s="1138"/>
      <c r="R184" s="1138"/>
      <c r="S184" s="1135"/>
      <c r="T184" s="180">
        <f t="shared" si="73"/>
        <v>0</v>
      </c>
      <c r="U184" s="1242"/>
      <c r="V184" s="1377"/>
      <c r="X184" s="373"/>
      <c r="AF184" s="376"/>
      <c r="AN184" s="376"/>
      <c r="AV184" s="376"/>
    </row>
    <row r="185" spans="1:48" ht="15" customHeight="1" x14ac:dyDescent="0.25">
      <c r="A185" s="80">
        <f>Input!C66</f>
        <v>0</v>
      </c>
      <c r="B185" s="81">
        <v>10</v>
      </c>
      <c r="C185" s="75" t="str">
        <f>Input!A66</f>
        <v>Window Head Flashing</v>
      </c>
      <c r="D185" s="259">
        <f t="shared" si="70"/>
        <v>0</v>
      </c>
      <c r="E185" s="260"/>
      <c r="F185" s="260"/>
      <c r="G185" s="260"/>
      <c r="H185" s="261"/>
      <c r="I185" s="262"/>
      <c r="J185" s="76">
        <f t="shared" si="71"/>
        <v>0</v>
      </c>
      <c r="K185" s="82" t="s">
        <v>173</v>
      </c>
      <c r="L185" s="1134"/>
      <c r="M185" s="1135"/>
      <c r="N185" s="79">
        <v>10.5</v>
      </c>
      <c r="O185" s="76">
        <f t="shared" si="72"/>
        <v>0</v>
      </c>
      <c r="P185" s="1134"/>
      <c r="Q185" s="1138"/>
      <c r="R185" s="1138"/>
      <c r="S185" s="1135"/>
      <c r="T185" s="180">
        <f t="shared" si="73"/>
        <v>0</v>
      </c>
      <c r="U185" s="1242"/>
      <c r="V185" s="1377"/>
      <c r="X185" s="373"/>
      <c r="AF185" s="376"/>
      <c r="AN185" s="376"/>
      <c r="AV185" s="376"/>
    </row>
    <row r="186" spans="1:48" ht="15" customHeight="1" x14ac:dyDescent="0.25">
      <c r="A186" s="80">
        <f>Input!C67</f>
        <v>0</v>
      </c>
      <c r="B186" s="81">
        <v>10</v>
      </c>
      <c r="C186" s="75" t="str">
        <f>Input!A67</f>
        <v>Window Sill Trim Flashing</v>
      </c>
      <c r="D186" s="259">
        <f t="shared" si="70"/>
        <v>0</v>
      </c>
      <c r="E186" s="260"/>
      <c r="F186" s="260"/>
      <c r="G186" s="260"/>
      <c r="H186" s="261"/>
      <c r="I186" s="262"/>
      <c r="J186" s="76">
        <f t="shared" si="71"/>
        <v>0</v>
      </c>
      <c r="K186" s="82" t="s">
        <v>173</v>
      </c>
      <c r="L186" s="1134"/>
      <c r="M186" s="1135"/>
      <c r="N186" s="79">
        <v>8</v>
      </c>
      <c r="O186" s="76">
        <f t="shared" si="72"/>
        <v>0</v>
      </c>
      <c r="P186" s="1134"/>
      <c r="Q186" s="1138"/>
      <c r="R186" s="1138"/>
      <c r="S186" s="1135"/>
      <c r="T186" s="180">
        <f t="shared" si="73"/>
        <v>0</v>
      </c>
      <c r="U186" s="1242"/>
      <c r="V186" s="1377"/>
      <c r="X186" s="373"/>
      <c r="AF186" s="376"/>
      <c r="AN186" s="376"/>
      <c r="AV186" s="376"/>
    </row>
    <row r="187" spans="1:48" ht="15" customHeight="1" x14ac:dyDescent="0.25">
      <c r="A187" s="80">
        <f>Input!C68</f>
        <v>0</v>
      </c>
      <c r="B187" s="81">
        <v>10</v>
      </c>
      <c r="C187" s="75" t="str">
        <f>Input!A68</f>
        <v>Starter Base Flashing</v>
      </c>
      <c r="D187" s="259">
        <f t="shared" si="70"/>
        <v>0</v>
      </c>
      <c r="E187" s="260"/>
      <c r="F187" s="260"/>
      <c r="G187" s="260"/>
      <c r="H187" s="261"/>
      <c r="I187" s="262"/>
      <c r="J187" s="76">
        <f t="shared" si="71"/>
        <v>0</v>
      </c>
      <c r="K187" s="82" t="s">
        <v>173</v>
      </c>
      <c r="L187" s="1134"/>
      <c r="M187" s="1135"/>
      <c r="N187" s="79">
        <v>10.5</v>
      </c>
      <c r="O187" s="76">
        <f t="shared" si="72"/>
        <v>0</v>
      </c>
      <c r="P187" s="1134"/>
      <c r="Q187" s="1138"/>
      <c r="R187" s="1138"/>
      <c r="S187" s="1135"/>
      <c r="T187" s="180">
        <f t="shared" si="73"/>
        <v>0</v>
      </c>
      <c r="U187" s="1242"/>
      <c r="V187" s="1377"/>
      <c r="X187" s="373"/>
      <c r="AF187" s="376"/>
      <c r="AN187" s="376"/>
      <c r="AV187" s="376"/>
    </row>
    <row r="188" spans="1:48" ht="15" customHeight="1" x14ac:dyDescent="0.25">
      <c r="A188" s="80">
        <f>Input!C69</f>
        <v>0</v>
      </c>
      <c r="B188" s="81">
        <v>900</v>
      </c>
      <c r="C188" s="75" t="str">
        <f>Input!A69</f>
        <v>Select Envelope Wrap</v>
      </c>
      <c r="D188" s="259">
        <f t="shared" si="70"/>
        <v>0</v>
      </c>
      <c r="E188" s="260"/>
      <c r="F188" s="260"/>
      <c r="G188" s="260"/>
      <c r="H188" s="261"/>
      <c r="I188" s="262"/>
      <c r="J188" s="76">
        <f t="shared" si="71"/>
        <v>0</v>
      </c>
      <c r="K188" s="82" t="s">
        <v>173</v>
      </c>
      <c r="L188" s="1134"/>
      <c r="M188" s="1135"/>
      <c r="N188" s="79">
        <v>110</v>
      </c>
      <c r="O188" s="76">
        <f t="shared" si="72"/>
        <v>0</v>
      </c>
      <c r="P188" s="1134"/>
      <c r="Q188" s="1138"/>
      <c r="R188" s="1138"/>
      <c r="S188" s="1135"/>
      <c r="T188" s="180">
        <f t="shared" si="73"/>
        <v>0</v>
      </c>
      <c r="U188" s="1242"/>
      <c r="V188" s="1377"/>
      <c r="X188" s="373"/>
      <c r="AF188" s="376"/>
      <c r="AN188" s="376"/>
      <c r="AV188" s="376"/>
    </row>
    <row r="189" spans="1:48" ht="15" customHeight="1" x14ac:dyDescent="0.25">
      <c r="A189" s="80">
        <f>Input!C70</f>
        <v>0</v>
      </c>
      <c r="B189" s="81">
        <v>75</v>
      </c>
      <c r="C189" s="75" t="str">
        <f>Input!A70</f>
        <v>Select Self Adhearing Membrane</v>
      </c>
      <c r="D189" s="259">
        <f t="shared" si="70"/>
        <v>0</v>
      </c>
      <c r="E189" s="260"/>
      <c r="F189" s="260"/>
      <c r="G189" s="260"/>
      <c r="H189" s="261">
        <v>1.1000000000000001</v>
      </c>
      <c r="I189" s="262"/>
      <c r="J189" s="76">
        <f t="shared" si="71"/>
        <v>0</v>
      </c>
      <c r="K189" s="82" t="s">
        <v>173</v>
      </c>
      <c r="L189" s="1134"/>
      <c r="M189" s="1135"/>
      <c r="N189" s="79">
        <v>60</v>
      </c>
      <c r="O189" s="76">
        <f t="shared" si="72"/>
        <v>0</v>
      </c>
      <c r="P189" s="1134"/>
      <c r="Q189" s="1138"/>
      <c r="R189" s="1138"/>
      <c r="S189" s="1135"/>
      <c r="T189" s="180">
        <f t="shared" si="73"/>
        <v>0</v>
      </c>
      <c r="U189" s="1242"/>
      <c r="V189" s="1377"/>
      <c r="X189" s="373"/>
      <c r="AF189" s="376"/>
      <c r="AN189" s="376"/>
      <c r="AV189" s="376"/>
    </row>
    <row r="190" spans="1:48" ht="15" customHeight="1" x14ac:dyDescent="0.25">
      <c r="A190" s="80">
        <f>Input!C71</f>
        <v>0</v>
      </c>
      <c r="B190" s="81">
        <f>SUM(A177/1000)</f>
        <v>0</v>
      </c>
      <c r="C190" s="75" t="str">
        <f>Input!A71</f>
        <v>Tuck Tape</v>
      </c>
      <c r="D190" s="259">
        <f>SUM(A190)</f>
        <v>0</v>
      </c>
      <c r="E190" s="260"/>
      <c r="F190" s="260"/>
      <c r="G190" s="260"/>
      <c r="H190" s="261"/>
      <c r="I190" s="262"/>
      <c r="J190" s="76">
        <f t="shared" si="71"/>
        <v>0</v>
      </c>
      <c r="K190" s="82" t="s">
        <v>173</v>
      </c>
      <c r="L190" s="1134"/>
      <c r="M190" s="1135"/>
      <c r="N190" s="642">
        <v>7.01</v>
      </c>
      <c r="O190" s="76">
        <f t="shared" si="72"/>
        <v>0</v>
      </c>
      <c r="P190" s="1134"/>
      <c r="Q190" s="1138"/>
      <c r="R190" s="1138"/>
      <c r="S190" s="1135"/>
      <c r="T190" s="180">
        <f t="shared" si="73"/>
        <v>0</v>
      </c>
      <c r="U190" s="1242"/>
      <c r="V190" s="1377"/>
      <c r="X190" s="373"/>
      <c r="AF190" s="376"/>
      <c r="AN190" s="376"/>
      <c r="AV190" s="376"/>
    </row>
    <row r="191" spans="1:48" ht="15" customHeight="1" x14ac:dyDescent="0.25">
      <c r="A191" s="80">
        <f>Input!C72</f>
        <v>0</v>
      </c>
      <c r="B191" s="81"/>
      <c r="C191" s="75" t="str">
        <f>Input!A72</f>
        <v>Plug Mount</v>
      </c>
      <c r="D191" s="259">
        <f>SUM(A191)</f>
        <v>0</v>
      </c>
      <c r="E191" s="260"/>
      <c r="F191" s="260"/>
      <c r="G191" s="260"/>
      <c r="H191" s="261">
        <v>1.07</v>
      </c>
      <c r="I191" s="262"/>
      <c r="J191" s="76">
        <f t="shared" si="71"/>
        <v>0</v>
      </c>
      <c r="K191" s="82" t="s">
        <v>177</v>
      </c>
      <c r="L191" s="1134"/>
      <c r="M191" s="1135"/>
      <c r="N191" s="79">
        <v>11</v>
      </c>
      <c r="O191" s="76">
        <f t="shared" si="72"/>
        <v>0</v>
      </c>
      <c r="P191" s="1134"/>
      <c r="Q191" s="1138"/>
      <c r="R191" s="1138"/>
      <c r="S191" s="1135"/>
      <c r="T191" s="180">
        <f t="shared" si="73"/>
        <v>0</v>
      </c>
      <c r="U191" s="1242"/>
      <c r="V191" s="1377"/>
      <c r="X191" s="373"/>
      <c r="AF191" s="376"/>
      <c r="AN191" s="376"/>
      <c r="AV191" s="376"/>
    </row>
    <row r="192" spans="1:48" ht="15" customHeight="1" x14ac:dyDescent="0.25">
      <c r="A192" s="80">
        <f>Input!C73</f>
        <v>0</v>
      </c>
      <c r="B192" s="81"/>
      <c r="C192" s="75" t="str">
        <f>Input!A73</f>
        <v>Hose Bib Mount</v>
      </c>
      <c r="D192" s="259">
        <f>SUM(A192)</f>
        <v>0</v>
      </c>
      <c r="E192" s="260"/>
      <c r="F192" s="260"/>
      <c r="G192" s="260"/>
      <c r="H192" s="261"/>
      <c r="I192" s="262"/>
      <c r="J192" s="76">
        <f t="shared" si="71"/>
        <v>0</v>
      </c>
      <c r="K192" s="82"/>
      <c r="L192" s="1134"/>
      <c r="M192" s="1135"/>
      <c r="N192" s="79">
        <v>11</v>
      </c>
      <c r="O192" s="76">
        <f t="shared" si="72"/>
        <v>0</v>
      </c>
      <c r="P192" s="1134"/>
      <c r="Q192" s="1138"/>
      <c r="R192" s="1138"/>
      <c r="S192" s="1135"/>
      <c r="T192" s="180">
        <f t="shared" si="73"/>
        <v>0</v>
      </c>
      <c r="U192" s="1242"/>
      <c r="V192" s="1377"/>
      <c r="X192" s="373"/>
      <c r="AF192" s="376"/>
      <c r="AN192" s="376"/>
      <c r="AV192" s="376"/>
    </row>
    <row r="193" spans="1:55" ht="15" customHeight="1" x14ac:dyDescent="0.25">
      <c r="A193" s="80">
        <f>Input!C74</f>
        <v>0</v>
      </c>
      <c r="B193" s="81"/>
      <c r="C193" s="75" t="str">
        <f>Input!A74</f>
        <v>Light Mount</v>
      </c>
      <c r="D193" s="259">
        <f>SUM(A193)</f>
        <v>0</v>
      </c>
      <c r="E193" s="260"/>
      <c r="F193" s="260"/>
      <c r="G193" s="260"/>
      <c r="H193" s="261"/>
      <c r="I193" s="262"/>
      <c r="J193" s="76">
        <f t="shared" si="71"/>
        <v>0</v>
      </c>
      <c r="K193" s="82"/>
      <c r="L193" s="1134"/>
      <c r="M193" s="1135"/>
      <c r="N193" s="79">
        <v>15</v>
      </c>
      <c r="O193" s="76">
        <f t="shared" si="72"/>
        <v>0</v>
      </c>
      <c r="P193" s="1134"/>
      <c r="Q193" s="1138"/>
      <c r="R193" s="1138"/>
      <c r="S193" s="1135"/>
      <c r="T193" s="180">
        <f t="shared" si="73"/>
        <v>0</v>
      </c>
      <c r="U193" s="1242"/>
      <c r="V193" s="1377"/>
      <c r="X193" s="373"/>
      <c r="AF193" s="376"/>
      <c r="AN193" s="376"/>
      <c r="AV193" s="376"/>
    </row>
    <row r="194" spans="1:55" ht="15" customHeight="1" x14ac:dyDescent="0.25">
      <c r="A194" s="80">
        <f>Input!C76</f>
        <v>0</v>
      </c>
      <c r="B194" s="81"/>
      <c r="C194" s="75" t="str">
        <f>Input!A76</f>
        <v>Fasteners - 2 1/4" Coil Nails - 4.5M/Box</v>
      </c>
      <c r="D194" s="259">
        <f>Input!C76</f>
        <v>0</v>
      </c>
      <c r="E194" s="260"/>
      <c r="F194" s="260"/>
      <c r="G194" s="260"/>
      <c r="H194" s="261"/>
      <c r="I194" s="262">
        <v>500</v>
      </c>
      <c r="J194" s="76">
        <f t="shared" si="71"/>
        <v>0</v>
      </c>
      <c r="K194" s="82"/>
      <c r="L194" s="1134"/>
      <c r="M194" s="1135"/>
      <c r="N194" s="79">
        <v>20</v>
      </c>
      <c r="O194" s="76">
        <f t="shared" si="72"/>
        <v>0</v>
      </c>
      <c r="P194" s="1134"/>
      <c r="Q194" s="1138"/>
      <c r="R194" s="1138"/>
      <c r="S194" s="1135"/>
      <c r="T194" s="180">
        <f t="shared" si="73"/>
        <v>0</v>
      </c>
      <c r="U194" s="1242"/>
      <c r="V194" s="1377"/>
      <c r="X194" s="373"/>
      <c r="AF194" s="376"/>
      <c r="AN194" s="376"/>
      <c r="AV194" s="376"/>
    </row>
    <row r="195" spans="1:55" ht="15" customHeight="1" x14ac:dyDescent="0.25">
      <c r="A195" s="80">
        <f>Input!C77</f>
        <v>0</v>
      </c>
      <c r="B195" s="81"/>
      <c r="C195" s="75" t="str">
        <f>Input!A77</f>
        <v>Caulking - Quad Max (Coloured)</v>
      </c>
      <c r="D195" s="259">
        <f>SUM(A195)</f>
        <v>0</v>
      </c>
      <c r="E195" s="260"/>
      <c r="F195" s="260"/>
      <c r="G195" s="260"/>
      <c r="H195" s="261">
        <v>1.1000000000000001</v>
      </c>
      <c r="I195" s="262"/>
      <c r="J195" s="76">
        <f t="shared" si="71"/>
        <v>0</v>
      </c>
      <c r="K195" s="82" t="s">
        <v>173</v>
      </c>
      <c r="L195" s="1134"/>
      <c r="M195" s="1135"/>
      <c r="N195" s="524">
        <v>9.8800000000000008</v>
      </c>
      <c r="O195" s="76">
        <f t="shared" si="72"/>
        <v>0</v>
      </c>
      <c r="P195" s="1134"/>
      <c r="Q195" s="1138"/>
      <c r="R195" s="1138"/>
      <c r="S195" s="1135"/>
      <c r="T195" s="180">
        <f t="shared" si="73"/>
        <v>0</v>
      </c>
      <c r="U195" s="1242"/>
      <c r="V195" s="1377"/>
      <c r="X195" s="373"/>
      <c r="AF195" s="376"/>
      <c r="AN195" s="376"/>
      <c r="AV195" s="376"/>
    </row>
    <row r="196" spans="1:55" ht="15" customHeight="1" x14ac:dyDescent="0.25">
      <c r="A196" s="80">
        <f>Input!C79</f>
        <v>0</v>
      </c>
      <c r="B196" s="81">
        <v>10</v>
      </c>
      <c r="C196" s="75" t="s">
        <v>10231</v>
      </c>
      <c r="D196" s="259">
        <f>SUM(A196)/B196</f>
        <v>0</v>
      </c>
      <c r="E196" s="260"/>
      <c r="F196" s="260"/>
      <c r="G196" s="260"/>
      <c r="H196" s="261">
        <v>1.07</v>
      </c>
      <c r="I196" s="262">
        <v>500</v>
      </c>
      <c r="J196" s="76">
        <f t="shared" si="71"/>
        <v>0</v>
      </c>
      <c r="K196" s="82" t="s">
        <v>177</v>
      </c>
      <c r="L196" s="1134"/>
      <c r="M196" s="1135"/>
      <c r="N196" s="79">
        <v>125</v>
      </c>
      <c r="O196" s="76">
        <f t="shared" si="72"/>
        <v>0</v>
      </c>
      <c r="P196" s="1134"/>
      <c r="Q196" s="1138"/>
      <c r="R196" s="1138"/>
      <c r="S196" s="1135"/>
      <c r="T196" s="180">
        <f t="shared" si="73"/>
        <v>0</v>
      </c>
      <c r="U196" s="1242"/>
      <c r="V196" s="1377"/>
      <c r="X196" s="373"/>
      <c r="AF196" s="376"/>
      <c r="AN196" s="376"/>
      <c r="AV196" s="376"/>
    </row>
    <row r="197" spans="1:55" ht="15" customHeight="1" x14ac:dyDescent="0.25">
      <c r="A197" s="80"/>
      <c r="B197" s="81"/>
      <c r="C197" s="75" t="str">
        <f>Input!A79</f>
        <v>James Hardie Siding</v>
      </c>
      <c r="D197" s="259">
        <f>SUM(A197)</f>
        <v>0</v>
      </c>
      <c r="E197" s="260"/>
      <c r="F197" s="260"/>
      <c r="G197" s="260"/>
      <c r="H197" s="261"/>
      <c r="I197" s="262"/>
      <c r="J197" s="76">
        <f t="shared" si="71"/>
        <v>0</v>
      </c>
      <c r="K197" s="82" t="s">
        <v>114</v>
      </c>
      <c r="L197" s="1134"/>
      <c r="M197" s="1135"/>
      <c r="N197" s="79">
        <v>10.5</v>
      </c>
      <c r="O197" s="76">
        <f t="shared" si="72"/>
        <v>0</v>
      </c>
      <c r="P197" s="1134"/>
      <c r="Q197" s="1138"/>
      <c r="R197" s="1138"/>
      <c r="S197" s="1135"/>
      <c r="T197" s="180">
        <f t="shared" si="73"/>
        <v>0</v>
      </c>
      <c r="U197" s="1242"/>
      <c r="V197" s="1377"/>
      <c r="X197" s="373"/>
      <c r="AF197" s="376"/>
      <c r="AN197" s="376"/>
      <c r="AV197" s="376"/>
    </row>
    <row r="198" spans="1:55" ht="15" customHeight="1" x14ac:dyDescent="0.25">
      <c r="A198" s="80">
        <f>Input!C83</f>
        <v>0</v>
      </c>
      <c r="B198" s="81"/>
      <c r="C198" s="75" t="str">
        <f>Input!A80</f>
        <v>Select Hardie Plank</v>
      </c>
      <c r="D198" s="259">
        <f>SUM(A198)</f>
        <v>0</v>
      </c>
      <c r="E198" s="260"/>
      <c r="F198" s="260"/>
      <c r="G198" s="260"/>
      <c r="H198" s="261"/>
      <c r="I198" s="262"/>
      <c r="J198" s="76">
        <f t="shared" si="71"/>
        <v>0</v>
      </c>
      <c r="K198" s="82"/>
      <c r="L198" s="1134"/>
      <c r="M198" s="1135"/>
      <c r="N198" s="79">
        <v>99.33</v>
      </c>
      <c r="O198" s="76">
        <f t="shared" si="72"/>
        <v>0</v>
      </c>
      <c r="P198" s="1134"/>
      <c r="Q198" s="1138"/>
      <c r="R198" s="1138"/>
      <c r="S198" s="1135"/>
      <c r="T198" s="180">
        <f t="shared" si="73"/>
        <v>0</v>
      </c>
      <c r="U198" s="1242"/>
      <c r="V198" s="1377"/>
      <c r="X198" s="373"/>
      <c r="AF198" s="376"/>
      <c r="AN198" s="376"/>
      <c r="AV198" s="376"/>
    </row>
    <row r="199" spans="1:55" ht="15" customHeight="1" x14ac:dyDescent="0.25">
      <c r="A199" s="80">
        <f>Input!C84</f>
        <v>0</v>
      </c>
      <c r="B199" s="81"/>
      <c r="C199" s="75" t="str">
        <f>Input!A81</f>
        <v>Select Shakes ColorPlus</v>
      </c>
      <c r="D199" s="259">
        <f>SUM(A199)</f>
        <v>0</v>
      </c>
      <c r="E199" s="260"/>
      <c r="F199" s="260"/>
      <c r="G199" s="260"/>
      <c r="H199" s="261"/>
      <c r="I199" s="262"/>
      <c r="J199" s="76">
        <f t="shared" si="71"/>
        <v>0</v>
      </c>
      <c r="K199" s="82"/>
      <c r="L199" s="1134"/>
      <c r="M199" s="1135"/>
      <c r="N199" s="79">
        <f>SUM(Y196)</f>
        <v>0</v>
      </c>
      <c r="O199" s="76">
        <f t="shared" si="72"/>
        <v>0</v>
      </c>
      <c r="P199" s="1134"/>
      <c r="Q199" s="1138"/>
      <c r="R199" s="1138"/>
      <c r="S199" s="1135"/>
      <c r="T199" s="180">
        <f t="shared" si="73"/>
        <v>0</v>
      </c>
      <c r="U199" s="1242"/>
      <c r="V199" s="1377"/>
      <c r="X199" s="373"/>
      <c r="AF199" s="376"/>
      <c r="AN199" s="376"/>
      <c r="AV199" s="376"/>
    </row>
    <row r="200" spans="1:55" ht="15" customHeight="1" x14ac:dyDescent="0.25">
      <c r="A200" s="80">
        <f>Input!C85</f>
        <v>0</v>
      </c>
      <c r="B200" s="81">
        <v>32</v>
      </c>
      <c r="C200" s="75" t="s">
        <v>10182</v>
      </c>
      <c r="D200" s="259">
        <f>Input!C111</f>
        <v>0</v>
      </c>
      <c r="E200" s="260"/>
      <c r="F200" s="260"/>
      <c r="G200" s="260"/>
      <c r="H200" s="261"/>
      <c r="I200" s="262"/>
      <c r="J200" s="76">
        <f t="shared" si="71"/>
        <v>0</v>
      </c>
      <c r="K200" s="82"/>
      <c r="L200" s="1136"/>
      <c r="M200" s="1137"/>
      <c r="N200" s="643">
        <v>39.729999999999997</v>
      </c>
      <c r="O200" s="76">
        <f t="shared" si="72"/>
        <v>0</v>
      </c>
      <c r="P200" s="1136"/>
      <c r="Q200" s="1139"/>
      <c r="R200" s="1139"/>
      <c r="S200" s="1137"/>
      <c r="T200" s="393">
        <f t="shared" si="73"/>
        <v>0</v>
      </c>
      <c r="U200" s="1378"/>
      <c r="V200" s="1379"/>
      <c r="W200" s="122"/>
      <c r="X200" s="373"/>
      <c r="AF200" s="376"/>
      <c r="AN200" s="376"/>
      <c r="AV200" s="376"/>
    </row>
    <row r="201" spans="1:55" ht="15" customHeight="1" x14ac:dyDescent="0.25">
      <c r="A201" s="1013"/>
      <c r="B201" s="1201"/>
      <c r="C201" s="1202" t="s">
        <v>25</v>
      </c>
      <c r="D201" s="1011"/>
      <c r="E201" s="1011"/>
      <c r="F201" s="1011"/>
      <c r="G201" s="1011"/>
      <c r="H201" s="1011"/>
      <c r="I201" s="1011"/>
      <c r="J201" s="1011"/>
      <c r="K201" s="1011"/>
      <c r="L201" s="1011"/>
      <c r="M201" s="1011"/>
      <c r="N201" s="1011"/>
      <c r="O201" s="1011"/>
      <c r="P201" s="1011"/>
      <c r="Q201" s="1011"/>
      <c r="R201" s="1011"/>
      <c r="S201" s="1011"/>
      <c r="T201" s="1012"/>
      <c r="U201" s="394">
        <f>SUM(T202:T207)</f>
        <v>0</v>
      </c>
      <c r="V201" s="299" t="e">
        <f>U201/D207</f>
        <v>#DIV/0!</v>
      </c>
      <c r="X201" s="373"/>
      <c r="AF201" s="376"/>
      <c r="AN201" s="376"/>
      <c r="AV201" s="376"/>
    </row>
    <row r="202" spans="1:55" ht="15" customHeight="1" x14ac:dyDescent="0.25">
      <c r="A202" s="1119"/>
      <c r="B202" s="1120"/>
      <c r="C202" s="75" t="s">
        <v>293</v>
      </c>
      <c r="D202" s="439">
        <f>A177</f>
        <v>0</v>
      </c>
      <c r="E202" s="1126"/>
      <c r="F202" s="1126"/>
      <c r="G202" s="1126"/>
      <c r="H202" s="1126"/>
      <c r="I202" s="1126"/>
      <c r="J202" s="76">
        <f>IF(D202&lt;&gt;0,D202,0)*IF(E202&lt;&gt;0,E202,1)*IF(F202&lt;&gt;0,F202,1)*IF(G202&lt;&gt;0,G202,1)*IF(H202&lt;&gt;0,H202,1)/IF(I202&lt;&gt;0,I202,1)</f>
        <v>0</v>
      </c>
      <c r="K202" s="77" t="s">
        <v>174</v>
      </c>
      <c r="L202" s="1275"/>
      <c r="M202" s="76">
        <f>ROUND(J202*L202,0)</f>
        <v>0</v>
      </c>
      <c r="N202" s="79">
        <v>2.75</v>
      </c>
      <c r="O202" s="76">
        <f>ROUND(J202*N202,0)</f>
        <v>0</v>
      </c>
      <c r="P202" s="1275"/>
      <c r="Q202" s="76">
        <f>ROUND(J202*P202,0)</f>
        <v>0</v>
      </c>
      <c r="R202" s="1275"/>
      <c r="S202" s="76">
        <f>ROUND(J202*R202,0)</f>
        <v>0</v>
      </c>
      <c r="T202" s="387">
        <f>ROUND(M202+O202+Q202+S202,0)</f>
        <v>0</v>
      </c>
      <c r="U202" s="1289" t="s">
        <v>10146</v>
      </c>
      <c r="V202" s="1290"/>
      <c r="X202" s="373"/>
      <c r="AF202" s="376"/>
      <c r="AN202" s="376"/>
      <c r="AV202" s="376"/>
    </row>
    <row r="203" spans="1:55" ht="15" customHeight="1" x14ac:dyDescent="0.25">
      <c r="A203" s="970"/>
      <c r="B203" s="1121"/>
      <c r="C203" s="75" t="s">
        <v>303</v>
      </c>
      <c r="D203" s="323">
        <v>9.9999999999999995E-7</v>
      </c>
      <c r="E203" s="1126"/>
      <c r="F203" s="1126"/>
      <c r="G203" s="1126"/>
      <c r="H203" s="1126"/>
      <c r="I203" s="1126"/>
      <c r="J203" s="76">
        <f>IF(D203&lt;&gt;0,D203,0)*IF(E203&lt;&gt;0,E203,1)*IF(F203&lt;&gt;0,F203,1)*IF(G203&lt;&gt;0,G203,1)*IF(H203&lt;&gt;0,H203,1)/IF(I203&lt;&gt;0,I203,1)</f>
        <v>9.9999999999999995E-7</v>
      </c>
      <c r="K203" s="77" t="s">
        <v>122</v>
      </c>
      <c r="L203" s="1275"/>
      <c r="M203" s="76">
        <f>ROUND(J203*L203,0)</f>
        <v>0</v>
      </c>
      <c r="N203" s="273">
        <v>0.9</v>
      </c>
      <c r="O203" s="76">
        <f>ROUND(J203*N203,0)</f>
        <v>0</v>
      </c>
      <c r="P203" s="1275"/>
      <c r="Q203" s="76">
        <f>ROUND(J203*P203,0)</f>
        <v>0</v>
      </c>
      <c r="R203" s="1275"/>
      <c r="S203" s="76">
        <f>ROUND(J203*R203,0)</f>
        <v>0</v>
      </c>
      <c r="T203" s="395">
        <f>ROUND(M203+O203+Q203+S203,0)</f>
        <v>0</v>
      </c>
      <c r="U203" s="1290"/>
      <c r="V203" s="1290"/>
      <c r="X203" s="373"/>
      <c r="AF203" s="376"/>
      <c r="AN203" s="376"/>
      <c r="AV203" s="376"/>
    </row>
    <row r="204" spans="1:55" ht="15" customHeight="1" x14ac:dyDescent="0.25">
      <c r="A204" s="970"/>
      <c r="B204" s="1121"/>
      <c r="C204" s="75" t="s">
        <v>294</v>
      </c>
      <c r="D204" s="271"/>
      <c r="E204" s="1126"/>
      <c r="F204" s="1126"/>
      <c r="G204" s="1126"/>
      <c r="H204" s="1126"/>
      <c r="I204" s="1126"/>
      <c r="J204" s="76">
        <f>IF(D204&lt;&gt;0,D204,0)*IF(E204&lt;&gt;0,E204,1)*IF(F204&lt;&gt;0,F204,1)*IF(G204&lt;&gt;0,G204,1)*IF(H204&lt;&gt;0,H204,1)/IF(I204&lt;&gt;0,I204,1)</f>
        <v>0</v>
      </c>
      <c r="K204" s="77" t="s">
        <v>174</v>
      </c>
      <c r="L204" s="1275"/>
      <c r="M204" s="76">
        <f>ROUND(J204*L204,0)</f>
        <v>0</v>
      </c>
      <c r="N204" s="79">
        <v>0.5</v>
      </c>
      <c r="O204" s="76">
        <f>ROUND(J204*N204,0)</f>
        <v>0</v>
      </c>
      <c r="P204" s="1275"/>
      <c r="Q204" s="76">
        <f>ROUND(J204*P204,0)</f>
        <v>0</v>
      </c>
      <c r="R204" s="1275"/>
      <c r="S204" s="76">
        <f>ROUND(J204*R204,0)</f>
        <v>0</v>
      </c>
      <c r="T204" s="180">
        <f>ROUND(M204+O204+Q204+S204,0)</f>
        <v>0</v>
      </c>
      <c r="U204" s="1290"/>
      <c r="V204" s="1290"/>
      <c r="X204" s="555" t="s">
        <v>10147</v>
      </c>
      <c r="AF204" s="376"/>
      <c r="AN204" s="376"/>
      <c r="AV204" s="376"/>
    </row>
    <row r="205" spans="1:55" ht="15" customHeight="1" x14ac:dyDescent="0.25">
      <c r="A205" s="970"/>
      <c r="B205" s="1121"/>
      <c r="C205" s="75" t="s">
        <v>295</v>
      </c>
      <c r="D205" s="271">
        <f>SUM(A185:A186)</f>
        <v>0</v>
      </c>
      <c r="E205" s="1126"/>
      <c r="F205" s="1126"/>
      <c r="G205" s="1126"/>
      <c r="H205" s="1126"/>
      <c r="I205" s="1126"/>
      <c r="J205" s="76">
        <f>IF(D205&lt;&gt;0,D205,0)*IF(E205&lt;&gt;0,E205,1)*IF(F205&lt;&gt;0,F205,1)*IF(G205&lt;&gt;0,G205,1)*IF(H205&lt;&gt;0,H205,1)/IF(I205&lt;&gt;0,I205,1)</f>
        <v>0</v>
      </c>
      <c r="K205" s="77" t="s">
        <v>174</v>
      </c>
      <c r="L205" s="1275"/>
      <c r="M205" s="76">
        <f>ROUND(J205*L205,0)</f>
        <v>0</v>
      </c>
      <c r="N205" s="79">
        <v>2.5</v>
      </c>
      <c r="O205" s="76">
        <f>ROUND(J205*N205,0)</f>
        <v>0</v>
      </c>
      <c r="P205" s="1275"/>
      <c r="Q205" s="76">
        <f>ROUND(J205*P205,0)</f>
        <v>0</v>
      </c>
      <c r="R205" s="1275"/>
      <c r="S205" s="76">
        <f>ROUND(J205*R205,0)</f>
        <v>0</v>
      </c>
      <c r="T205" s="180">
        <f>ROUND(M205+O205+Q205+S205,0)</f>
        <v>0</v>
      </c>
      <c r="U205" s="1290"/>
      <c r="V205" s="1290"/>
      <c r="X205" s="373"/>
      <c r="AF205" s="376"/>
      <c r="AN205" s="376"/>
      <c r="AV205" s="376"/>
    </row>
    <row r="206" spans="1:55" s="17" customFormat="1" ht="16.5" customHeight="1" x14ac:dyDescent="0.25">
      <c r="A206" s="970"/>
      <c r="B206" s="1121"/>
      <c r="C206" s="75" t="s">
        <v>34</v>
      </c>
      <c r="D206" s="271">
        <f>D205</f>
        <v>0</v>
      </c>
      <c r="E206" s="1126"/>
      <c r="F206" s="1126"/>
      <c r="G206" s="1126"/>
      <c r="H206" s="1126"/>
      <c r="I206" s="1126"/>
      <c r="J206" s="183">
        <f>IF(D206&lt;&gt;0,D206,0)*IF(E206&lt;&gt;0,E206,1)*IF(F206&lt;&gt;0,F206,1)*IF(G206&lt;&gt;0,G206,1)*IF(H206&lt;&gt;0,H206,1)/IF(I206&lt;&gt;0,I206,1)</f>
        <v>0</v>
      </c>
      <c r="K206" s="184" t="s">
        <v>174</v>
      </c>
      <c r="L206" s="1276"/>
      <c r="M206" s="183">
        <f>ROUND(J206*L206,0)</f>
        <v>0</v>
      </c>
      <c r="N206" s="185">
        <v>1</v>
      </c>
      <c r="O206" s="183">
        <f>ROUND(J206*N206,0)</f>
        <v>0</v>
      </c>
      <c r="P206" s="1276"/>
      <c r="Q206" s="183">
        <f>ROUND(J206*P206,0)</f>
        <v>0</v>
      </c>
      <c r="R206" s="1276"/>
      <c r="S206" s="183">
        <f>ROUND(J206*R206,0)</f>
        <v>0</v>
      </c>
      <c r="T206" s="393">
        <f>ROUND(M206+O206+Q206+S206,0)</f>
        <v>0</v>
      </c>
      <c r="U206" s="1290"/>
      <c r="V206" s="1290"/>
      <c r="W206" s="363"/>
      <c r="X206" s="373"/>
      <c r="Y206" s="328"/>
      <c r="Z206" s="328"/>
      <c r="AA206" s="328"/>
      <c r="AB206" s="328"/>
      <c r="AC206" s="328"/>
      <c r="AD206" s="328"/>
      <c r="AE206" s="363"/>
      <c r="AF206" s="376"/>
      <c r="AG206" s="328"/>
      <c r="AH206" s="328"/>
      <c r="AI206" s="328"/>
      <c r="AJ206" s="328"/>
      <c r="AK206" s="328"/>
      <c r="AL206" s="328"/>
      <c r="AM206" s="363"/>
      <c r="AN206" s="376"/>
      <c r="AO206" s="328"/>
      <c r="AP206" s="328"/>
      <c r="AQ206" s="328"/>
      <c r="AR206" s="328"/>
      <c r="AS206" s="328"/>
      <c r="AT206" s="328"/>
      <c r="AU206" s="363"/>
      <c r="AV206" s="376"/>
      <c r="AW206" s="328"/>
      <c r="AX206" s="328"/>
      <c r="AY206" s="328"/>
      <c r="AZ206" s="328"/>
      <c r="BA206" s="328"/>
      <c r="BB206" s="328"/>
      <c r="BC206" s="363"/>
    </row>
    <row r="207" spans="1:55" s="17" customFormat="1" ht="16.5" customHeight="1" x14ac:dyDescent="0.25">
      <c r="A207" s="970"/>
      <c r="B207" s="1121"/>
      <c r="C207" s="86" t="s">
        <v>179</v>
      </c>
      <c r="D207" s="440">
        <f>D202</f>
        <v>0</v>
      </c>
      <c r="E207" s="1126"/>
      <c r="F207" s="1126"/>
      <c r="G207" s="1126"/>
      <c r="H207" s="1126"/>
      <c r="I207" s="1126"/>
      <c r="J207" s="1127"/>
      <c r="K207" s="1127"/>
      <c r="L207" s="1127"/>
      <c r="M207" s="1127"/>
      <c r="N207" s="1127"/>
      <c r="O207" s="1127"/>
      <c r="P207" s="1127"/>
      <c r="Q207" s="1127"/>
      <c r="R207" s="1127"/>
      <c r="S207" s="1127"/>
      <c r="T207" s="1127"/>
      <c r="U207" s="1290"/>
      <c r="V207" s="1290"/>
      <c r="W207" s="363"/>
      <c r="X207" s="373"/>
      <c r="Y207" s="328"/>
      <c r="Z207" s="328"/>
      <c r="AA207" s="328"/>
      <c r="AB207" s="328"/>
      <c r="AC207" s="328"/>
      <c r="AD207" s="328"/>
      <c r="AE207" s="363"/>
      <c r="AF207" s="376"/>
      <c r="AG207" s="328"/>
      <c r="AH207" s="328"/>
      <c r="AI207" s="328"/>
      <c r="AJ207" s="328"/>
      <c r="AK207" s="328"/>
      <c r="AL207" s="328"/>
      <c r="AM207" s="363"/>
      <c r="AN207" s="376"/>
      <c r="AO207" s="328"/>
      <c r="AP207" s="328"/>
      <c r="AQ207" s="328"/>
      <c r="AR207" s="328"/>
      <c r="AS207" s="328"/>
      <c r="AT207" s="328"/>
      <c r="AU207" s="363"/>
      <c r="AV207" s="376"/>
      <c r="AW207" s="328"/>
      <c r="AX207" s="328"/>
      <c r="AY207" s="328"/>
      <c r="AZ207" s="328"/>
      <c r="BA207" s="328"/>
      <c r="BB207" s="328"/>
      <c r="BC207" s="363"/>
    </row>
    <row r="208" spans="1:55" s="17" customFormat="1" ht="16.5" customHeight="1" x14ac:dyDescent="0.25">
      <c r="A208" s="970"/>
      <c r="B208" s="1121"/>
      <c r="C208" s="1226" t="s">
        <v>26</v>
      </c>
      <c r="D208" s="1227"/>
      <c r="E208" s="1227"/>
      <c r="F208" s="1227"/>
      <c r="G208" s="1227"/>
      <c r="H208" s="1227"/>
      <c r="I208" s="1227"/>
      <c r="J208" s="1227"/>
      <c r="K208" s="1227"/>
      <c r="L208" s="1227"/>
      <c r="M208" s="1227"/>
      <c r="N208" s="1251"/>
      <c r="O208" s="994" t="s">
        <v>211</v>
      </c>
      <c r="P208" s="995"/>
      <c r="Q208" s="74" t="s">
        <v>296</v>
      </c>
      <c r="R208" s="276">
        <v>700</v>
      </c>
      <c r="S208" s="186">
        <f>SUM(D207/R208)+0.00001</f>
        <v>1.0000000000000001E-5</v>
      </c>
      <c r="T208" s="73" t="s">
        <v>212</v>
      </c>
      <c r="U208" s="394">
        <f>SUM(T209:T224)</f>
        <v>0</v>
      </c>
      <c r="V208" s="299" t="e">
        <f>U208/D207</f>
        <v>#DIV/0!</v>
      </c>
      <c r="W208" s="122"/>
      <c r="X208" s="373"/>
      <c r="Y208" s="328"/>
      <c r="Z208" s="328"/>
      <c r="AA208" s="328"/>
      <c r="AB208" s="328"/>
      <c r="AC208" s="328"/>
      <c r="AD208" s="328"/>
      <c r="AE208" s="363"/>
      <c r="AF208" s="376"/>
      <c r="AG208" s="328"/>
      <c r="AH208" s="328"/>
      <c r="AI208" s="328"/>
      <c r="AJ208" s="328"/>
      <c r="AK208" s="328"/>
      <c r="AL208" s="328"/>
      <c r="AM208" s="363"/>
      <c r="AN208" s="376"/>
      <c r="AO208" s="328"/>
      <c r="AP208" s="328"/>
      <c r="AQ208" s="328"/>
      <c r="AR208" s="328"/>
      <c r="AS208" s="328"/>
      <c r="AT208" s="328"/>
      <c r="AU208" s="363"/>
      <c r="AV208" s="376"/>
      <c r="AW208" s="328"/>
      <c r="AX208" s="328"/>
      <c r="AY208" s="328"/>
      <c r="AZ208" s="328"/>
      <c r="BA208" s="328"/>
      <c r="BB208" s="328"/>
      <c r="BC208" s="363"/>
    </row>
    <row r="209" spans="1:55" s="17" customFormat="1" ht="16.5" customHeight="1" x14ac:dyDescent="0.25">
      <c r="A209" s="970"/>
      <c r="B209" s="1121"/>
      <c r="C209" s="75" t="s">
        <v>27</v>
      </c>
      <c r="D209" s="173">
        <f>S208</f>
        <v>1.0000000000000001E-5</v>
      </c>
      <c r="E209" s="174"/>
      <c r="F209" s="174"/>
      <c r="G209" s="174"/>
      <c r="H209" s="175">
        <v>2</v>
      </c>
      <c r="I209" s="176"/>
      <c r="J209" s="180">
        <f t="shared" ref="J209:J224" si="74">IF(D209&lt;&gt;0,D209,0)*IF(E209&lt;&gt;0,E209,1)*IF(F209&lt;&gt;0,F209,1)*IF(G209&lt;&gt;0,G209,1)*IF(H209&lt;&gt;0,H209,1)/IF(I209&lt;&gt;0,I209,1)</f>
        <v>2.0000000000000002E-5</v>
      </c>
      <c r="K209" s="82" t="s">
        <v>61</v>
      </c>
      <c r="L209" s="181">
        <f>L72</f>
        <v>50</v>
      </c>
      <c r="M209" s="180">
        <f t="shared" ref="M209:M224" si="75">ROUND(J209*L209,0)</f>
        <v>0</v>
      </c>
      <c r="N209" s="78"/>
      <c r="O209" s="180">
        <f t="shared" ref="O209:O224" si="76">ROUND(J209*N209,0)</f>
        <v>0</v>
      </c>
      <c r="P209" s="79"/>
      <c r="Q209" s="180">
        <f t="shared" ref="Q209:Q224" si="77">ROUND(J209*P209,0)</f>
        <v>0</v>
      </c>
      <c r="R209" s="79"/>
      <c r="S209" s="180">
        <f t="shared" ref="S209:S224" si="78">ROUND(J209*R209,0)</f>
        <v>0</v>
      </c>
      <c r="T209" s="180">
        <f t="shared" ref="T209:T224" si="79">ROUND(M209+O209+Q209+S209,0)</f>
        <v>0</v>
      </c>
      <c r="U209" s="1240" t="s">
        <v>253</v>
      </c>
      <c r="V209" s="1241"/>
      <c r="W209" s="363"/>
      <c r="X209" s="373"/>
      <c r="Y209" s="328"/>
      <c r="Z209" s="328"/>
      <c r="AA209" s="328"/>
      <c r="AB209" s="328"/>
      <c r="AC209" s="328"/>
      <c r="AD209" s="328"/>
      <c r="AE209" s="363"/>
      <c r="AF209" s="376"/>
      <c r="AG209" s="328"/>
      <c r="AH209" s="328"/>
      <c r="AI209" s="328"/>
      <c r="AJ209" s="328"/>
      <c r="AK209" s="328"/>
      <c r="AL209" s="328"/>
      <c r="AM209" s="363"/>
      <c r="AN209" s="376"/>
      <c r="AO209" s="328"/>
      <c r="AP209" s="328"/>
      <c r="AQ209" s="328"/>
      <c r="AR209" s="328"/>
      <c r="AS209" s="328"/>
      <c r="AT209" s="328"/>
      <c r="AU209" s="363"/>
      <c r="AV209" s="376"/>
      <c r="AW209" s="328"/>
      <c r="AX209" s="328"/>
      <c r="AY209" s="328"/>
      <c r="AZ209" s="328"/>
      <c r="BA209" s="328"/>
      <c r="BB209" s="328"/>
      <c r="BC209" s="363"/>
    </row>
    <row r="210" spans="1:55" s="17" customFormat="1" ht="16.5" customHeight="1" x14ac:dyDescent="0.25">
      <c r="A210" s="970"/>
      <c r="B210" s="1121"/>
      <c r="C210" s="75" t="s">
        <v>604</v>
      </c>
      <c r="D210" s="177">
        <v>1</v>
      </c>
      <c r="E210" s="174"/>
      <c r="F210" s="174"/>
      <c r="G210" s="174"/>
      <c r="H210" s="175"/>
      <c r="I210" s="176"/>
      <c r="J210" s="180">
        <f t="shared" si="74"/>
        <v>1</v>
      </c>
      <c r="K210" s="82" t="s">
        <v>124</v>
      </c>
      <c r="L210" s="181"/>
      <c r="M210" s="180">
        <f t="shared" si="75"/>
        <v>0</v>
      </c>
      <c r="N210" s="78"/>
      <c r="O210" s="180">
        <f t="shared" si="76"/>
        <v>0</v>
      </c>
      <c r="P210" s="79"/>
      <c r="Q210" s="180">
        <f t="shared" si="77"/>
        <v>0</v>
      </c>
      <c r="R210" s="79"/>
      <c r="S210" s="180">
        <f t="shared" si="78"/>
        <v>0</v>
      </c>
      <c r="T210" s="180">
        <f t="shared" si="79"/>
        <v>0</v>
      </c>
      <c r="U210" s="1242"/>
      <c r="V210" s="1243"/>
      <c r="W210" s="363"/>
      <c r="X210" s="373"/>
      <c r="Y210" s="328"/>
      <c r="Z210" s="328"/>
      <c r="AA210" s="328"/>
      <c r="AB210" s="328"/>
      <c r="AC210" s="328"/>
      <c r="AD210" s="328"/>
      <c r="AE210" s="363"/>
      <c r="AF210" s="376"/>
      <c r="AG210" s="328"/>
      <c r="AH210" s="328"/>
      <c r="AI210" s="328"/>
      <c r="AJ210" s="328"/>
      <c r="AK210" s="328"/>
      <c r="AL210" s="328"/>
      <c r="AM210" s="363"/>
      <c r="AN210" s="376"/>
      <c r="AO210" s="328"/>
      <c r="AP210" s="328"/>
      <c r="AQ210" s="328"/>
      <c r="AR210" s="328"/>
      <c r="AS210" s="328"/>
      <c r="AT210" s="328"/>
      <c r="AU210" s="363"/>
      <c r="AV210" s="376"/>
      <c r="AW210" s="328"/>
      <c r="AX210" s="328"/>
      <c r="AY210" s="328"/>
      <c r="AZ210" s="328"/>
      <c r="BA210" s="328"/>
      <c r="BB210" s="328"/>
      <c r="BC210" s="363"/>
    </row>
    <row r="211" spans="1:55" s="17" customFormat="1" ht="16.5" customHeight="1" x14ac:dyDescent="0.25">
      <c r="A211" s="970"/>
      <c r="B211" s="1121"/>
      <c r="C211" s="75" t="s">
        <v>1082</v>
      </c>
      <c r="D211" s="177"/>
      <c r="E211" s="174"/>
      <c r="F211" s="174"/>
      <c r="G211" s="174"/>
      <c r="H211" s="175"/>
      <c r="I211" s="176"/>
      <c r="J211" s="180">
        <f t="shared" si="74"/>
        <v>0</v>
      </c>
      <c r="K211" s="82" t="s">
        <v>203</v>
      </c>
      <c r="L211" s="181"/>
      <c r="M211" s="180">
        <f t="shared" si="75"/>
        <v>0</v>
      </c>
      <c r="N211" s="78"/>
      <c r="O211" s="327">
        <f t="shared" si="76"/>
        <v>0</v>
      </c>
      <c r="P211" s="79"/>
      <c r="Q211" s="180">
        <f t="shared" si="77"/>
        <v>0</v>
      </c>
      <c r="R211" s="181">
        <v>500</v>
      </c>
      <c r="S211" s="180">
        <f t="shared" si="78"/>
        <v>0</v>
      </c>
      <c r="T211" s="180">
        <f t="shared" si="79"/>
        <v>0</v>
      </c>
      <c r="U211" s="1242"/>
      <c r="V211" s="1243"/>
      <c r="W211" s="363"/>
      <c r="X211" s="373"/>
      <c r="Y211" s="328"/>
      <c r="Z211" s="328"/>
      <c r="AA211" s="328"/>
      <c r="AB211" s="328"/>
      <c r="AC211" s="328"/>
      <c r="AD211" s="328"/>
      <c r="AE211" s="363"/>
      <c r="AF211" s="376"/>
      <c r="AG211" s="328"/>
      <c r="AH211" s="328"/>
      <c r="AI211" s="328"/>
      <c r="AJ211" s="328"/>
      <c r="AK211" s="328"/>
      <c r="AL211" s="328"/>
      <c r="AM211" s="363"/>
      <c r="AN211" s="376"/>
      <c r="AO211" s="328"/>
      <c r="AP211" s="328"/>
      <c r="AQ211" s="328"/>
      <c r="AR211" s="328"/>
      <c r="AS211" s="328"/>
      <c r="AT211" s="328"/>
      <c r="AU211" s="363"/>
      <c r="AV211" s="376"/>
      <c r="AW211" s="328"/>
      <c r="AX211" s="328"/>
      <c r="AY211" s="328"/>
      <c r="AZ211" s="328"/>
      <c r="BA211" s="328"/>
      <c r="BB211" s="328"/>
      <c r="BC211" s="363"/>
    </row>
    <row r="212" spans="1:55" s="17" customFormat="1" ht="16.5" customHeight="1" x14ac:dyDescent="0.25">
      <c r="A212" s="970"/>
      <c r="B212" s="1121"/>
      <c r="C212" s="75" t="s">
        <v>42</v>
      </c>
      <c r="D212" s="177">
        <v>1</v>
      </c>
      <c r="E212" s="174"/>
      <c r="F212" s="174"/>
      <c r="G212" s="174"/>
      <c r="H212" s="178">
        <f>S209/28</f>
        <v>0</v>
      </c>
      <c r="I212" s="176"/>
      <c r="J212" s="180">
        <f t="shared" si="74"/>
        <v>1</v>
      </c>
      <c r="K212" s="82" t="s">
        <v>203</v>
      </c>
      <c r="L212" s="181"/>
      <c r="M212" s="180">
        <f t="shared" si="75"/>
        <v>0</v>
      </c>
      <c r="N212" s="78"/>
      <c r="O212" s="180">
        <f t="shared" si="76"/>
        <v>0</v>
      </c>
      <c r="P212" s="79"/>
      <c r="Q212" s="180">
        <f t="shared" si="77"/>
        <v>0</v>
      </c>
      <c r="R212" s="79"/>
      <c r="S212" s="180">
        <f t="shared" si="78"/>
        <v>0</v>
      </c>
      <c r="T212" s="180">
        <f t="shared" si="79"/>
        <v>0</v>
      </c>
      <c r="U212" s="1242"/>
      <c r="V212" s="1243"/>
      <c r="W212" s="363"/>
      <c r="X212" s="373"/>
      <c r="Y212" s="328"/>
      <c r="Z212" s="328"/>
      <c r="AA212" s="328"/>
      <c r="AB212" s="328"/>
      <c r="AC212" s="328"/>
      <c r="AD212" s="328"/>
      <c r="AE212" s="363"/>
      <c r="AF212" s="376"/>
      <c r="AG212" s="328"/>
      <c r="AH212" s="328"/>
      <c r="AI212" s="328"/>
      <c r="AJ212" s="328"/>
      <c r="AK212" s="328"/>
      <c r="AL212" s="328"/>
      <c r="AM212" s="363"/>
      <c r="AN212" s="376"/>
      <c r="AO212" s="328"/>
      <c r="AP212" s="328"/>
      <c r="AQ212" s="328"/>
      <c r="AR212" s="328"/>
      <c r="AS212" s="328"/>
      <c r="AT212" s="328"/>
      <c r="AU212" s="363"/>
      <c r="AV212" s="376"/>
      <c r="AW212" s="328"/>
      <c r="AX212" s="328"/>
      <c r="AY212" s="328"/>
      <c r="AZ212" s="328"/>
      <c r="BA212" s="328"/>
      <c r="BB212" s="328"/>
      <c r="BC212" s="363"/>
    </row>
    <row r="213" spans="1:55" s="17" customFormat="1" ht="15.95" customHeight="1" x14ac:dyDescent="0.25">
      <c r="A213" s="970"/>
      <c r="B213" s="1121"/>
      <c r="C213" s="75" t="s">
        <v>194</v>
      </c>
      <c r="D213" s="173">
        <f>SUM(S218)</f>
        <v>0</v>
      </c>
      <c r="E213" s="174"/>
      <c r="F213" s="174"/>
      <c r="G213" s="174"/>
      <c r="H213" s="175">
        <v>4</v>
      </c>
      <c r="I213" s="176"/>
      <c r="J213" s="180">
        <f t="shared" si="74"/>
        <v>0</v>
      </c>
      <c r="K213" s="82" t="s">
        <v>61</v>
      </c>
      <c r="L213" s="181">
        <f>L76</f>
        <v>35</v>
      </c>
      <c r="M213" s="180">
        <f t="shared" si="75"/>
        <v>0</v>
      </c>
      <c r="N213" s="78"/>
      <c r="O213" s="180">
        <f t="shared" si="76"/>
        <v>0</v>
      </c>
      <c r="P213" s="79"/>
      <c r="Q213" s="180">
        <f t="shared" si="77"/>
        <v>0</v>
      </c>
      <c r="R213" s="79"/>
      <c r="S213" s="180">
        <f t="shared" si="78"/>
        <v>0</v>
      </c>
      <c r="T213" s="180">
        <f t="shared" si="79"/>
        <v>0</v>
      </c>
      <c r="U213" s="1242"/>
      <c r="V213" s="1243"/>
      <c r="W213" s="363"/>
      <c r="X213" s="373"/>
      <c r="Y213" s="328"/>
      <c r="Z213" s="328"/>
      <c r="AA213" s="328"/>
      <c r="AB213" s="328"/>
      <c r="AC213" s="328"/>
      <c r="AD213" s="328"/>
      <c r="AE213" s="363"/>
      <c r="AF213" s="376"/>
      <c r="AG213" s="328"/>
      <c r="AH213" s="328"/>
      <c r="AI213" s="328"/>
      <c r="AJ213" s="328"/>
      <c r="AK213" s="328"/>
      <c r="AL213" s="328"/>
      <c r="AM213" s="363"/>
      <c r="AN213" s="376"/>
      <c r="AO213" s="328"/>
      <c r="AP213" s="328"/>
      <c r="AQ213" s="328"/>
      <c r="AR213" s="328"/>
      <c r="AS213" s="328"/>
      <c r="AT213" s="328"/>
      <c r="AU213" s="363"/>
      <c r="AV213" s="376"/>
      <c r="AW213" s="328"/>
      <c r="AX213" s="328"/>
      <c r="AY213" s="328"/>
      <c r="AZ213" s="328"/>
      <c r="BA213" s="328"/>
      <c r="BB213" s="328"/>
      <c r="BC213" s="363"/>
    </row>
    <row r="214" spans="1:55" s="17" customFormat="1" ht="15.95" customHeight="1" x14ac:dyDescent="0.25">
      <c r="A214" s="970"/>
      <c r="B214" s="1121"/>
      <c r="C214" s="75" t="s">
        <v>125</v>
      </c>
      <c r="D214" s="173">
        <v>1</v>
      </c>
      <c r="E214" s="174"/>
      <c r="F214" s="174"/>
      <c r="G214" s="174"/>
      <c r="H214" s="175"/>
      <c r="I214" s="176"/>
      <c r="J214" s="180">
        <f t="shared" si="74"/>
        <v>1</v>
      </c>
      <c r="K214" s="82" t="s">
        <v>124</v>
      </c>
      <c r="L214" s="181"/>
      <c r="M214" s="180">
        <f t="shared" si="75"/>
        <v>0</v>
      </c>
      <c r="N214" s="78"/>
      <c r="O214" s="180">
        <f t="shared" si="76"/>
        <v>0</v>
      </c>
      <c r="P214" s="79"/>
      <c r="Q214" s="180">
        <f t="shared" si="77"/>
        <v>0</v>
      </c>
      <c r="R214" s="457">
        <f>(T107/R100)*(S208/5)</f>
        <v>0</v>
      </c>
      <c r="S214" s="180">
        <f t="shared" si="78"/>
        <v>0</v>
      </c>
      <c r="T214" s="180">
        <f t="shared" si="79"/>
        <v>0</v>
      </c>
      <c r="U214" s="1242"/>
      <c r="V214" s="1243"/>
      <c r="W214" s="122">
        <v>0</v>
      </c>
      <c r="X214" s="373"/>
      <c r="Y214" s="328"/>
      <c r="Z214" s="328"/>
      <c r="AA214" s="328"/>
      <c r="AB214" s="328"/>
      <c r="AC214" s="328"/>
      <c r="AD214" s="328"/>
      <c r="AE214" s="363"/>
      <c r="AF214" s="376"/>
      <c r="AG214" s="328"/>
      <c r="AH214" s="328"/>
      <c r="AI214" s="328"/>
      <c r="AJ214" s="328"/>
      <c r="AK214" s="328"/>
      <c r="AL214" s="328"/>
      <c r="AM214" s="363"/>
      <c r="AN214" s="376"/>
      <c r="AO214" s="328"/>
      <c r="AP214" s="328"/>
      <c r="AQ214" s="328"/>
      <c r="AR214" s="328"/>
      <c r="AS214" s="328"/>
      <c r="AT214" s="328"/>
      <c r="AU214" s="363"/>
      <c r="AV214" s="376"/>
      <c r="AW214" s="328"/>
      <c r="AX214" s="328"/>
      <c r="AY214" s="328"/>
      <c r="AZ214" s="328"/>
      <c r="BA214" s="328"/>
      <c r="BB214" s="328"/>
      <c r="BC214" s="363"/>
    </row>
    <row r="215" spans="1:55" s="17" customFormat="1" ht="15.95" customHeight="1" x14ac:dyDescent="0.25">
      <c r="A215" s="970"/>
      <c r="B215" s="1121"/>
      <c r="C215" s="75" t="s">
        <v>126</v>
      </c>
      <c r="D215" s="173">
        <v>0</v>
      </c>
      <c r="E215" s="174"/>
      <c r="F215" s="174"/>
      <c r="G215" s="174"/>
      <c r="H215" s="175"/>
      <c r="I215" s="176"/>
      <c r="J215" s="180">
        <f t="shared" si="74"/>
        <v>0</v>
      </c>
      <c r="K215" s="82" t="s">
        <v>124</v>
      </c>
      <c r="L215" s="181"/>
      <c r="M215" s="180">
        <f t="shared" si="75"/>
        <v>0</v>
      </c>
      <c r="N215" s="78"/>
      <c r="O215" s="180">
        <f t="shared" si="76"/>
        <v>0</v>
      </c>
      <c r="P215" s="79"/>
      <c r="Q215" s="180">
        <f t="shared" si="77"/>
        <v>0</v>
      </c>
      <c r="R215" s="79">
        <f>(M107/R100)*(S208/5)</f>
        <v>0</v>
      </c>
      <c r="S215" s="180">
        <f t="shared" si="78"/>
        <v>0</v>
      </c>
      <c r="T215" s="180">
        <f t="shared" si="79"/>
        <v>0</v>
      </c>
      <c r="U215" s="1242"/>
      <c r="V215" s="1243"/>
      <c r="W215" s="363"/>
      <c r="X215" s="373"/>
      <c r="Y215" s="328"/>
      <c r="Z215" s="328"/>
      <c r="AA215" s="328"/>
      <c r="AB215" s="328"/>
      <c r="AC215" s="328"/>
      <c r="AD215" s="328"/>
      <c r="AE215" s="363"/>
      <c r="AF215" s="376"/>
      <c r="AG215" s="328"/>
      <c r="AH215" s="328"/>
      <c r="AI215" s="328"/>
      <c r="AJ215" s="328"/>
      <c r="AK215" s="328"/>
      <c r="AL215" s="328"/>
      <c r="AM215" s="363"/>
      <c r="AN215" s="376"/>
      <c r="AO215" s="328"/>
      <c r="AP215" s="328"/>
      <c r="AQ215" s="328"/>
      <c r="AR215" s="328"/>
      <c r="AS215" s="328"/>
      <c r="AT215" s="328"/>
      <c r="AU215" s="363"/>
      <c r="AV215" s="376"/>
      <c r="AW215" s="328"/>
      <c r="AX215" s="328"/>
      <c r="AY215" s="328"/>
      <c r="AZ215" s="328"/>
      <c r="BA215" s="328"/>
      <c r="BB215" s="328"/>
      <c r="BC215" s="363"/>
    </row>
    <row r="216" spans="1:55" s="17" customFormat="1" ht="15.95" customHeight="1" x14ac:dyDescent="0.25">
      <c r="A216" s="970"/>
      <c r="B216" s="1121"/>
      <c r="C216" s="75" t="s">
        <v>28</v>
      </c>
      <c r="D216" s="173">
        <f>SUM(A162)</f>
        <v>0</v>
      </c>
      <c r="E216" s="174"/>
      <c r="F216" s="174"/>
      <c r="G216" s="174"/>
      <c r="H216" s="175"/>
      <c r="I216" s="176">
        <v>100</v>
      </c>
      <c r="J216" s="180">
        <f t="shared" si="74"/>
        <v>0</v>
      </c>
      <c r="K216" s="82" t="s">
        <v>180</v>
      </c>
      <c r="L216" s="181"/>
      <c r="M216" s="180">
        <f t="shared" si="75"/>
        <v>0</v>
      </c>
      <c r="N216" s="78"/>
      <c r="O216" s="180">
        <f t="shared" si="76"/>
        <v>0</v>
      </c>
      <c r="P216" s="79"/>
      <c r="Q216" s="180">
        <f t="shared" si="77"/>
        <v>0</v>
      </c>
      <c r="R216" s="79">
        <v>22</v>
      </c>
      <c r="S216" s="180">
        <f t="shared" si="78"/>
        <v>0</v>
      </c>
      <c r="T216" s="180">
        <f t="shared" si="79"/>
        <v>0</v>
      </c>
      <c r="U216" s="1242"/>
      <c r="V216" s="1243"/>
      <c r="W216" s="363"/>
      <c r="X216" s="373"/>
      <c r="Y216" s="328"/>
      <c r="Z216" s="328"/>
      <c r="AA216" s="328"/>
      <c r="AB216" s="328"/>
      <c r="AC216" s="328"/>
      <c r="AD216" s="328"/>
      <c r="AE216" s="363"/>
      <c r="AF216" s="376"/>
      <c r="AG216" s="328"/>
      <c r="AH216" s="328"/>
      <c r="AI216" s="328"/>
      <c r="AJ216" s="328"/>
      <c r="AK216" s="328"/>
      <c r="AL216" s="328"/>
      <c r="AM216" s="363"/>
      <c r="AN216" s="376"/>
      <c r="AO216" s="328"/>
      <c r="AP216" s="328"/>
      <c r="AQ216" s="328"/>
      <c r="AR216" s="328"/>
      <c r="AS216" s="328"/>
      <c r="AT216" s="328"/>
      <c r="AU216" s="363"/>
      <c r="AV216" s="376"/>
      <c r="AW216" s="328"/>
      <c r="AX216" s="328"/>
      <c r="AY216" s="328"/>
      <c r="AZ216" s="328"/>
      <c r="BA216" s="328"/>
      <c r="BB216" s="328"/>
      <c r="BC216" s="363"/>
    </row>
    <row r="217" spans="1:55" s="17" customFormat="1" ht="15.95" customHeight="1" x14ac:dyDescent="0.25">
      <c r="A217" s="970"/>
      <c r="B217" s="1121"/>
      <c r="C217" s="75" t="s">
        <v>38</v>
      </c>
      <c r="D217" s="179">
        <f>ROUNDUP((D216/300),W214)</f>
        <v>0</v>
      </c>
      <c r="E217" s="174"/>
      <c r="F217" s="174"/>
      <c r="G217" s="174"/>
      <c r="H217" s="175"/>
      <c r="I217" s="176"/>
      <c r="J217" s="180">
        <f t="shared" si="74"/>
        <v>0</v>
      </c>
      <c r="K217" s="82" t="s">
        <v>202</v>
      </c>
      <c r="L217" s="181"/>
      <c r="M217" s="180">
        <f t="shared" si="75"/>
        <v>0</v>
      </c>
      <c r="N217" s="78"/>
      <c r="O217" s="180">
        <f t="shared" si="76"/>
        <v>0</v>
      </c>
      <c r="P217" s="79"/>
      <c r="Q217" s="180">
        <f t="shared" si="77"/>
        <v>0</v>
      </c>
      <c r="R217" s="79">
        <v>325</v>
      </c>
      <c r="S217" s="180">
        <f t="shared" si="78"/>
        <v>0</v>
      </c>
      <c r="T217" s="180">
        <f t="shared" si="79"/>
        <v>0</v>
      </c>
      <c r="U217" s="1242"/>
      <c r="V217" s="1243"/>
      <c r="W217" s="363"/>
      <c r="X217" s="373"/>
      <c r="Y217" s="328"/>
      <c r="Z217" s="328"/>
      <c r="AA217" s="328"/>
      <c r="AB217" s="328"/>
      <c r="AC217" s="328"/>
      <c r="AD217" s="328"/>
      <c r="AE217" s="363"/>
      <c r="AF217" s="376"/>
      <c r="AG217" s="328"/>
      <c r="AH217" s="328"/>
      <c r="AI217" s="328"/>
      <c r="AJ217" s="328"/>
      <c r="AK217" s="328"/>
      <c r="AL217" s="328"/>
      <c r="AM217" s="363"/>
      <c r="AN217" s="376"/>
      <c r="AO217" s="328"/>
      <c r="AP217" s="328"/>
      <c r="AQ217" s="328"/>
      <c r="AR217" s="328"/>
      <c r="AS217" s="328"/>
      <c r="AT217" s="328"/>
      <c r="AU217" s="363"/>
      <c r="AV217" s="376"/>
      <c r="AW217" s="328"/>
      <c r="AX217" s="328"/>
      <c r="AY217" s="328"/>
      <c r="AZ217" s="328"/>
      <c r="BA217" s="328"/>
      <c r="BB217" s="328"/>
      <c r="BC217" s="363"/>
    </row>
    <row r="218" spans="1:55" s="17" customFormat="1" ht="15.95" customHeight="1" x14ac:dyDescent="0.25">
      <c r="A218" s="970"/>
      <c r="B218" s="1121"/>
      <c r="C218" s="75" t="s">
        <v>29</v>
      </c>
      <c r="D218" s="179">
        <f>S208</f>
        <v>1.0000000000000001E-5</v>
      </c>
      <c r="E218" s="174"/>
      <c r="F218" s="174"/>
      <c r="G218" s="174"/>
      <c r="H218" s="175">
        <v>2</v>
      </c>
      <c r="I218" s="176"/>
      <c r="J218" s="180">
        <f t="shared" si="74"/>
        <v>2.0000000000000002E-5</v>
      </c>
      <c r="K218" s="82" t="s">
        <v>61</v>
      </c>
      <c r="L218" s="181">
        <f>L82</f>
        <v>125</v>
      </c>
      <c r="M218" s="180">
        <f t="shared" si="75"/>
        <v>0</v>
      </c>
      <c r="N218" s="78"/>
      <c r="O218" s="180">
        <f t="shared" si="76"/>
        <v>0</v>
      </c>
      <c r="P218" s="79"/>
      <c r="Q218" s="180">
        <f t="shared" si="77"/>
        <v>0</v>
      </c>
      <c r="R218" s="79"/>
      <c r="S218" s="180">
        <f t="shared" si="78"/>
        <v>0</v>
      </c>
      <c r="T218" s="180">
        <f t="shared" si="79"/>
        <v>0</v>
      </c>
      <c r="U218" s="1242"/>
      <c r="V218" s="1243"/>
      <c r="W218" s="363"/>
      <c r="X218" s="373"/>
      <c r="Y218" s="328"/>
      <c r="Z218" s="328"/>
      <c r="AA218" s="328"/>
      <c r="AB218" s="328"/>
      <c r="AC218" s="328"/>
      <c r="AD218" s="328"/>
      <c r="AE218" s="363"/>
      <c r="AF218" s="376"/>
      <c r="AG218" s="328"/>
      <c r="AH218" s="328"/>
      <c r="AI218" s="328"/>
      <c r="AJ218" s="328"/>
      <c r="AK218" s="328"/>
      <c r="AL218" s="328"/>
      <c r="AM218" s="363"/>
      <c r="AN218" s="376"/>
      <c r="AO218" s="328"/>
      <c r="AP218" s="328"/>
      <c r="AQ218" s="328"/>
      <c r="AR218" s="328"/>
      <c r="AS218" s="328"/>
      <c r="AT218" s="328"/>
      <c r="AU218" s="363"/>
      <c r="AV218" s="376"/>
      <c r="AW218" s="328"/>
      <c r="AX218" s="328"/>
      <c r="AY218" s="328"/>
      <c r="AZ218" s="328"/>
      <c r="BA218" s="328"/>
      <c r="BB218" s="328"/>
      <c r="BC218" s="363"/>
    </row>
    <row r="219" spans="1:55" s="17" customFormat="1" ht="15.95" customHeight="1" x14ac:dyDescent="0.25">
      <c r="A219" s="970"/>
      <c r="B219" s="1121"/>
      <c r="C219" s="75" t="s">
        <v>606</v>
      </c>
      <c r="D219" s="173"/>
      <c r="E219" s="174"/>
      <c r="F219" s="174"/>
      <c r="G219" s="174"/>
      <c r="H219" s="175">
        <v>2</v>
      </c>
      <c r="I219" s="176"/>
      <c r="J219" s="180">
        <f t="shared" si="74"/>
        <v>0</v>
      </c>
      <c r="K219" s="82" t="s">
        <v>196</v>
      </c>
      <c r="L219" s="181"/>
      <c r="M219" s="180">
        <f t="shared" si="75"/>
        <v>0</v>
      </c>
      <c r="N219" s="78"/>
      <c r="O219" s="180">
        <f t="shared" si="76"/>
        <v>0</v>
      </c>
      <c r="P219" s="79"/>
      <c r="Q219" s="180">
        <f t="shared" si="77"/>
        <v>0</v>
      </c>
      <c r="R219" s="79">
        <v>20</v>
      </c>
      <c r="S219" s="180">
        <f t="shared" si="78"/>
        <v>0</v>
      </c>
      <c r="T219" s="180">
        <f t="shared" si="79"/>
        <v>0</v>
      </c>
      <c r="U219" s="1242"/>
      <c r="V219" s="1243"/>
      <c r="W219" s="122"/>
      <c r="X219" s="373"/>
      <c r="Y219" s="328"/>
      <c r="Z219" s="328"/>
      <c r="AA219" s="328"/>
      <c r="AB219" s="328"/>
      <c r="AC219" s="328"/>
    </row>
    <row r="220" spans="1:55" s="17" customFormat="1" ht="15.95" customHeight="1" x14ac:dyDescent="0.25">
      <c r="A220" s="970"/>
      <c r="B220" s="1121"/>
      <c r="C220" s="75" t="s">
        <v>607</v>
      </c>
      <c r="D220" s="173"/>
      <c r="E220" s="174"/>
      <c r="F220" s="174"/>
      <c r="G220" s="174"/>
      <c r="H220" s="175">
        <v>2</v>
      </c>
      <c r="I220" s="176"/>
      <c r="J220" s="180">
        <f t="shared" si="74"/>
        <v>0</v>
      </c>
      <c r="K220" s="82" t="s">
        <v>196</v>
      </c>
      <c r="L220" s="181"/>
      <c r="M220" s="180">
        <f t="shared" si="75"/>
        <v>0</v>
      </c>
      <c r="N220" s="78"/>
      <c r="O220" s="180">
        <f t="shared" si="76"/>
        <v>0</v>
      </c>
      <c r="P220" s="79"/>
      <c r="Q220" s="180">
        <f t="shared" si="77"/>
        <v>0</v>
      </c>
      <c r="R220" s="79">
        <v>20</v>
      </c>
      <c r="S220" s="180">
        <f t="shared" si="78"/>
        <v>0</v>
      </c>
      <c r="T220" s="180">
        <f t="shared" si="79"/>
        <v>0</v>
      </c>
      <c r="U220" s="1242"/>
      <c r="V220" s="1243"/>
      <c r="W220" s="122"/>
      <c r="X220" s="373"/>
      <c r="Y220" s="328"/>
      <c r="Z220" s="328"/>
      <c r="AA220" s="328"/>
      <c r="AB220" s="328"/>
      <c r="AC220" s="328"/>
    </row>
    <row r="221" spans="1:55" s="17" customFormat="1" ht="15" customHeight="1" x14ac:dyDescent="0.25">
      <c r="A221" s="970"/>
      <c r="B221" s="1121"/>
      <c r="C221" s="75" t="s">
        <v>608</v>
      </c>
      <c r="D221" s="173"/>
      <c r="E221" s="174"/>
      <c r="F221" s="174"/>
      <c r="G221" s="174"/>
      <c r="H221" s="175">
        <v>2</v>
      </c>
      <c r="I221" s="176"/>
      <c r="J221" s="180">
        <f t="shared" si="74"/>
        <v>0</v>
      </c>
      <c r="K221" s="82" t="s">
        <v>196</v>
      </c>
      <c r="L221" s="181"/>
      <c r="M221" s="180">
        <f t="shared" si="75"/>
        <v>0</v>
      </c>
      <c r="N221" s="78"/>
      <c r="O221" s="180">
        <f t="shared" si="76"/>
        <v>0</v>
      </c>
      <c r="P221" s="79"/>
      <c r="Q221" s="180">
        <f t="shared" si="77"/>
        <v>0</v>
      </c>
      <c r="R221" s="79">
        <v>20</v>
      </c>
      <c r="S221" s="180">
        <f t="shared" si="78"/>
        <v>0</v>
      </c>
      <c r="T221" s="180">
        <f t="shared" si="79"/>
        <v>0</v>
      </c>
      <c r="U221" s="1242"/>
      <c r="V221" s="1243"/>
      <c r="W221" s="122"/>
      <c r="X221" s="373"/>
      <c r="Y221" s="328"/>
      <c r="Z221" s="328"/>
      <c r="AA221" s="328"/>
      <c r="AB221" s="328"/>
      <c r="AC221" s="328"/>
    </row>
    <row r="222" spans="1:55" ht="15" customHeight="1" x14ac:dyDescent="0.25">
      <c r="A222" s="970"/>
      <c r="B222" s="1121"/>
      <c r="C222" s="75" t="s">
        <v>127</v>
      </c>
      <c r="D222" s="286">
        <f>$B$86</f>
        <v>0</v>
      </c>
      <c r="E222" s="287">
        <f>ROUNDUP(S208/5,0)</f>
        <v>1</v>
      </c>
      <c r="F222" s="288">
        <v>4</v>
      </c>
      <c r="G222" s="174"/>
      <c r="H222" s="17"/>
      <c r="I222" s="176"/>
      <c r="J222" s="180">
        <f t="shared" si="74"/>
        <v>0</v>
      </c>
      <c r="K222" s="330" t="s">
        <v>61</v>
      </c>
      <c r="L222" s="181">
        <f>L86</f>
        <v>40</v>
      </c>
      <c r="M222" s="180">
        <f t="shared" si="75"/>
        <v>0</v>
      </c>
      <c r="N222" s="78"/>
      <c r="O222" s="180">
        <f t="shared" si="76"/>
        <v>0</v>
      </c>
      <c r="P222" s="79"/>
      <c r="Q222" s="180">
        <f t="shared" si="77"/>
        <v>0</v>
      </c>
      <c r="R222" s="79"/>
      <c r="S222" s="180">
        <f t="shared" si="78"/>
        <v>0</v>
      </c>
      <c r="T222" s="180">
        <f t="shared" si="79"/>
        <v>0</v>
      </c>
      <c r="U222" s="1242"/>
      <c r="V222" s="1243"/>
      <c r="X222" s="555" t="s">
        <v>10148</v>
      </c>
      <c r="Y222" s="939">
        <v>200</v>
      </c>
      <c r="Z222" s="939"/>
      <c r="AF222" s="376"/>
      <c r="AN222" s="376"/>
      <c r="AV222" s="376"/>
    </row>
    <row r="223" spans="1:55" ht="15" customHeight="1" x14ac:dyDescent="0.25">
      <c r="A223" s="970"/>
      <c r="B223" s="1121"/>
      <c r="C223" s="75" t="s">
        <v>128</v>
      </c>
      <c r="D223" s="286">
        <f>$B$87</f>
        <v>0</v>
      </c>
      <c r="E223" s="287">
        <f>ROUNDUP(S208,0)</f>
        <v>1</v>
      </c>
      <c r="F223" s="287">
        <f>F222/2</f>
        <v>2</v>
      </c>
      <c r="G223" s="174"/>
      <c r="H223" s="17"/>
      <c r="I223" s="176"/>
      <c r="J223" s="180">
        <f t="shared" si="74"/>
        <v>0</v>
      </c>
      <c r="K223" s="330" t="s">
        <v>204</v>
      </c>
      <c r="L223" s="181">
        <f>L87</f>
        <v>200</v>
      </c>
      <c r="M223" s="180">
        <f t="shared" si="75"/>
        <v>0</v>
      </c>
      <c r="N223" s="78"/>
      <c r="O223" s="180">
        <f t="shared" si="76"/>
        <v>0</v>
      </c>
      <c r="P223" s="79"/>
      <c r="Q223" s="180">
        <f t="shared" si="77"/>
        <v>0</v>
      </c>
      <c r="R223" s="79"/>
      <c r="S223" s="180">
        <f t="shared" si="78"/>
        <v>0</v>
      </c>
      <c r="T223" s="180">
        <f t="shared" si="79"/>
        <v>0</v>
      </c>
      <c r="U223" s="1242"/>
      <c r="V223" s="1243"/>
      <c r="X223" s="555" t="s">
        <v>10149</v>
      </c>
      <c r="Y223" s="939">
        <v>350</v>
      </c>
      <c r="Z223" s="939"/>
      <c r="AF223" s="376"/>
      <c r="AN223" s="376"/>
      <c r="AV223" s="376"/>
    </row>
    <row r="224" spans="1:55" ht="15" customHeight="1" x14ac:dyDescent="0.25">
      <c r="A224" s="970"/>
      <c r="B224" s="1121"/>
      <c r="C224" s="75" t="s">
        <v>1182</v>
      </c>
      <c r="D224" s="286">
        <f>$B$87</f>
        <v>0</v>
      </c>
      <c r="E224" s="287">
        <f>ROUNDUP(S208,0)</f>
        <v>1</v>
      </c>
      <c r="F224" s="287">
        <f>F222</f>
        <v>4</v>
      </c>
      <c r="G224" s="174"/>
      <c r="H224" s="17"/>
      <c r="I224" s="176"/>
      <c r="J224" s="180">
        <f t="shared" si="74"/>
        <v>0</v>
      </c>
      <c r="K224" s="330" t="s">
        <v>204</v>
      </c>
      <c r="L224" s="181">
        <f>L88</f>
        <v>70</v>
      </c>
      <c r="M224" s="180">
        <f t="shared" si="75"/>
        <v>0</v>
      </c>
      <c r="N224" s="78"/>
      <c r="O224" s="180">
        <f t="shared" si="76"/>
        <v>0</v>
      </c>
      <c r="P224" s="79"/>
      <c r="Q224" s="180">
        <f t="shared" si="77"/>
        <v>0</v>
      </c>
      <c r="R224" s="79"/>
      <c r="S224" s="180">
        <f t="shared" si="78"/>
        <v>0</v>
      </c>
      <c r="T224" s="180">
        <f t="shared" si="79"/>
        <v>0</v>
      </c>
      <c r="U224" s="1242"/>
      <c r="V224" s="1243"/>
      <c r="X224" s="373"/>
      <c r="AF224" s="376"/>
      <c r="AN224" s="376"/>
      <c r="AV224" s="376"/>
    </row>
    <row r="225" spans="1:48" ht="15" customHeight="1" x14ac:dyDescent="0.25">
      <c r="A225" s="970"/>
      <c r="B225" s="1121"/>
      <c r="C225" s="1128"/>
      <c r="D225" s="1129"/>
      <c r="E225" s="1129"/>
      <c r="F225" s="1129"/>
      <c r="G225" s="1129"/>
      <c r="H225" s="1129"/>
      <c r="I225" s="1129"/>
      <c r="J225" s="1129"/>
      <c r="K225" s="1129"/>
      <c r="L225" s="1129"/>
      <c r="M225" s="1129"/>
      <c r="N225" s="1129"/>
      <c r="O225" s="1129"/>
      <c r="P225" s="1129"/>
      <c r="Q225" s="1129"/>
      <c r="R225" s="1129"/>
      <c r="S225" s="1129"/>
      <c r="T225" s="1130"/>
      <c r="U225" s="1124"/>
      <c r="V225" s="1125"/>
      <c r="X225" s="373"/>
      <c r="AF225" s="376"/>
      <c r="AN225" s="376"/>
      <c r="AV225" s="376"/>
    </row>
    <row r="226" spans="1:48" ht="15" customHeight="1" x14ac:dyDescent="0.25">
      <c r="A226" s="970"/>
      <c r="B226" s="1121"/>
      <c r="C226" s="75" t="s">
        <v>80</v>
      </c>
      <c r="D226" s="981">
        <f>D167</f>
        <v>0.03</v>
      </c>
      <c r="E226" s="982"/>
      <c r="F226" s="982"/>
      <c r="G226" s="982"/>
      <c r="H226" s="982"/>
      <c r="I226" s="982"/>
      <c r="J226" s="982"/>
      <c r="K226" s="982"/>
      <c r="L226" s="982"/>
      <c r="M226" s="982"/>
      <c r="N226" s="982"/>
      <c r="O226" s="982"/>
      <c r="P226" s="982"/>
      <c r="Q226" s="982"/>
      <c r="R226" s="982"/>
      <c r="S226" s="983"/>
      <c r="T226" s="396">
        <f>SUM(U176+U201+U208)*D226</f>
        <v>0</v>
      </c>
      <c r="U226" s="390">
        <f>T226</f>
        <v>0</v>
      </c>
      <c r="V226" s="299" t="e">
        <f>U226/D207</f>
        <v>#DIV/0!</v>
      </c>
      <c r="X226" s="397">
        <f>U230*0.01</f>
        <v>0</v>
      </c>
      <c r="Y226" s="328" t="s">
        <v>1134</v>
      </c>
      <c r="AF226" s="376"/>
      <c r="AN226" s="376"/>
      <c r="AV226" s="376"/>
    </row>
    <row r="227" spans="1:48" ht="15" customHeight="1" x14ac:dyDescent="0.25">
      <c r="A227" s="970"/>
      <c r="B227" s="1121"/>
      <c r="C227" s="1128"/>
      <c r="D227" s="1129"/>
      <c r="E227" s="1129"/>
      <c r="F227" s="1129"/>
      <c r="G227" s="1129"/>
      <c r="H227" s="1129"/>
      <c r="I227" s="1129"/>
      <c r="J227" s="1129"/>
      <c r="K227" s="1129"/>
      <c r="L227" s="1129"/>
      <c r="M227" s="1129"/>
      <c r="N227" s="1129"/>
      <c r="O227" s="1129"/>
      <c r="P227" s="1129"/>
      <c r="Q227" s="1129"/>
      <c r="R227" s="1129"/>
      <c r="S227" s="1129"/>
      <c r="T227" s="1130"/>
      <c r="U227" s="1124"/>
      <c r="V227" s="1125"/>
      <c r="X227" s="391" t="s">
        <v>1096</v>
      </c>
      <c r="AF227" s="376"/>
      <c r="AN227" s="376"/>
      <c r="AV227" s="376"/>
    </row>
    <row r="228" spans="1:48" ht="15" customHeight="1" x14ac:dyDescent="0.25">
      <c r="A228" s="970"/>
      <c r="B228" s="1121"/>
      <c r="C228" s="75" t="s">
        <v>30</v>
      </c>
      <c r="D228" s="1371"/>
      <c r="E228" s="1372"/>
      <c r="F228" s="1372"/>
      <c r="G228" s="1372"/>
      <c r="H228" s="1372"/>
      <c r="I228" s="1372"/>
      <c r="J228" s="1372">
        <f>IF(D228&lt;&gt;0,D228,0)*IF(E228&lt;&gt;0,E228,1)*IF(F228&lt;&gt;0,F228,1)*IF(G228&lt;&gt;0,G228,1)*IF(H228&lt;&gt;0,H228,1)/IF(I228&lt;&gt;0,I228,1)</f>
        <v>0</v>
      </c>
      <c r="K228" s="1372"/>
      <c r="L228" s="1372"/>
      <c r="M228" s="1372">
        <f>ROUND(J228*L228,0)</f>
        <v>0</v>
      </c>
      <c r="N228" s="1372"/>
      <c r="O228" s="1372">
        <f>ROUND(J228*N228,0)</f>
        <v>0</v>
      </c>
      <c r="P228" s="1372"/>
      <c r="Q228" s="1372">
        <f>ROUND(J228*P228,0)</f>
        <v>0</v>
      </c>
      <c r="R228" s="1372"/>
      <c r="S228" s="1373">
        <f>ROUND(J228*R228,0)</f>
        <v>0</v>
      </c>
      <c r="T228" s="320">
        <f>SUM(U176+U201+U208)+T226</f>
        <v>0</v>
      </c>
      <c r="U228" s="1247"/>
      <c r="V228" s="1248"/>
      <c r="W228" s="122"/>
      <c r="X228" s="369" t="s">
        <v>253</v>
      </c>
      <c r="Y228" s="939">
        <f>U231-U230</f>
        <v>0</v>
      </c>
      <c r="Z228" s="939"/>
      <c r="AF228" s="376"/>
      <c r="AN228" s="376"/>
      <c r="AV228" s="376"/>
    </row>
    <row r="229" spans="1:48" ht="15" customHeight="1" x14ac:dyDescent="0.25">
      <c r="A229" s="970"/>
      <c r="B229" s="1121"/>
      <c r="C229" s="75" t="s">
        <v>81</v>
      </c>
      <c r="D229" s="981">
        <f>D170</f>
        <v>0.28000000000000003</v>
      </c>
      <c r="E229" s="982"/>
      <c r="F229" s="982"/>
      <c r="G229" s="982"/>
      <c r="H229" s="982"/>
      <c r="I229" s="982"/>
      <c r="J229" s="982"/>
      <c r="K229" s="982"/>
      <c r="L229" s="982"/>
      <c r="M229" s="982"/>
      <c r="N229" s="982"/>
      <c r="O229" s="982"/>
      <c r="P229" s="982"/>
      <c r="Q229" s="982"/>
      <c r="R229" s="982"/>
      <c r="S229" s="983"/>
      <c r="T229" s="320">
        <f>T228*D229</f>
        <v>0</v>
      </c>
      <c r="U229" s="1249"/>
      <c r="V229" s="1250"/>
      <c r="W229" s="122"/>
      <c r="X229" s="373"/>
      <c r="AE229" s="392"/>
      <c r="AF229" s="376"/>
      <c r="AN229" s="376"/>
      <c r="AV229" s="376"/>
    </row>
    <row r="230" spans="1:48" ht="15" customHeight="1" x14ac:dyDescent="0.25">
      <c r="A230" s="1122"/>
      <c r="B230" s="1123"/>
      <c r="C230" s="75" t="s">
        <v>31</v>
      </c>
      <c r="D230" s="1371"/>
      <c r="E230" s="1372"/>
      <c r="F230" s="1372"/>
      <c r="G230" s="1372"/>
      <c r="H230" s="1372"/>
      <c r="I230" s="1372"/>
      <c r="J230" s="1372">
        <f>IF(D230&lt;&gt;0,D230,0)*IF(E230&lt;&gt;0,E230,1)*IF(F230&lt;&gt;0,F230,1)*IF(G230&lt;&gt;0,G230,1)*IF(H230&lt;&gt;0,H230,1)/IF(I230&lt;&gt;0,I230,1)</f>
        <v>0</v>
      </c>
      <c r="K230" s="1372"/>
      <c r="L230" s="1372"/>
      <c r="M230" s="1372">
        <f>ROUND(J230*L230,0)</f>
        <v>0</v>
      </c>
      <c r="N230" s="1372"/>
      <c r="O230" s="1372">
        <f>ROUND(J230*N230,0)</f>
        <v>0</v>
      </c>
      <c r="P230" s="1372"/>
      <c r="Q230" s="1372">
        <f>ROUND(J230*P230,0)</f>
        <v>0</v>
      </c>
      <c r="R230" s="1372"/>
      <c r="S230" s="1373">
        <f>ROUND(J230*R230,0)</f>
        <v>0</v>
      </c>
      <c r="T230" s="320">
        <f>SUM(T228:T229)</f>
        <v>0</v>
      </c>
      <c r="U230" s="386">
        <f>T230</f>
        <v>0</v>
      </c>
      <c r="V230" s="299" t="e">
        <f>U230/D207</f>
        <v>#DIV/0!</v>
      </c>
      <c r="W230" s="122"/>
      <c r="X230" s="373"/>
      <c r="AF230" s="376"/>
      <c r="AN230" s="376"/>
      <c r="AV230" s="376"/>
    </row>
    <row r="231" spans="1:48" ht="15" customHeight="1" x14ac:dyDescent="0.25">
      <c r="A231" s="778">
        <f>T218</f>
        <v>0</v>
      </c>
      <c r="B231" s="772">
        <v>0.04</v>
      </c>
      <c r="C231" s="773">
        <f>(T229)*B231</f>
        <v>0</v>
      </c>
      <c r="D231" s="664" t="s">
        <v>19</v>
      </c>
      <c r="E231" s="665"/>
      <c r="F231" s="665"/>
      <c r="G231" s="877" t="s">
        <v>1080</v>
      </c>
      <c r="H231" s="878"/>
      <c r="I231" s="879">
        <f>U176</f>
        <v>0</v>
      </c>
      <c r="J231" s="880"/>
      <c r="K231" s="880"/>
      <c r="L231" s="881"/>
      <c r="M231" s="346" t="s">
        <v>1081</v>
      </c>
      <c r="N231" s="879">
        <f>U201</f>
        <v>0</v>
      </c>
      <c r="O231" s="881"/>
      <c r="P231" s="346" t="s">
        <v>279</v>
      </c>
      <c r="Q231" s="347" t="e">
        <f>SUM(U208/U230)</f>
        <v>#DIV/0!</v>
      </c>
      <c r="R231" s="879">
        <f>U208</f>
        <v>0</v>
      </c>
      <c r="S231" s="881"/>
      <c r="T231" s="348">
        <f>T229</f>
        <v>0</v>
      </c>
      <c r="U231" s="1233">
        <f>SUM(U230*0.012)+U230</f>
        <v>0</v>
      </c>
      <c r="V231" s="1234"/>
      <c r="W231" s="122"/>
      <c r="X231" s="373"/>
      <c r="AF231" s="376"/>
      <c r="AN231" s="376"/>
      <c r="AV231" s="376"/>
    </row>
    <row r="232" spans="1:48" ht="15" customHeight="1" x14ac:dyDescent="0.25">
      <c r="A232" s="993"/>
      <c r="B232" s="993"/>
      <c r="C232" s="993"/>
      <c r="D232" s="993"/>
      <c r="E232" s="993"/>
      <c r="F232" s="993"/>
      <c r="G232" s="993"/>
      <c r="H232" s="993"/>
      <c r="I232" s="993"/>
      <c r="J232" s="993"/>
      <c r="K232" s="993"/>
      <c r="L232" s="993"/>
      <c r="M232" s="993"/>
      <c r="N232" s="993"/>
      <c r="O232" s="993"/>
      <c r="P232" s="993"/>
      <c r="Q232" s="993"/>
      <c r="R232" s="993"/>
      <c r="S232" s="993"/>
      <c r="T232" s="993"/>
      <c r="U232" s="993"/>
      <c r="V232" s="1103"/>
      <c r="W232" s="122"/>
      <c r="X232" s="373"/>
      <c r="AF232" s="376"/>
      <c r="AN232" s="376"/>
      <c r="AV232" s="376"/>
    </row>
    <row r="233" spans="1:48" ht="15" customHeight="1" thickBot="1" x14ac:dyDescent="0.3">
      <c r="A233" s="1283"/>
      <c r="B233" s="1284"/>
      <c r="C233" s="83" t="s">
        <v>297</v>
      </c>
      <c r="D233" s="882"/>
      <c r="E233" s="883"/>
      <c r="F233" s="883"/>
      <c r="G233" s="884"/>
      <c r="H233" s="885"/>
      <c r="I233" s="885"/>
      <c r="J233" s="885"/>
      <c r="K233" s="885"/>
      <c r="L233" s="885"/>
      <c r="M233" s="885"/>
      <c r="N233" s="885"/>
      <c r="O233" s="885"/>
      <c r="P233" s="885"/>
      <c r="Q233" s="885"/>
      <c r="R233" s="885"/>
      <c r="S233" s="885"/>
      <c r="T233" s="885"/>
      <c r="U233" s="1374"/>
      <c r="V233" s="1375"/>
      <c r="W233" s="122"/>
      <c r="X233" s="373"/>
      <c r="AF233" s="490" t="s">
        <v>253</v>
      </c>
      <c r="AG233" s="491"/>
      <c r="AH233" s="492"/>
      <c r="AN233" s="376"/>
      <c r="AV233" s="376"/>
    </row>
    <row r="234" spans="1:48" ht="15" customHeight="1" x14ac:dyDescent="0.25">
      <c r="A234" s="1285"/>
      <c r="B234" s="1286"/>
      <c r="C234" s="84" t="s">
        <v>172</v>
      </c>
      <c r="D234" s="882" t="s">
        <v>227</v>
      </c>
      <c r="E234" s="883"/>
      <c r="F234" s="883"/>
      <c r="G234" s="884"/>
      <c r="H234" s="885"/>
      <c r="I234" s="885"/>
      <c r="J234" s="885"/>
      <c r="K234" s="885"/>
      <c r="L234" s="885"/>
      <c r="M234" s="885"/>
      <c r="N234" s="885"/>
      <c r="O234" s="885"/>
      <c r="P234" s="885"/>
      <c r="Q234" s="885"/>
      <c r="R234" s="885"/>
      <c r="S234" s="885"/>
      <c r="T234" s="885"/>
      <c r="U234" s="224" t="s">
        <v>33</v>
      </c>
      <c r="V234" s="224" t="s">
        <v>49</v>
      </c>
      <c r="W234" s="122"/>
      <c r="X234" s="373"/>
      <c r="AF234" s="486">
        <f>T230*0.05</f>
        <v>0</v>
      </c>
      <c r="AG234" s="482" t="s">
        <v>1244</v>
      </c>
      <c r="AH234" s="487"/>
      <c r="AN234" s="376"/>
      <c r="AV234" s="376"/>
    </row>
    <row r="235" spans="1:48" ht="15" customHeight="1" x14ac:dyDescent="0.25">
      <c r="A235" s="1287"/>
      <c r="B235" s="1288"/>
      <c r="C235" s="85" t="s">
        <v>21</v>
      </c>
      <c r="D235" s="882"/>
      <c r="E235" s="883"/>
      <c r="F235" s="883"/>
      <c r="G235" s="884"/>
      <c r="H235" s="885"/>
      <c r="I235" s="885"/>
      <c r="J235" s="885"/>
      <c r="K235" s="885"/>
      <c r="L235" s="885"/>
      <c r="M235" s="885"/>
      <c r="N235" s="885"/>
      <c r="O235" s="885"/>
      <c r="P235" s="885"/>
      <c r="Q235" s="885"/>
      <c r="R235" s="885"/>
      <c r="S235" s="885"/>
      <c r="T235" s="885"/>
      <c r="U235" s="386">
        <f>SUM(T236:T270)</f>
        <v>0</v>
      </c>
      <c r="V235" s="299">
        <f>U235/D279</f>
        <v>0</v>
      </c>
      <c r="W235" s="122"/>
      <c r="X235" s="373"/>
      <c r="AF235" s="486">
        <f>AF234+T230</f>
        <v>0</v>
      </c>
      <c r="AG235" s="482" t="s">
        <v>1245</v>
      </c>
      <c r="AH235" s="487"/>
      <c r="AN235" s="376"/>
      <c r="AV235" s="376"/>
    </row>
    <row r="236" spans="1:48" ht="15" customHeight="1" x14ac:dyDescent="0.25">
      <c r="A236" s="88">
        <f>Input!C80</f>
        <v>0</v>
      </c>
      <c r="B236" s="81">
        <v>7</v>
      </c>
      <c r="C236" s="75" t="str">
        <f>Input!A80</f>
        <v>Select Hardie Plank</v>
      </c>
      <c r="D236" s="270">
        <f t="shared" ref="D236:D264" si="80">SUM(A236)/B236</f>
        <v>0</v>
      </c>
      <c r="E236" s="264"/>
      <c r="F236" s="264"/>
      <c r="G236" s="264"/>
      <c r="H236" s="465">
        <v>1.1000000000000001</v>
      </c>
      <c r="I236" s="265"/>
      <c r="J236" s="387">
        <f t="shared" ref="J236:J270" si="81">IF(D236&lt;&gt;0,D236,0)*IF(E236&lt;&gt;0,E236,1)*IF(F236&lt;&gt;0,F236,1)*IF(G236&lt;&gt;0,G236,1)*IF(H236&lt;&gt;0,H236,1)/IF(I236&lt;&gt;0,I236,1)</f>
        <v>0</v>
      </c>
      <c r="K236" s="90" t="s">
        <v>173</v>
      </c>
      <c r="L236" s="885"/>
      <c r="M236" s="885"/>
      <c r="N236" s="275">
        <f>VLOOKUP(C236,Input!BO103:BP107,2,FALSE)</f>
        <v>0</v>
      </c>
      <c r="O236" s="398">
        <f t="shared" ref="O236:O270" si="82">ROUND(J236*N236,0)</f>
        <v>0</v>
      </c>
      <c r="P236" s="885"/>
      <c r="Q236" s="885"/>
      <c r="R236" s="885"/>
      <c r="S236" s="885"/>
      <c r="T236" s="387">
        <f>ROUND(L236+O236+P236+S236,0)</f>
        <v>0</v>
      </c>
      <c r="U236" s="1363" t="s">
        <v>1076</v>
      </c>
      <c r="V236" s="1364"/>
      <c r="W236" s="122"/>
      <c r="X236" s="639" t="s">
        <v>10179</v>
      </c>
      <c r="Y236" s="1381">
        <v>13.49</v>
      </c>
      <c r="Z236" s="1381"/>
      <c r="AF236" s="488">
        <f>SUM(AF235*0.012)+AF235</f>
        <v>0</v>
      </c>
      <c r="AG236" s="483" t="s">
        <v>1246</v>
      </c>
      <c r="AH236" s="489"/>
      <c r="AN236" s="376"/>
      <c r="AV236" s="376"/>
    </row>
    <row r="237" spans="1:48" ht="15" customHeight="1" x14ac:dyDescent="0.25">
      <c r="A237" s="88">
        <f>Input!C81</f>
        <v>0</v>
      </c>
      <c r="B237" s="323">
        <v>2</v>
      </c>
      <c r="C237" s="75" t="str">
        <f>Input!A81</f>
        <v>Select Shakes ColorPlus</v>
      </c>
      <c r="D237" s="259">
        <f>SUM(A237)/B237</f>
        <v>0</v>
      </c>
      <c r="E237" s="290"/>
      <c r="F237" s="290"/>
      <c r="G237" s="290"/>
      <c r="H237" s="261">
        <v>1.1000000000000001</v>
      </c>
      <c r="I237" s="262"/>
      <c r="J237" s="180">
        <f t="shared" si="81"/>
        <v>0</v>
      </c>
      <c r="K237" s="82" t="s">
        <v>173</v>
      </c>
      <c r="L237" s="885"/>
      <c r="M237" s="885"/>
      <c r="N237" s="275">
        <f>VLOOKUP(C237,Input!BD80:BE84,2,FALSE)</f>
        <v>0</v>
      </c>
      <c r="O237" s="303">
        <f t="shared" si="82"/>
        <v>0</v>
      </c>
      <c r="P237" s="885"/>
      <c r="Q237" s="885"/>
      <c r="R237" s="885"/>
      <c r="S237" s="885"/>
      <c r="T237" s="180">
        <f t="shared" ref="T237:T270" si="83">ROUND(M237+O237+Q237+S237,0)</f>
        <v>0</v>
      </c>
      <c r="U237" s="1365"/>
      <c r="V237" s="1366"/>
      <c r="W237" s="771">
        <v>2</v>
      </c>
      <c r="X237" s="373" t="s">
        <v>8382</v>
      </c>
      <c r="Y237" s="1118">
        <v>12.61</v>
      </c>
      <c r="Z237" s="1118"/>
      <c r="AF237" s="376"/>
      <c r="AN237" s="376"/>
      <c r="AV237" s="376"/>
    </row>
    <row r="238" spans="1:48" ht="15" customHeight="1" x14ac:dyDescent="0.25">
      <c r="A238" s="88">
        <f>Input!C82</f>
        <v>9.9999999999999995E-7</v>
      </c>
      <c r="B238" s="81">
        <v>12</v>
      </c>
      <c r="C238" s="75" t="str">
        <f>Input!A82</f>
        <v>Smooth 4X10 Artic White</v>
      </c>
      <c r="D238" s="259">
        <f t="shared" si="80"/>
        <v>8.3333333333333325E-8</v>
      </c>
      <c r="E238" s="290"/>
      <c r="F238" s="290"/>
      <c r="G238" s="290"/>
      <c r="H238" s="261">
        <v>1.07</v>
      </c>
      <c r="I238" s="262"/>
      <c r="J238" s="180">
        <f t="shared" si="81"/>
        <v>8.9166666666666664E-8</v>
      </c>
      <c r="K238" s="82" t="s">
        <v>173</v>
      </c>
      <c r="L238" s="885"/>
      <c r="M238" s="885"/>
      <c r="N238" s="275">
        <f>VLOOKUP(C238,Input!BO80:BP107,2,FALSE)</f>
        <v>89.56</v>
      </c>
      <c r="O238" s="303">
        <f t="shared" si="82"/>
        <v>0</v>
      </c>
      <c r="P238" s="885"/>
      <c r="Q238" s="885"/>
      <c r="R238" s="885"/>
      <c r="S238" s="885"/>
      <c r="T238" s="180">
        <f t="shared" si="83"/>
        <v>0</v>
      </c>
      <c r="U238" s="1365"/>
      <c r="V238" s="1366"/>
      <c r="W238" s="771">
        <v>2.5</v>
      </c>
      <c r="X238" s="373" t="s">
        <v>10125</v>
      </c>
      <c r="Y238" s="1118">
        <v>10.98</v>
      </c>
      <c r="Z238" s="1118"/>
      <c r="AF238" s="376"/>
      <c r="AN238" s="376"/>
      <c r="AV238" s="376"/>
    </row>
    <row r="239" spans="1:48" ht="15" customHeight="1" x14ac:dyDescent="0.25">
      <c r="A239" s="88">
        <f>Input!C83</f>
        <v>0</v>
      </c>
      <c r="B239" s="81">
        <v>12</v>
      </c>
      <c r="C239" s="75" t="str">
        <f>Input!A83</f>
        <v>Starter Strip</v>
      </c>
      <c r="D239" s="259">
        <f t="shared" si="80"/>
        <v>0</v>
      </c>
      <c r="E239" s="290"/>
      <c r="F239" s="290"/>
      <c r="G239" s="290"/>
      <c r="H239" s="261"/>
      <c r="I239" s="262"/>
      <c r="J239" s="180">
        <f t="shared" si="81"/>
        <v>0</v>
      </c>
      <c r="K239" s="82" t="s">
        <v>173</v>
      </c>
      <c r="L239" s="885"/>
      <c r="M239" s="885"/>
      <c r="N239" s="275">
        <f>Input!AZ83</f>
        <v>2</v>
      </c>
      <c r="O239" s="303">
        <f t="shared" si="82"/>
        <v>0</v>
      </c>
      <c r="P239" s="885"/>
      <c r="Q239" s="885"/>
      <c r="R239" s="885"/>
      <c r="S239" s="885"/>
      <c r="T239" s="180">
        <f t="shared" si="83"/>
        <v>0</v>
      </c>
      <c r="U239" s="1365"/>
      <c r="V239" s="1366"/>
      <c r="W239" s="122"/>
      <c r="X239" s="373" t="s">
        <v>10126</v>
      </c>
      <c r="Y239" s="1118">
        <v>12.78</v>
      </c>
      <c r="Z239" s="1118"/>
      <c r="AF239" s="376"/>
      <c r="AN239" s="376"/>
      <c r="AV239" s="376"/>
    </row>
    <row r="240" spans="1:48" ht="15" customHeight="1" x14ac:dyDescent="0.25">
      <c r="A240" s="88">
        <f>SUM(A235:A237)</f>
        <v>0</v>
      </c>
      <c r="B240" s="81">
        <v>16</v>
      </c>
      <c r="C240" s="75" t="s">
        <v>1095</v>
      </c>
      <c r="D240" s="259">
        <f t="shared" ref="D240" si="84">SUM(A240)/B240</f>
        <v>0</v>
      </c>
      <c r="E240" s="290"/>
      <c r="F240" s="290"/>
      <c r="G240" s="290"/>
      <c r="H240" s="261">
        <v>1.0580000000000001</v>
      </c>
      <c r="I240" s="262"/>
      <c r="J240" s="180">
        <f>IF(D240&lt;&gt;0,D240,0)*IF(E240&lt;&gt;0,E240,1)*IF(F240&lt;&gt;0,F240,1)*IF(G240&lt;&gt;0,G240,1)*IF(H240&lt;&gt;0,H240,1)/IF(I240&lt;&gt;0,I240,1)</f>
        <v>0</v>
      </c>
      <c r="K240" s="82" t="s">
        <v>173</v>
      </c>
      <c r="L240" s="885"/>
      <c r="M240" s="885"/>
      <c r="N240" s="275">
        <v>6.37</v>
      </c>
      <c r="O240" s="180">
        <f>ROUND(J240*N240,0)</f>
        <v>0</v>
      </c>
      <c r="P240" s="885"/>
      <c r="Q240" s="885"/>
      <c r="R240" s="885"/>
      <c r="S240" s="885"/>
      <c r="T240" s="180">
        <f>ROUND(M240+O240+Q240+S240,0)</f>
        <v>0</v>
      </c>
      <c r="U240" s="1365"/>
      <c r="V240" s="1366"/>
      <c r="W240" s="122"/>
      <c r="X240" s="373" t="s">
        <v>10127</v>
      </c>
      <c r="Y240" s="1118">
        <v>49.13</v>
      </c>
      <c r="Z240" s="1118"/>
      <c r="AF240" s="376"/>
      <c r="AN240" s="376"/>
      <c r="AV240" s="376"/>
    </row>
    <row r="241" spans="1:48" ht="15" customHeight="1" x14ac:dyDescent="0.25">
      <c r="A241" s="88">
        <f>SUM(A236:A238)</f>
        <v>9.9999999999999995E-7</v>
      </c>
      <c r="B241" s="81">
        <v>32</v>
      </c>
      <c r="C241" s="75" t="s">
        <v>10182</v>
      </c>
      <c r="D241" s="259">
        <f t="shared" si="80"/>
        <v>3.1249999999999999E-8</v>
      </c>
      <c r="E241" s="290"/>
      <c r="F241" s="290"/>
      <c r="G241" s="290"/>
      <c r="H241" s="261">
        <v>1.0580000000000001</v>
      </c>
      <c r="I241" s="262"/>
      <c r="J241" s="180">
        <f>IF(D241&lt;&gt;0,D241,0)*IF(E241&lt;&gt;0,E241,1)*IF(F241&lt;&gt;0,F241,1)*IF(G241&lt;&gt;0,G241,1)*IF(H241&lt;&gt;0,H241,1)/IF(I241&lt;&gt;0,I241,1)</f>
        <v>3.3062500000000002E-8</v>
      </c>
      <c r="K241" s="82" t="s">
        <v>173</v>
      </c>
      <c r="L241" s="885"/>
      <c r="M241" s="885"/>
      <c r="N241" s="643">
        <v>39.729999999999997</v>
      </c>
      <c r="O241" s="180">
        <f>ROUND(J241*N241,0)</f>
        <v>0</v>
      </c>
      <c r="P241" s="885"/>
      <c r="Q241" s="885"/>
      <c r="R241" s="885"/>
      <c r="S241" s="885"/>
      <c r="T241" s="180">
        <f>ROUND(M241+O241+Q241+S241,0)</f>
        <v>0</v>
      </c>
      <c r="U241" s="1365"/>
      <c r="V241" s="1366"/>
      <c r="W241" s="122"/>
      <c r="X241" s="373" t="s">
        <v>10128</v>
      </c>
      <c r="Y241" s="1118">
        <v>61.41</v>
      </c>
      <c r="Z241" s="1118"/>
      <c r="AF241" s="376"/>
      <c r="AN241" s="376"/>
      <c r="AV241" s="376"/>
    </row>
    <row r="242" spans="1:48" ht="15" customHeight="1" x14ac:dyDescent="0.25">
      <c r="A242" s="88">
        <f>Input!C84</f>
        <v>0</v>
      </c>
      <c r="B242" s="81">
        <v>12</v>
      </c>
      <c r="C242" s="75" t="str">
        <f>Input!A84</f>
        <v>Roughsawn - 5/4" X 5.5" X 12'</v>
      </c>
      <c r="D242" s="259">
        <f t="shared" si="80"/>
        <v>0</v>
      </c>
      <c r="E242" s="290"/>
      <c r="F242" s="290"/>
      <c r="G242" s="290"/>
      <c r="H242" s="261">
        <v>1.1000000000000001</v>
      </c>
      <c r="I242" s="262"/>
      <c r="J242" s="180">
        <f t="shared" si="81"/>
        <v>0</v>
      </c>
      <c r="K242" s="82" t="s">
        <v>173</v>
      </c>
      <c r="L242" s="885"/>
      <c r="M242" s="885"/>
      <c r="N242" s="275">
        <f>VLOOKUP(C242,Input!BD86:BE97,2,FALSE)</f>
        <v>39.74</v>
      </c>
      <c r="O242" s="303">
        <f t="shared" si="82"/>
        <v>0</v>
      </c>
      <c r="P242" s="885"/>
      <c r="Q242" s="885"/>
      <c r="R242" s="885"/>
      <c r="S242" s="885"/>
      <c r="T242" s="180">
        <f t="shared" si="83"/>
        <v>0</v>
      </c>
      <c r="U242" s="1365"/>
      <c r="V242" s="1366"/>
      <c r="W242" s="122"/>
      <c r="X242" s="373"/>
      <c r="AF242" s="376"/>
      <c r="AN242" s="376"/>
      <c r="AV242" s="376"/>
    </row>
    <row r="243" spans="1:48" ht="15" customHeight="1" x14ac:dyDescent="0.25">
      <c r="A243" s="88">
        <f>Input!C85</f>
        <v>0</v>
      </c>
      <c r="B243" s="81">
        <v>12</v>
      </c>
      <c r="C243" s="75" t="str">
        <f>Input!A85</f>
        <v>Roughsawn - 5/4" X 3.5" X 12'</v>
      </c>
      <c r="D243" s="259">
        <f t="shared" si="80"/>
        <v>0</v>
      </c>
      <c r="E243" s="290"/>
      <c r="F243" s="290"/>
      <c r="G243" s="290"/>
      <c r="H243" s="261">
        <v>1.1000000000000001</v>
      </c>
      <c r="I243" s="262"/>
      <c r="J243" s="180">
        <f t="shared" si="81"/>
        <v>0</v>
      </c>
      <c r="K243" s="82" t="s">
        <v>173</v>
      </c>
      <c r="L243" s="885"/>
      <c r="M243" s="885"/>
      <c r="N243" s="275">
        <f>VLOOKUP(C243,Input!BD86:BE97,2,FALSE)</f>
        <v>25.29</v>
      </c>
      <c r="O243" s="303">
        <f t="shared" si="82"/>
        <v>0</v>
      </c>
      <c r="P243" s="885"/>
      <c r="Q243" s="885"/>
      <c r="R243" s="885"/>
      <c r="S243" s="885"/>
      <c r="T243" s="180">
        <f t="shared" si="83"/>
        <v>0</v>
      </c>
      <c r="U243" s="1365"/>
      <c r="V243" s="1366"/>
      <c r="W243" s="122"/>
      <c r="X243" s="373"/>
      <c r="AF243" s="376"/>
      <c r="AN243" s="376"/>
      <c r="AV243" s="376"/>
    </row>
    <row r="244" spans="1:48" ht="15" customHeight="1" x14ac:dyDescent="0.25">
      <c r="A244" s="88">
        <f>Input!C86</f>
        <v>0</v>
      </c>
      <c r="B244" s="81">
        <v>12</v>
      </c>
      <c r="C244" s="75" t="str">
        <f>Input!A86</f>
        <v>Roughsawn - 5/4" X 5.5" X 12'</v>
      </c>
      <c r="D244" s="259">
        <f t="shared" si="80"/>
        <v>0</v>
      </c>
      <c r="E244" s="290"/>
      <c r="F244" s="290"/>
      <c r="G244" s="290"/>
      <c r="H244" s="261">
        <v>1.1000000000000001</v>
      </c>
      <c r="I244" s="262"/>
      <c r="J244" s="180">
        <f t="shared" si="81"/>
        <v>0</v>
      </c>
      <c r="K244" s="82" t="s">
        <v>173</v>
      </c>
      <c r="L244" s="885"/>
      <c r="M244" s="885"/>
      <c r="N244" s="275">
        <f>VLOOKUP(C244,Input!BD86:BE97,2,FALSE)</f>
        <v>39.74</v>
      </c>
      <c r="O244" s="303">
        <f t="shared" si="82"/>
        <v>0</v>
      </c>
      <c r="P244" s="885"/>
      <c r="Q244" s="885"/>
      <c r="R244" s="885"/>
      <c r="S244" s="885"/>
      <c r="T244" s="180">
        <f t="shared" si="83"/>
        <v>0</v>
      </c>
      <c r="U244" s="1365"/>
      <c r="V244" s="1366"/>
      <c r="W244" s="122"/>
      <c r="X244" s="373"/>
      <c r="AF244" s="376"/>
      <c r="AN244" s="376"/>
      <c r="AV244" s="376"/>
    </row>
    <row r="245" spans="1:48" ht="15" customHeight="1" x14ac:dyDescent="0.25">
      <c r="A245" s="88">
        <f>Input!C87</f>
        <v>0</v>
      </c>
      <c r="B245" s="81">
        <v>12</v>
      </c>
      <c r="C245" s="75" t="str">
        <f>Input!A87</f>
        <v>Roughsawn - 5/4" X 11.25" X 12'</v>
      </c>
      <c r="D245" s="259">
        <f t="shared" si="80"/>
        <v>0</v>
      </c>
      <c r="E245" s="290"/>
      <c r="F245" s="290"/>
      <c r="G245" s="290"/>
      <c r="H245" s="261">
        <v>1.1000000000000001</v>
      </c>
      <c r="I245" s="262"/>
      <c r="J245" s="180">
        <f t="shared" si="81"/>
        <v>0</v>
      </c>
      <c r="K245" s="82" t="s">
        <v>173</v>
      </c>
      <c r="L245" s="885"/>
      <c r="M245" s="885"/>
      <c r="N245" s="275">
        <f>VLOOKUP(C245,Input!BD86:BE97,2,FALSE)</f>
        <v>81.28</v>
      </c>
      <c r="O245" s="303">
        <f t="shared" si="82"/>
        <v>0</v>
      </c>
      <c r="P245" s="885"/>
      <c r="Q245" s="885"/>
      <c r="R245" s="885"/>
      <c r="S245" s="885"/>
      <c r="T245" s="180">
        <f t="shared" si="83"/>
        <v>0</v>
      </c>
      <c r="U245" s="1365"/>
      <c r="V245" s="1366"/>
      <c r="W245" s="122"/>
      <c r="X245" s="373"/>
      <c r="AF245" s="376"/>
      <c r="AN245" s="376"/>
      <c r="AV245" s="376"/>
    </row>
    <row r="246" spans="1:48" ht="15" customHeight="1" x14ac:dyDescent="0.25">
      <c r="A246" s="88">
        <f>Input!C88</f>
        <v>0</v>
      </c>
      <c r="B246" s="81">
        <v>1</v>
      </c>
      <c r="C246" s="75" t="str">
        <f>Input!A88</f>
        <v xml:space="preserve">Hardi Strips - 6" X 10" </v>
      </c>
      <c r="D246" s="259">
        <f t="shared" si="80"/>
        <v>0</v>
      </c>
      <c r="E246" s="290"/>
      <c r="F246" s="290"/>
      <c r="G246" s="290"/>
      <c r="H246" s="261"/>
      <c r="I246" s="262"/>
      <c r="J246" s="180">
        <f t="shared" si="81"/>
        <v>0</v>
      </c>
      <c r="K246" s="82" t="s">
        <v>173</v>
      </c>
      <c r="L246" s="885"/>
      <c r="M246" s="885"/>
      <c r="N246" s="757">
        <v>0.95</v>
      </c>
      <c r="O246" s="303">
        <f t="shared" si="82"/>
        <v>0</v>
      </c>
      <c r="P246" s="885"/>
      <c r="Q246" s="885"/>
      <c r="R246" s="885"/>
      <c r="S246" s="885"/>
      <c r="T246" s="180">
        <f t="shared" si="83"/>
        <v>0</v>
      </c>
      <c r="U246" s="1365"/>
      <c r="V246" s="1366"/>
      <c r="W246" s="122"/>
      <c r="X246" s="373"/>
      <c r="AF246" s="376"/>
      <c r="AN246" s="376"/>
      <c r="AV246" s="376"/>
    </row>
    <row r="247" spans="1:48" ht="15" customHeight="1" x14ac:dyDescent="0.25">
      <c r="A247" s="88">
        <f>Input!C89</f>
        <v>0</v>
      </c>
      <c r="B247" s="81">
        <v>1</v>
      </c>
      <c r="C247" s="75" t="str">
        <f>Input!A89</f>
        <v>Hardie Trim Flat Tabs - 3"</v>
      </c>
      <c r="D247" s="259">
        <f t="shared" si="80"/>
        <v>0</v>
      </c>
      <c r="E247" s="290"/>
      <c r="F247" s="290"/>
      <c r="G247" s="290"/>
      <c r="H247" s="261"/>
      <c r="I247" s="262"/>
      <c r="J247" s="180">
        <f t="shared" si="81"/>
        <v>0</v>
      </c>
      <c r="K247" s="82" t="s">
        <v>173</v>
      </c>
      <c r="L247" s="885"/>
      <c r="M247" s="885"/>
      <c r="N247" s="643">
        <v>0.34</v>
      </c>
      <c r="O247" s="303">
        <f t="shared" si="82"/>
        <v>0</v>
      </c>
      <c r="P247" s="885"/>
      <c r="Q247" s="885"/>
      <c r="R247" s="885"/>
      <c r="S247" s="885"/>
      <c r="T247" s="180">
        <f t="shared" si="83"/>
        <v>0</v>
      </c>
      <c r="U247" s="1365"/>
      <c r="V247" s="1366"/>
      <c r="W247" s="122"/>
      <c r="X247" s="373"/>
      <c r="AF247" s="376"/>
      <c r="AN247" s="376"/>
      <c r="AV247" s="376"/>
    </row>
    <row r="248" spans="1:48" ht="15" customHeight="1" x14ac:dyDescent="0.25">
      <c r="A248" s="88">
        <f>Input!C90</f>
        <v>0</v>
      </c>
      <c r="B248" s="81">
        <v>1</v>
      </c>
      <c r="C248" s="75" t="str">
        <f>Input!A90</f>
        <v>Select Corner Tabs</v>
      </c>
      <c r="D248" s="259">
        <f t="shared" si="80"/>
        <v>0</v>
      </c>
      <c r="E248" s="290"/>
      <c r="F248" s="290"/>
      <c r="G248" s="290"/>
      <c r="H248" s="261"/>
      <c r="I248" s="262"/>
      <c r="J248" s="180">
        <f t="shared" si="81"/>
        <v>0</v>
      </c>
      <c r="K248" s="82" t="s">
        <v>173</v>
      </c>
      <c r="L248" s="885"/>
      <c r="M248" s="885"/>
      <c r="N248" s="275">
        <f>VLOOKUP(C248,Input!BD99:BE101,2,FALSE)</f>
        <v>0</v>
      </c>
      <c r="O248" s="303">
        <f t="shared" si="82"/>
        <v>0</v>
      </c>
      <c r="P248" s="885"/>
      <c r="Q248" s="885"/>
      <c r="R248" s="885"/>
      <c r="S248" s="885"/>
      <c r="T248" s="180">
        <f t="shared" si="83"/>
        <v>0</v>
      </c>
      <c r="U248" s="1365"/>
      <c r="V248" s="1366"/>
      <c r="W248" s="122"/>
      <c r="X248" s="373"/>
      <c r="AF248" s="376"/>
      <c r="AN248" s="376"/>
      <c r="AV248" s="376"/>
    </row>
    <row r="249" spans="1:48" ht="15" customHeight="1" x14ac:dyDescent="0.25">
      <c r="A249" s="88">
        <f>Input!C91</f>
        <v>0</v>
      </c>
      <c r="B249" s="81">
        <v>12</v>
      </c>
      <c r="C249" s="75" t="str">
        <f>Input!A91</f>
        <v>Roughsawn - 5/4" X 3.5" X 12'</v>
      </c>
      <c r="D249" s="259">
        <f t="shared" si="80"/>
        <v>0</v>
      </c>
      <c r="E249" s="290"/>
      <c r="F249" s="290"/>
      <c r="G249" s="290"/>
      <c r="H249" s="261">
        <v>1.1000000000000001</v>
      </c>
      <c r="I249" s="262"/>
      <c r="J249" s="180">
        <f t="shared" si="81"/>
        <v>0</v>
      </c>
      <c r="K249" s="82" t="s">
        <v>173</v>
      </c>
      <c r="L249" s="885"/>
      <c r="M249" s="885"/>
      <c r="N249" s="275">
        <f>VLOOKUP(C249,Input!BD102:BE107,2,FALSE)</f>
        <v>25.29</v>
      </c>
      <c r="O249" s="303">
        <f t="shared" si="82"/>
        <v>0</v>
      </c>
      <c r="P249" s="885"/>
      <c r="Q249" s="885"/>
      <c r="R249" s="885"/>
      <c r="S249" s="885"/>
      <c r="T249" s="180">
        <f t="shared" si="83"/>
        <v>0</v>
      </c>
      <c r="U249" s="1365"/>
      <c r="V249" s="1366"/>
      <c r="W249" s="122"/>
      <c r="X249" s="373"/>
      <c r="AF249" s="376"/>
      <c r="AN249" s="376"/>
      <c r="AV249" s="376"/>
    </row>
    <row r="250" spans="1:48" ht="15" customHeight="1" x14ac:dyDescent="0.25">
      <c r="A250" s="88">
        <f>Input!C92</f>
        <v>0</v>
      </c>
      <c r="B250" s="81">
        <v>12</v>
      </c>
      <c r="C250" s="75" t="str">
        <f>Input!A92</f>
        <v>Roughsawn - 5/4" X 5.5" X 12'</v>
      </c>
      <c r="D250" s="259">
        <f t="shared" si="80"/>
        <v>0</v>
      </c>
      <c r="E250" s="290"/>
      <c r="F250" s="290"/>
      <c r="G250" s="290"/>
      <c r="H250" s="261">
        <v>1.1000000000000001</v>
      </c>
      <c r="I250" s="262"/>
      <c r="J250" s="180">
        <f t="shared" si="81"/>
        <v>0</v>
      </c>
      <c r="K250" s="82" t="s">
        <v>173</v>
      </c>
      <c r="L250" s="885"/>
      <c r="M250" s="885"/>
      <c r="N250" s="275">
        <f>VLOOKUP(C250,Input!BD102:BE111,2,FALSE)</f>
        <v>39.74</v>
      </c>
      <c r="O250" s="303">
        <f t="shared" si="82"/>
        <v>0</v>
      </c>
      <c r="P250" s="885"/>
      <c r="Q250" s="885"/>
      <c r="R250" s="885"/>
      <c r="S250" s="885"/>
      <c r="T250" s="180">
        <f t="shared" si="83"/>
        <v>0</v>
      </c>
      <c r="U250" s="1365"/>
      <c r="V250" s="1366"/>
      <c r="W250" s="122"/>
      <c r="X250" s="373"/>
      <c r="AF250" s="376"/>
      <c r="AN250" s="376"/>
      <c r="AV250" s="376"/>
    </row>
    <row r="251" spans="1:48" ht="15" customHeight="1" x14ac:dyDescent="0.25">
      <c r="A251" s="88">
        <f>Input!C93</f>
        <v>85333333.333333328</v>
      </c>
      <c r="B251" s="81">
        <v>12</v>
      </c>
      <c r="C251" s="75" t="str">
        <f>Input!A93</f>
        <v>Roughsawn - 5/4" X 2.5" X 12'</v>
      </c>
      <c r="D251" s="259">
        <f>SUM(A252)/B251</f>
        <v>0</v>
      </c>
      <c r="E251" s="290"/>
      <c r="F251" s="290"/>
      <c r="G251" s="290"/>
      <c r="H251" s="261">
        <v>1.1000000000000001</v>
      </c>
      <c r="I251" s="262"/>
      <c r="J251" s="180">
        <f t="shared" si="81"/>
        <v>0</v>
      </c>
      <c r="K251" s="82" t="s">
        <v>114</v>
      </c>
      <c r="L251" s="885"/>
      <c r="M251" s="885"/>
      <c r="N251" s="275">
        <f>Input!AZ94</f>
        <v>11.3</v>
      </c>
      <c r="O251" s="303">
        <f t="shared" si="82"/>
        <v>0</v>
      </c>
      <c r="P251" s="885"/>
      <c r="Q251" s="885"/>
      <c r="R251" s="885"/>
      <c r="S251" s="885"/>
      <c r="T251" s="180">
        <f t="shared" si="83"/>
        <v>0</v>
      </c>
      <c r="U251" s="1365"/>
      <c r="V251" s="1366"/>
      <c r="W251" s="122"/>
      <c r="X251" s="373"/>
      <c r="AF251" s="376"/>
      <c r="AN251" s="376"/>
      <c r="AV251" s="376"/>
    </row>
    <row r="252" spans="1:48" ht="15" customHeight="1" x14ac:dyDescent="0.25">
      <c r="A252" s="88">
        <f>Input!C94</f>
        <v>0</v>
      </c>
      <c r="B252" s="81">
        <v>10</v>
      </c>
      <c r="C252" s="75" t="str">
        <f>Input!A94</f>
        <v>Window Head Flashing</v>
      </c>
      <c r="D252" s="259">
        <f>SUM(A253)/B252</f>
        <v>0</v>
      </c>
      <c r="E252" s="290"/>
      <c r="F252" s="290"/>
      <c r="G252" s="290"/>
      <c r="H252" s="261">
        <v>1.1000000000000001</v>
      </c>
      <c r="I252" s="262"/>
      <c r="J252" s="180">
        <f t="shared" si="81"/>
        <v>0</v>
      </c>
      <c r="K252" s="82" t="s">
        <v>114</v>
      </c>
      <c r="L252" s="885"/>
      <c r="M252" s="885"/>
      <c r="N252" s="275">
        <f>Input!AZ95</f>
        <v>11.3</v>
      </c>
      <c r="O252" s="303">
        <f t="shared" si="82"/>
        <v>0</v>
      </c>
      <c r="P252" s="885"/>
      <c r="Q252" s="885"/>
      <c r="R252" s="885"/>
      <c r="S252" s="885"/>
      <c r="T252" s="180">
        <f t="shared" si="83"/>
        <v>0</v>
      </c>
      <c r="U252" s="1365"/>
      <c r="V252" s="1366"/>
      <c r="W252" s="122"/>
      <c r="X252" s="373"/>
      <c r="AF252" s="376"/>
      <c r="AN252" s="376"/>
      <c r="AV252" s="376"/>
    </row>
    <row r="253" spans="1:48" ht="15" customHeight="1" x14ac:dyDescent="0.25">
      <c r="A253" s="88">
        <f>Input!C95</f>
        <v>0</v>
      </c>
      <c r="B253" s="81">
        <v>10</v>
      </c>
      <c r="C253" s="75" t="str">
        <f>Input!A95</f>
        <v>Window Sill Trim Flashing</v>
      </c>
      <c r="D253" s="259">
        <f>SUM(A253)/B253</f>
        <v>0</v>
      </c>
      <c r="E253" s="290"/>
      <c r="F253" s="290"/>
      <c r="G253" s="290"/>
      <c r="H253" s="261">
        <v>1.1000000000000001</v>
      </c>
      <c r="I253" s="262"/>
      <c r="J253" s="180">
        <f t="shared" si="81"/>
        <v>0</v>
      </c>
      <c r="K253" s="82" t="s">
        <v>114</v>
      </c>
      <c r="L253" s="885"/>
      <c r="M253" s="885"/>
      <c r="N253" s="275">
        <f>Input!AZ96</f>
        <v>11.14</v>
      </c>
      <c r="O253" s="303">
        <f t="shared" si="82"/>
        <v>0</v>
      </c>
      <c r="P253" s="885"/>
      <c r="Q253" s="885"/>
      <c r="R253" s="885"/>
      <c r="S253" s="885"/>
      <c r="T253" s="180">
        <f t="shared" si="83"/>
        <v>0</v>
      </c>
      <c r="U253" s="1365"/>
      <c r="V253" s="1366"/>
      <c r="W253" s="122"/>
      <c r="X253" s="373"/>
      <c r="AF253" s="376"/>
      <c r="AN253" s="376"/>
      <c r="AV253" s="376"/>
    </row>
    <row r="254" spans="1:48" ht="15" customHeight="1" x14ac:dyDescent="0.25">
      <c r="A254" s="88">
        <f>Input!C97</f>
        <v>0</v>
      </c>
      <c r="B254" s="81">
        <v>9</v>
      </c>
      <c r="C254" s="75" t="str">
        <f>Input!A97</f>
        <v>Starter Base Flashing</v>
      </c>
      <c r="D254" s="259">
        <f>SUM(A254)/B254</f>
        <v>0</v>
      </c>
      <c r="E254" s="290"/>
      <c r="F254" s="290"/>
      <c r="G254" s="290"/>
      <c r="H254" s="261">
        <v>1.1000000000000001</v>
      </c>
      <c r="I254" s="262"/>
      <c r="J254" s="180">
        <f t="shared" si="81"/>
        <v>0</v>
      </c>
      <c r="K254" s="82" t="s">
        <v>114</v>
      </c>
      <c r="L254" s="885"/>
      <c r="M254" s="885"/>
      <c r="N254" s="275">
        <f>Input!AZ97</f>
        <v>13.12</v>
      </c>
      <c r="O254" s="303">
        <f t="shared" si="82"/>
        <v>0</v>
      </c>
      <c r="P254" s="885"/>
      <c r="Q254" s="885"/>
      <c r="R254" s="885"/>
      <c r="S254" s="885"/>
      <c r="T254" s="180">
        <f t="shared" si="83"/>
        <v>0</v>
      </c>
      <c r="U254" s="1365"/>
      <c r="V254" s="1366"/>
      <c r="W254" s="122"/>
      <c r="X254" s="373"/>
      <c r="AF254" s="376"/>
      <c r="AN254" s="376"/>
      <c r="AV254" s="376"/>
    </row>
    <row r="255" spans="1:48" ht="15" customHeight="1" x14ac:dyDescent="0.25">
      <c r="A255" s="88">
        <f>Input!C98</f>
        <v>0</v>
      </c>
      <c r="B255" s="81">
        <v>10</v>
      </c>
      <c r="C255" s="75" t="str">
        <f>Input!A98</f>
        <v>Wall Flashing</v>
      </c>
      <c r="D255" s="259">
        <f t="shared" si="80"/>
        <v>0</v>
      </c>
      <c r="E255" s="290"/>
      <c r="F255" s="290"/>
      <c r="G255" s="290"/>
      <c r="H255" s="261">
        <v>1.1000000000000001</v>
      </c>
      <c r="I255" s="262"/>
      <c r="J255" s="180">
        <f t="shared" si="81"/>
        <v>0</v>
      </c>
      <c r="K255" s="82" t="s">
        <v>114</v>
      </c>
      <c r="L255" s="885"/>
      <c r="M255" s="885"/>
      <c r="N255" s="275">
        <f>Input!AZ98</f>
        <v>10.68</v>
      </c>
      <c r="O255" s="303">
        <f t="shared" si="82"/>
        <v>0</v>
      </c>
      <c r="P255" s="885"/>
      <c r="Q255" s="885"/>
      <c r="R255" s="885"/>
      <c r="S255" s="885"/>
      <c r="T255" s="180">
        <f t="shared" si="83"/>
        <v>0</v>
      </c>
      <c r="U255" s="1365"/>
      <c r="V255" s="1366"/>
      <c r="W255" s="122"/>
      <c r="X255" s="373"/>
      <c r="AF255" s="376"/>
      <c r="AN255" s="376"/>
      <c r="AV255" s="376"/>
    </row>
    <row r="256" spans="1:48" ht="15" customHeight="1" x14ac:dyDescent="0.25">
      <c r="A256" s="88">
        <f>Input!C99</f>
        <v>0</v>
      </c>
      <c r="B256" s="81">
        <v>0.8</v>
      </c>
      <c r="C256" s="75" t="str">
        <f>Input!A99</f>
        <v>Step Flashing</v>
      </c>
      <c r="D256" s="259">
        <f t="shared" si="80"/>
        <v>0</v>
      </c>
      <c r="E256" s="290"/>
      <c r="F256" s="290"/>
      <c r="G256" s="290"/>
      <c r="H256" s="261"/>
      <c r="I256" s="262"/>
      <c r="J256" s="180">
        <f t="shared" si="81"/>
        <v>0</v>
      </c>
      <c r="K256" s="82" t="s">
        <v>114</v>
      </c>
      <c r="L256" s="885"/>
      <c r="M256" s="885"/>
      <c r="N256" s="275">
        <f>Input!AZ99</f>
        <v>0.77</v>
      </c>
      <c r="O256" s="303">
        <f t="shared" si="82"/>
        <v>0</v>
      </c>
      <c r="P256" s="885"/>
      <c r="Q256" s="885"/>
      <c r="R256" s="885"/>
      <c r="S256" s="885"/>
      <c r="T256" s="180">
        <f t="shared" si="83"/>
        <v>0</v>
      </c>
      <c r="U256" s="1365"/>
      <c r="V256" s="1366"/>
      <c r="W256" s="122"/>
      <c r="X256" s="373"/>
      <c r="AF256" s="376"/>
      <c r="AN256" s="376"/>
      <c r="AV256" s="376"/>
    </row>
    <row r="257" spans="1:55" ht="15" customHeight="1" x14ac:dyDescent="0.25">
      <c r="A257" s="88">
        <f>Input!C100</f>
        <v>0</v>
      </c>
      <c r="B257" s="81">
        <v>1</v>
      </c>
      <c r="C257" s="75" t="str">
        <f>Input!A100</f>
        <v>Miscellaneous Flashings</v>
      </c>
      <c r="D257" s="259">
        <f t="shared" si="80"/>
        <v>0</v>
      </c>
      <c r="E257" s="290"/>
      <c r="F257" s="290"/>
      <c r="G257" s="290"/>
      <c r="H257" s="261">
        <v>1.1000000000000001</v>
      </c>
      <c r="I257" s="262"/>
      <c r="J257" s="180">
        <f t="shared" si="81"/>
        <v>0</v>
      </c>
      <c r="K257" s="82" t="s">
        <v>114</v>
      </c>
      <c r="L257" s="885"/>
      <c r="M257" s="885"/>
      <c r="N257" s="275">
        <f>Input!AZ100</f>
        <v>0</v>
      </c>
      <c r="O257" s="303">
        <f t="shared" si="82"/>
        <v>0</v>
      </c>
      <c r="P257" s="885"/>
      <c r="Q257" s="885"/>
      <c r="R257" s="885"/>
      <c r="S257" s="885"/>
      <c r="T257" s="180">
        <f t="shared" si="83"/>
        <v>0</v>
      </c>
      <c r="U257" s="1365"/>
      <c r="V257" s="1366"/>
      <c r="W257" s="122"/>
      <c r="X257" s="373"/>
      <c r="AF257" s="376"/>
      <c r="AN257" s="376"/>
      <c r="AV257" s="376"/>
    </row>
    <row r="258" spans="1:55" ht="15" customHeight="1" x14ac:dyDescent="0.25">
      <c r="A258" s="88">
        <f>Input!C100+SUM(A236:A238)</f>
        <v>9.9999999999999995E-7</v>
      </c>
      <c r="B258" s="81">
        <v>900</v>
      </c>
      <c r="C258" s="75" t="str">
        <f>Input!A101</f>
        <v>Tyvek House Wrap 9'x100'</v>
      </c>
      <c r="D258" s="259">
        <f t="shared" ref="D258" si="85">SUM(A258)/B258</f>
        <v>1.1111111111111111E-9</v>
      </c>
      <c r="E258" s="290"/>
      <c r="F258" s="290"/>
      <c r="G258" s="290"/>
      <c r="H258" s="261">
        <v>1.1000000000000001</v>
      </c>
      <c r="I258" s="262"/>
      <c r="J258" s="180">
        <f t="shared" ref="J258" si="86">IF(D258&lt;&gt;0,D258,0)*IF(E258&lt;&gt;0,E258,1)*IF(F258&lt;&gt;0,F258,1)*IF(G258&lt;&gt;0,G258,1)*IF(H258&lt;&gt;0,H258,1)/IF(I258&lt;&gt;0,I258,1)</f>
        <v>1.2222222222222223E-9</v>
      </c>
      <c r="K258" s="82" t="s">
        <v>114</v>
      </c>
      <c r="L258" s="885"/>
      <c r="M258" s="885"/>
      <c r="N258" s="275">
        <f>VLOOKUP(C258,Input!BD58:BE62,2,FALSE)</f>
        <v>103</v>
      </c>
      <c r="O258" s="303">
        <f t="shared" ref="O258" si="87">ROUND(J258*N258,0)</f>
        <v>0</v>
      </c>
      <c r="P258" s="885"/>
      <c r="Q258" s="885"/>
      <c r="R258" s="885"/>
      <c r="S258" s="885"/>
      <c r="T258" s="180">
        <f t="shared" ref="T258" si="88">ROUND(M258+O258+Q258+S258,0)</f>
        <v>0</v>
      </c>
      <c r="U258" s="1365"/>
      <c r="V258" s="1366"/>
      <c r="W258" s="122"/>
      <c r="X258" s="373"/>
      <c r="AF258" s="376"/>
      <c r="AN258" s="376"/>
      <c r="AV258" s="376"/>
    </row>
    <row r="259" spans="1:55" ht="15" customHeight="1" x14ac:dyDescent="0.25">
      <c r="A259" s="88">
        <f>Input!C102</f>
        <v>0</v>
      </c>
      <c r="B259" s="81">
        <v>75</v>
      </c>
      <c r="C259" s="75" t="str">
        <f>Input!A102</f>
        <v>Nova Flash 4" X 75ft Roll</v>
      </c>
      <c r="D259" s="259">
        <f t="shared" si="80"/>
        <v>0</v>
      </c>
      <c r="E259" s="290"/>
      <c r="F259" s="290"/>
      <c r="G259" s="290"/>
      <c r="H259" s="261">
        <v>1.1000000000000001</v>
      </c>
      <c r="I259" s="262"/>
      <c r="J259" s="180">
        <f t="shared" si="81"/>
        <v>0</v>
      </c>
      <c r="K259" s="82" t="s">
        <v>114</v>
      </c>
      <c r="L259" s="885"/>
      <c r="M259" s="885"/>
      <c r="N259" s="275">
        <f>VLOOKUP(C259,Input!BD65:BE73,2,FALSE)</f>
        <v>26.64</v>
      </c>
      <c r="O259" s="303">
        <f t="shared" si="82"/>
        <v>0</v>
      </c>
      <c r="P259" s="885"/>
      <c r="Q259" s="885"/>
      <c r="R259" s="885"/>
      <c r="S259" s="885"/>
      <c r="T259" s="180">
        <f t="shared" si="83"/>
        <v>0</v>
      </c>
      <c r="U259" s="1365"/>
      <c r="V259" s="1366"/>
      <c r="W259" s="122"/>
      <c r="X259" s="373"/>
      <c r="AF259" s="376"/>
      <c r="AN259" s="376"/>
      <c r="AV259" s="376"/>
    </row>
    <row r="260" spans="1:55" ht="15" customHeight="1" x14ac:dyDescent="0.25">
      <c r="A260" s="88">
        <f>Input!C102+SUM(A236:A238)</f>
        <v>9.9999999999999995E-7</v>
      </c>
      <c r="B260" s="81">
        <v>1000</v>
      </c>
      <c r="C260" s="399" t="s">
        <v>265</v>
      </c>
      <c r="D260" s="259">
        <f>SUM(A260)/B260</f>
        <v>9.9999999999999986E-10</v>
      </c>
      <c r="E260" s="290"/>
      <c r="F260" s="290"/>
      <c r="G260" s="290"/>
      <c r="H260" s="261">
        <v>1.1000000000000001</v>
      </c>
      <c r="I260" s="262"/>
      <c r="J260" s="180">
        <f t="shared" si="81"/>
        <v>1.0999999999999999E-9</v>
      </c>
      <c r="K260" s="82" t="s">
        <v>114</v>
      </c>
      <c r="L260" s="885"/>
      <c r="M260" s="885"/>
      <c r="N260" s="642">
        <v>7.01</v>
      </c>
      <c r="O260" s="303">
        <f t="shared" si="82"/>
        <v>0</v>
      </c>
      <c r="P260" s="885"/>
      <c r="Q260" s="885"/>
      <c r="R260" s="885"/>
      <c r="S260" s="885"/>
      <c r="T260" s="180">
        <f t="shared" si="83"/>
        <v>0</v>
      </c>
      <c r="U260" s="1365"/>
      <c r="V260" s="1366"/>
      <c r="W260" s="122"/>
      <c r="X260" s="373"/>
      <c r="AF260" s="376"/>
      <c r="AN260" s="376"/>
      <c r="AV260" s="376"/>
    </row>
    <row r="261" spans="1:55" ht="15" customHeight="1" x14ac:dyDescent="0.25">
      <c r="A261" s="88">
        <f>Input!C103</f>
        <v>0</v>
      </c>
      <c r="B261" s="81">
        <v>1</v>
      </c>
      <c r="C261" s="75" t="str">
        <f>Input!A103</f>
        <v>Hardie Sturdi - Plug Mount</v>
      </c>
      <c r="D261" s="259">
        <f t="shared" si="80"/>
        <v>0</v>
      </c>
      <c r="E261" s="290"/>
      <c r="F261" s="290"/>
      <c r="G261" s="290"/>
      <c r="H261" s="261"/>
      <c r="I261" s="262"/>
      <c r="J261" s="180">
        <f t="shared" si="81"/>
        <v>0</v>
      </c>
      <c r="K261" s="82" t="s">
        <v>114</v>
      </c>
      <c r="L261" s="885"/>
      <c r="M261" s="885"/>
      <c r="N261" s="643">
        <v>22.5</v>
      </c>
      <c r="O261" s="303">
        <f t="shared" si="82"/>
        <v>0</v>
      </c>
      <c r="P261" s="885"/>
      <c r="Q261" s="885"/>
      <c r="R261" s="885"/>
      <c r="S261" s="885"/>
      <c r="T261" s="180">
        <f t="shared" si="83"/>
        <v>0</v>
      </c>
      <c r="U261" s="1365"/>
      <c r="V261" s="1366"/>
      <c r="W261" s="122"/>
      <c r="X261" s="373"/>
      <c r="AF261" s="376"/>
      <c r="AN261" s="376"/>
      <c r="AV261" s="376"/>
    </row>
    <row r="262" spans="1:55" ht="15" customHeight="1" x14ac:dyDescent="0.25">
      <c r="A262" s="88">
        <f>Input!C104</f>
        <v>0</v>
      </c>
      <c r="B262" s="81">
        <v>1</v>
      </c>
      <c r="C262" s="75" t="str">
        <f>Input!A104</f>
        <v>Hardie Sturdi - Hose Bib Mt</v>
      </c>
      <c r="D262" s="259">
        <f t="shared" si="80"/>
        <v>0</v>
      </c>
      <c r="E262" s="290"/>
      <c r="F262" s="290"/>
      <c r="G262" s="290"/>
      <c r="H262" s="261"/>
      <c r="I262" s="262"/>
      <c r="J262" s="180">
        <f t="shared" si="81"/>
        <v>0</v>
      </c>
      <c r="K262" s="82" t="s">
        <v>114</v>
      </c>
      <c r="L262" s="885"/>
      <c r="M262" s="885"/>
      <c r="N262" s="643">
        <v>22.5</v>
      </c>
      <c r="O262" s="303">
        <f t="shared" si="82"/>
        <v>0</v>
      </c>
      <c r="P262" s="885"/>
      <c r="Q262" s="885"/>
      <c r="R262" s="885"/>
      <c r="S262" s="885"/>
      <c r="T262" s="180">
        <f t="shared" si="83"/>
        <v>0</v>
      </c>
      <c r="U262" s="1365"/>
      <c r="V262" s="1366"/>
      <c r="W262" s="122"/>
      <c r="X262" s="373"/>
      <c r="AF262" s="376"/>
      <c r="AN262" s="376"/>
      <c r="AV262" s="376"/>
    </row>
    <row r="263" spans="1:55" ht="15" customHeight="1" x14ac:dyDescent="0.25">
      <c r="A263" s="88">
        <f>Input!C105</f>
        <v>0</v>
      </c>
      <c r="B263" s="81">
        <v>1</v>
      </c>
      <c r="C263" s="75" t="str">
        <f>Input!A105</f>
        <v>Hardie Sturdi - Light Mount</v>
      </c>
      <c r="D263" s="259">
        <f t="shared" si="80"/>
        <v>0</v>
      </c>
      <c r="E263" s="290"/>
      <c r="F263" s="290"/>
      <c r="G263" s="290"/>
      <c r="H263" s="261"/>
      <c r="I263" s="262"/>
      <c r="J263" s="180">
        <f t="shared" si="81"/>
        <v>0</v>
      </c>
      <c r="K263" s="82" t="s">
        <v>114</v>
      </c>
      <c r="L263" s="885"/>
      <c r="M263" s="885"/>
      <c r="N263" s="643">
        <v>27.65</v>
      </c>
      <c r="O263" s="303">
        <f t="shared" si="82"/>
        <v>0</v>
      </c>
      <c r="P263" s="885"/>
      <c r="Q263" s="885"/>
      <c r="R263" s="885"/>
      <c r="S263" s="885"/>
      <c r="T263" s="180">
        <f t="shared" si="83"/>
        <v>0</v>
      </c>
      <c r="U263" s="1365"/>
      <c r="V263" s="1366"/>
      <c r="W263" s="122"/>
      <c r="X263" s="373"/>
      <c r="AF263" s="376"/>
      <c r="AU263" s="328"/>
      <c r="BC263" s="328"/>
    </row>
    <row r="264" spans="1:55" ht="15" customHeight="1" x14ac:dyDescent="0.25">
      <c r="A264" s="88">
        <f>Input!C106</f>
        <v>0</v>
      </c>
      <c r="B264" s="81">
        <v>1</v>
      </c>
      <c r="C264" s="75" t="str">
        <f>Input!A106</f>
        <v>Hardie Sturdi - Coach Light Mt</v>
      </c>
      <c r="D264" s="259">
        <f t="shared" si="80"/>
        <v>0</v>
      </c>
      <c r="E264" s="290"/>
      <c r="F264" s="290"/>
      <c r="G264" s="290"/>
      <c r="H264" s="261"/>
      <c r="I264" s="262"/>
      <c r="J264" s="180">
        <f t="shared" si="81"/>
        <v>0</v>
      </c>
      <c r="K264" s="82" t="s">
        <v>114</v>
      </c>
      <c r="L264" s="885"/>
      <c r="M264" s="885"/>
      <c r="N264" s="275">
        <f>Input!AZ106</f>
        <v>34.409999999999997</v>
      </c>
      <c r="O264" s="303">
        <f t="shared" si="82"/>
        <v>0</v>
      </c>
      <c r="P264" s="885"/>
      <c r="Q264" s="885"/>
      <c r="R264" s="885"/>
      <c r="S264" s="885"/>
      <c r="T264" s="180">
        <f t="shared" si="83"/>
        <v>0</v>
      </c>
      <c r="U264" s="1365"/>
      <c r="V264" s="1366"/>
      <c r="W264" s="122"/>
      <c r="X264" s="373"/>
      <c r="AF264" s="376"/>
      <c r="AU264" s="328"/>
      <c r="BC264" s="328"/>
    </row>
    <row r="265" spans="1:55" ht="15" customHeight="1" x14ac:dyDescent="0.25">
      <c r="A265" s="88">
        <f>Input!C107</f>
        <v>0</v>
      </c>
      <c r="B265" s="81">
        <v>1</v>
      </c>
      <c r="C265" s="75" t="str">
        <f>Input!A107</f>
        <v>Hardie Sturdi - Vent Mount</v>
      </c>
      <c r="D265" s="259">
        <f>SUM(A265)/B265</f>
        <v>0</v>
      </c>
      <c r="E265" s="290"/>
      <c r="F265" s="290"/>
      <c r="G265" s="290"/>
      <c r="H265" s="261"/>
      <c r="I265" s="262"/>
      <c r="J265" s="180">
        <f t="shared" si="81"/>
        <v>0</v>
      </c>
      <c r="K265" s="82" t="s">
        <v>114</v>
      </c>
      <c r="L265" s="885"/>
      <c r="M265" s="885"/>
      <c r="N265" s="275">
        <f>Input!AZ107</f>
        <v>34.409999999999997</v>
      </c>
      <c r="O265" s="303">
        <f t="shared" si="82"/>
        <v>0</v>
      </c>
      <c r="P265" s="885"/>
      <c r="Q265" s="885"/>
      <c r="R265" s="885"/>
      <c r="S265" s="885"/>
      <c r="T265" s="180">
        <f t="shared" si="83"/>
        <v>0</v>
      </c>
      <c r="U265" s="1365"/>
      <c r="V265" s="1366"/>
      <c r="W265" s="122"/>
      <c r="X265" s="373"/>
      <c r="AF265" s="376"/>
      <c r="AU265" s="328"/>
      <c r="BC265" s="328"/>
    </row>
    <row r="266" spans="1:55" ht="15" customHeight="1" x14ac:dyDescent="0.25">
      <c r="A266" s="88">
        <f>SUM(A236*0.01)</f>
        <v>0</v>
      </c>
      <c r="B266" s="323">
        <v>0</v>
      </c>
      <c r="C266" s="75" t="s">
        <v>10133</v>
      </c>
      <c r="D266" s="259">
        <f>(A266*B266)/20</f>
        <v>0</v>
      </c>
      <c r="E266" s="290"/>
      <c r="F266" s="290"/>
      <c r="G266" s="290"/>
      <c r="H266" s="261"/>
      <c r="I266" s="262"/>
      <c r="J266" s="180">
        <f t="shared" si="81"/>
        <v>0</v>
      </c>
      <c r="K266" s="82" t="s">
        <v>114</v>
      </c>
      <c r="L266" s="885"/>
      <c r="M266" s="885"/>
      <c r="N266" s="757">
        <v>39.15</v>
      </c>
      <c r="O266" s="303">
        <f t="shared" si="82"/>
        <v>0</v>
      </c>
      <c r="P266" s="885"/>
      <c r="Q266" s="885"/>
      <c r="R266" s="885"/>
      <c r="S266" s="885"/>
      <c r="T266" s="180">
        <f t="shared" si="83"/>
        <v>0</v>
      </c>
      <c r="U266" s="1365"/>
      <c r="V266" s="1366"/>
      <c r="W266" s="122"/>
      <c r="X266" s="639" t="s">
        <v>10179</v>
      </c>
      <c r="AF266" s="376"/>
      <c r="AU266" s="328"/>
      <c r="BC266" s="328"/>
    </row>
    <row r="267" spans="1:55" ht="15" customHeight="1" x14ac:dyDescent="0.25">
      <c r="A267" s="88">
        <f>SUM(A236*0.01)</f>
        <v>0</v>
      </c>
      <c r="B267" s="323">
        <v>0</v>
      </c>
      <c r="C267" s="75" t="s">
        <v>292</v>
      </c>
      <c r="D267" s="259">
        <f>(A267*B267)/100</f>
        <v>0</v>
      </c>
      <c r="E267" s="290"/>
      <c r="F267" s="290"/>
      <c r="G267" s="290"/>
      <c r="H267" s="261"/>
      <c r="I267" s="262"/>
      <c r="J267" s="180">
        <f t="shared" si="81"/>
        <v>0</v>
      </c>
      <c r="K267" s="82" t="s">
        <v>114</v>
      </c>
      <c r="L267" s="885"/>
      <c r="M267" s="885"/>
      <c r="N267" s="638">
        <v>69.98</v>
      </c>
      <c r="O267" s="303">
        <f t="shared" si="82"/>
        <v>0</v>
      </c>
      <c r="P267" s="885"/>
      <c r="Q267" s="885"/>
      <c r="R267" s="885"/>
      <c r="S267" s="885"/>
      <c r="T267" s="180">
        <f t="shared" si="83"/>
        <v>0</v>
      </c>
      <c r="U267" s="1365"/>
      <c r="V267" s="1366"/>
      <c r="W267" s="122"/>
      <c r="X267" s="639" t="s">
        <v>10179</v>
      </c>
      <c r="AF267" s="376"/>
      <c r="AU267" s="328"/>
      <c r="BC267" s="328"/>
    </row>
    <row r="268" spans="1:55" ht="15" customHeight="1" x14ac:dyDescent="0.25">
      <c r="A268" s="88">
        <f>SUM(A236*10)</f>
        <v>0</v>
      </c>
      <c r="B268" s="323">
        <v>0</v>
      </c>
      <c r="C268" s="75" t="s">
        <v>10123</v>
      </c>
      <c r="D268" s="259">
        <f>A268/(B268+0.000001)</f>
        <v>0</v>
      </c>
      <c r="E268" s="290"/>
      <c r="F268" s="290"/>
      <c r="G268" s="290"/>
      <c r="H268" s="261"/>
      <c r="I268" s="262">
        <v>250</v>
      </c>
      <c r="J268" s="180">
        <f t="shared" si="81"/>
        <v>0</v>
      </c>
      <c r="K268" s="82" t="s">
        <v>177</v>
      </c>
      <c r="L268" s="885"/>
      <c r="M268" s="885"/>
      <c r="N268" s="275">
        <v>36</v>
      </c>
      <c r="O268" s="303">
        <f t="shared" si="82"/>
        <v>0</v>
      </c>
      <c r="P268" s="885"/>
      <c r="Q268" s="885"/>
      <c r="R268" s="885"/>
      <c r="S268" s="885"/>
      <c r="T268" s="180">
        <f t="shared" si="83"/>
        <v>0</v>
      </c>
      <c r="U268" s="1365"/>
      <c r="V268" s="1366"/>
      <c r="W268" s="122"/>
      <c r="X268" s="373"/>
      <c r="AF268" s="376"/>
      <c r="AN268" s="376"/>
      <c r="AV268" s="376"/>
    </row>
    <row r="269" spans="1:55" ht="15" customHeight="1" x14ac:dyDescent="0.25">
      <c r="A269" s="88" cm="1">
        <f t="array" ref="A269">SUM(A236:A238*1)</f>
        <v>9.9999999999999995E-7</v>
      </c>
      <c r="B269" s="323">
        <v>0</v>
      </c>
      <c r="C269" s="75" t="s">
        <v>10124</v>
      </c>
      <c r="D269" s="259">
        <f>SUM(A269)</f>
        <v>9.9999999999999995E-7</v>
      </c>
      <c r="E269" s="290"/>
      <c r="F269" s="290"/>
      <c r="G269" s="290"/>
      <c r="H269" s="261"/>
      <c r="I269" s="262">
        <v>4500</v>
      </c>
      <c r="J269" s="180">
        <f t="shared" si="81"/>
        <v>2.2222222222222221E-10</v>
      </c>
      <c r="K269" s="82" t="s">
        <v>177</v>
      </c>
      <c r="L269" s="885"/>
      <c r="M269" s="885"/>
      <c r="N269" s="275">
        <v>10.5</v>
      </c>
      <c r="O269" s="303">
        <f t="shared" si="82"/>
        <v>0</v>
      </c>
      <c r="P269" s="885"/>
      <c r="Q269" s="885"/>
      <c r="R269" s="885"/>
      <c r="S269" s="885"/>
      <c r="T269" s="180">
        <f t="shared" si="83"/>
        <v>0</v>
      </c>
      <c r="U269" s="1365"/>
      <c r="V269" s="1366"/>
      <c r="W269" s="122"/>
      <c r="X269" s="373"/>
      <c r="AF269" s="376"/>
      <c r="AN269" s="376"/>
      <c r="AV269" s="376"/>
    </row>
    <row r="270" spans="1:55" ht="15" customHeight="1" x14ac:dyDescent="0.25">
      <c r="A270" s="88" cm="1">
        <f t="array" ref="A270">SUM((J242:J245)+J249+J250+J51)*2</f>
        <v>0</v>
      </c>
      <c r="B270" s="81">
        <v>1</v>
      </c>
      <c r="C270" s="75" t="s">
        <v>10117</v>
      </c>
      <c r="D270" s="259">
        <f>(A270)/4</f>
        <v>0</v>
      </c>
      <c r="E270" s="290"/>
      <c r="F270" s="290"/>
      <c r="G270" s="290"/>
      <c r="H270" s="261"/>
      <c r="I270" s="262"/>
      <c r="J270" s="393">
        <f t="shared" si="81"/>
        <v>0</v>
      </c>
      <c r="K270" s="82" t="s">
        <v>114</v>
      </c>
      <c r="L270" s="885"/>
      <c r="M270" s="885"/>
      <c r="N270" s="644">
        <v>9.0299999999999994</v>
      </c>
      <c r="O270" s="400">
        <f t="shared" si="82"/>
        <v>0</v>
      </c>
      <c r="P270" s="885"/>
      <c r="Q270" s="885"/>
      <c r="R270" s="885"/>
      <c r="S270" s="885"/>
      <c r="T270" s="393">
        <f t="shared" si="83"/>
        <v>0</v>
      </c>
      <c r="U270" s="1367"/>
      <c r="V270" s="1368"/>
      <c r="W270" s="122"/>
      <c r="X270" s="373"/>
      <c r="AF270" s="376"/>
      <c r="AN270" s="376"/>
      <c r="AV270" s="376"/>
    </row>
    <row r="271" spans="1:55" ht="15" customHeight="1" x14ac:dyDescent="0.25">
      <c r="A271" s="1013"/>
      <c r="B271" s="1201"/>
      <c r="C271" s="1202" t="s">
        <v>25</v>
      </c>
      <c r="D271" s="1011"/>
      <c r="E271" s="1011"/>
      <c r="F271" s="1011"/>
      <c r="G271" s="1011"/>
      <c r="H271" s="1011"/>
      <c r="I271" s="1011"/>
      <c r="J271" s="1011"/>
      <c r="K271" s="1011"/>
      <c r="L271" s="1011"/>
      <c r="M271" s="1011"/>
      <c r="N271" s="1203"/>
      <c r="O271" s="1011"/>
      <c r="P271" s="1011"/>
      <c r="Q271" s="1011"/>
      <c r="R271" s="1011"/>
      <c r="S271" s="1011"/>
      <c r="T271" s="1012"/>
      <c r="U271" s="401">
        <f>SUM(T272:T278)+150</f>
        <v>150</v>
      </c>
      <c r="V271" s="299">
        <f>U271/D279+0.00001</f>
        <v>13636363.636373635</v>
      </c>
      <c r="W271" s="122"/>
      <c r="X271" s="373"/>
      <c r="AF271" s="376"/>
      <c r="AN271" s="376"/>
      <c r="AV271" s="376"/>
    </row>
    <row r="272" spans="1:55" ht="15" customHeight="1" x14ac:dyDescent="0.25">
      <c r="A272" s="1328"/>
      <c r="B272" s="1329"/>
      <c r="C272" s="231" t="s">
        <v>301</v>
      </c>
      <c r="D272" s="259">
        <f>A236</f>
        <v>0</v>
      </c>
      <c r="E272" s="1344"/>
      <c r="F272" s="1218"/>
      <c r="G272" s="1218"/>
      <c r="H272" s="1218"/>
      <c r="I272" s="1218"/>
      <c r="J272" s="89">
        <f t="shared" ref="J272:J278" si="89">IF(D272&lt;&gt;0,D272,0)*IF(E272&lt;&gt;0,E272,1)*IF(F272&lt;&gt;0,F272,1)*IF(G272&lt;&gt;0,G272,1)*IF(H272&lt;&gt;0,H272,1)/IF(I272&lt;&gt;0,I272,1)</f>
        <v>0</v>
      </c>
      <c r="K272" s="402" t="s">
        <v>174</v>
      </c>
      <c r="L272" s="1369"/>
      <c r="M272" s="89">
        <f t="shared" ref="M272:M278" si="90">ROUND(J272*L272,0)</f>
        <v>0</v>
      </c>
      <c r="N272" s="272">
        <v>3.85</v>
      </c>
      <c r="O272" s="89">
        <f t="shared" ref="O272:O278" si="91">ROUND(J272*N272,0)</f>
        <v>0</v>
      </c>
      <c r="P272" s="1369"/>
      <c r="Q272" s="89">
        <f t="shared" ref="Q272:Q278" si="92">ROUND(J272*P272,0)</f>
        <v>0</v>
      </c>
      <c r="R272" s="1369"/>
      <c r="S272" s="89">
        <f t="shared" ref="S272:S278" si="93">ROUND(J272*R272,0)</f>
        <v>0</v>
      </c>
      <c r="T272" s="403">
        <f t="shared" ref="T272:T278" si="94">ROUND(M272+O272+Q272+S272,0)</f>
        <v>0</v>
      </c>
      <c r="U272" s="1218" t="s">
        <v>10322</v>
      </c>
      <c r="V272" s="1219"/>
      <c r="W272" s="122"/>
      <c r="X272" s="373"/>
      <c r="AF272" s="376"/>
      <c r="AN272" s="376"/>
      <c r="AV272" s="376"/>
    </row>
    <row r="273" spans="1:55" ht="15" customHeight="1" x14ac:dyDescent="0.25">
      <c r="A273" s="1330"/>
      <c r="B273" s="1331"/>
      <c r="C273" s="231" t="s">
        <v>302</v>
      </c>
      <c r="D273" s="259">
        <f>A237</f>
        <v>0</v>
      </c>
      <c r="E273" s="1345"/>
      <c r="F273" s="1346"/>
      <c r="G273" s="1346"/>
      <c r="H273" s="1346"/>
      <c r="I273" s="1346"/>
      <c r="J273" s="76">
        <f t="shared" si="89"/>
        <v>0</v>
      </c>
      <c r="K273" s="77" t="s">
        <v>174</v>
      </c>
      <c r="L273" s="1370"/>
      <c r="M273" s="76">
        <f t="shared" si="90"/>
        <v>0</v>
      </c>
      <c r="N273" s="273">
        <v>4.0999999999999996</v>
      </c>
      <c r="O273" s="76">
        <f t="shared" si="91"/>
        <v>0</v>
      </c>
      <c r="P273" s="1370"/>
      <c r="Q273" s="76">
        <f t="shared" si="92"/>
        <v>0</v>
      </c>
      <c r="R273" s="1370"/>
      <c r="S273" s="76">
        <f t="shared" si="93"/>
        <v>0</v>
      </c>
      <c r="T273" s="395">
        <f t="shared" si="94"/>
        <v>0</v>
      </c>
      <c r="U273" s="1220"/>
      <c r="V273" s="1221"/>
      <c r="W273" s="122"/>
      <c r="X273" s="373"/>
      <c r="AF273" s="376"/>
      <c r="AN273" s="376"/>
      <c r="AV273" s="376"/>
    </row>
    <row r="274" spans="1:55" ht="15" customHeight="1" x14ac:dyDescent="0.25">
      <c r="A274" s="1330"/>
      <c r="B274" s="1331"/>
      <c r="C274" s="231" t="s">
        <v>1097</v>
      </c>
      <c r="D274" s="259">
        <f>A238</f>
        <v>9.9999999999999995E-7</v>
      </c>
      <c r="E274" s="1345"/>
      <c r="F274" s="1346"/>
      <c r="G274" s="1346"/>
      <c r="H274" s="1346"/>
      <c r="I274" s="1346"/>
      <c r="J274" s="76">
        <f t="shared" ref="J274" si="95">IF(D274&lt;&gt;0,D274,0)*IF(E274&lt;&gt;0,E274,1)*IF(F274&lt;&gt;0,F274,1)*IF(G274&lt;&gt;0,G274,1)*IF(H274&lt;&gt;0,H274,1)/IF(I274&lt;&gt;0,I274,1)</f>
        <v>9.9999999999999995E-7</v>
      </c>
      <c r="K274" s="77" t="s">
        <v>122</v>
      </c>
      <c r="L274" s="1370"/>
      <c r="M274" s="76">
        <f t="shared" ref="M274" si="96">ROUND(J274*L274,0)</f>
        <v>0</v>
      </c>
      <c r="N274" s="273">
        <v>3.85</v>
      </c>
      <c r="O274" s="76">
        <f t="shared" ref="O274" si="97">ROUND(J274*N274,0)</f>
        <v>0</v>
      </c>
      <c r="P274" s="1370"/>
      <c r="Q274" s="76">
        <f t="shared" ref="Q274" si="98">ROUND(J274*P274,0)</f>
        <v>0</v>
      </c>
      <c r="R274" s="1370"/>
      <c r="S274" s="76">
        <f t="shared" ref="S274" si="99">ROUND(J274*R274,0)</f>
        <v>0</v>
      </c>
      <c r="T274" s="395">
        <f t="shared" ref="T274" si="100">ROUND(M274+O274+Q274+S274,0)</f>
        <v>0</v>
      </c>
      <c r="U274" s="1220"/>
      <c r="V274" s="1221"/>
      <c r="W274" s="122"/>
      <c r="X274" s="373"/>
      <c r="AF274" s="376"/>
      <c r="AN274" s="376"/>
      <c r="AV274" s="376"/>
    </row>
    <row r="275" spans="1:55" ht="15" customHeight="1" x14ac:dyDescent="0.25">
      <c r="A275" s="1330"/>
      <c r="B275" s="1331"/>
      <c r="C275" s="231" t="s">
        <v>303</v>
      </c>
      <c r="D275" s="259">
        <f>SUM(D272:D274)</f>
        <v>9.9999999999999995E-7</v>
      </c>
      <c r="E275" s="1345"/>
      <c r="F275" s="1346"/>
      <c r="G275" s="1346"/>
      <c r="H275" s="1346"/>
      <c r="I275" s="1346"/>
      <c r="J275" s="76">
        <f t="shared" si="89"/>
        <v>9.9999999999999995E-7</v>
      </c>
      <c r="K275" s="77" t="s">
        <v>122</v>
      </c>
      <c r="L275" s="1370"/>
      <c r="M275" s="76">
        <f t="shared" si="90"/>
        <v>0</v>
      </c>
      <c r="N275" s="273">
        <v>0.9</v>
      </c>
      <c r="O275" s="76">
        <f t="shared" si="91"/>
        <v>0</v>
      </c>
      <c r="P275" s="1370"/>
      <c r="Q275" s="76">
        <f t="shared" si="92"/>
        <v>0</v>
      </c>
      <c r="R275" s="1370"/>
      <c r="S275" s="76">
        <f t="shared" si="93"/>
        <v>0</v>
      </c>
      <c r="T275" s="395">
        <f t="shared" si="94"/>
        <v>0</v>
      </c>
      <c r="U275" s="1220"/>
      <c r="V275" s="1221"/>
      <c r="W275" s="122"/>
      <c r="X275" s="373"/>
      <c r="AF275" s="376"/>
      <c r="AN275" s="376"/>
      <c r="AV275" s="376"/>
    </row>
    <row r="276" spans="1:55" ht="15" customHeight="1" x14ac:dyDescent="0.25">
      <c r="A276" s="1330"/>
      <c r="B276" s="1331"/>
      <c r="C276" s="231" t="s">
        <v>294</v>
      </c>
      <c r="D276" s="259">
        <f>J241*8</f>
        <v>2.6450000000000002E-7</v>
      </c>
      <c r="E276" s="1345"/>
      <c r="F276" s="1346"/>
      <c r="G276" s="1346"/>
      <c r="H276" s="1346"/>
      <c r="I276" s="1346"/>
      <c r="J276" s="76">
        <f t="shared" si="89"/>
        <v>2.6450000000000002E-7</v>
      </c>
      <c r="K276" s="77" t="s">
        <v>174</v>
      </c>
      <c r="L276" s="1370"/>
      <c r="M276" s="76">
        <f t="shared" si="90"/>
        <v>0</v>
      </c>
      <c r="N276" s="79">
        <v>0.5</v>
      </c>
      <c r="O276" s="76">
        <f t="shared" si="91"/>
        <v>0</v>
      </c>
      <c r="P276" s="1370"/>
      <c r="Q276" s="76">
        <f t="shared" si="92"/>
        <v>0</v>
      </c>
      <c r="R276" s="1370"/>
      <c r="S276" s="76">
        <f t="shared" si="93"/>
        <v>0</v>
      </c>
      <c r="T276" s="180">
        <f t="shared" si="94"/>
        <v>0</v>
      </c>
      <c r="U276" s="1220"/>
      <c r="V276" s="1221"/>
      <c r="W276" s="122"/>
      <c r="X276" s="555" t="s">
        <v>10147</v>
      </c>
      <c r="AF276" s="376"/>
      <c r="AN276" s="376"/>
      <c r="AV276" s="376"/>
    </row>
    <row r="277" spans="1:55" ht="15" customHeight="1" x14ac:dyDescent="0.25">
      <c r="A277" s="1330"/>
      <c r="B277" s="1331"/>
      <c r="C277" s="231" t="s">
        <v>295</v>
      </c>
      <c r="D277" s="259">
        <f>SUM(A242:A245)</f>
        <v>0</v>
      </c>
      <c r="E277" s="1345"/>
      <c r="F277" s="1346"/>
      <c r="G277" s="1346"/>
      <c r="H277" s="1346"/>
      <c r="I277" s="1346"/>
      <c r="J277" s="76">
        <f t="shared" si="89"/>
        <v>0</v>
      </c>
      <c r="K277" s="77" t="s">
        <v>174</v>
      </c>
      <c r="L277" s="1370"/>
      <c r="M277" s="76">
        <f t="shared" si="90"/>
        <v>0</v>
      </c>
      <c r="N277" s="273">
        <v>3.5</v>
      </c>
      <c r="O277" s="76">
        <f t="shared" si="91"/>
        <v>0</v>
      </c>
      <c r="P277" s="1370"/>
      <c r="Q277" s="76">
        <f t="shared" si="92"/>
        <v>0</v>
      </c>
      <c r="R277" s="1370"/>
      <c r="S277" s="76">
        <f t="shared" si="93"/>
        <v>0</v>
      </c>
      <c r="T277" s="395">
        <f t="shared" si="94"/>
        <v>0</v>
      </c>
      <c r="U277" s="1220"/>
      <c r="V277" s="1221"/>
      <c r="W277" s="122"/>
      <c r="X277" s="373"/>
      <c r="AF277" s="376"/>
      <c r="AN277" s="376"/>
      <c r="AV277" s="376"/>
    </row>
    <row r="278" spans="1:55" s="17" customFormat="1" ht="16.5" customHeight="1" x14ac:dyDescent="0.25">
      <c r="A278" s="1330"/>
      <c r="B278" s="1331"/>
      <c r="C278" s="231" t="s">
        <v>34</v>
      </c>
      <c r="D278" s="259">
        <f>(D277*2)</f>
        <v>0</v>
      </c>
      <c r="E278" s="1345"/>
      <c r="F278" s="1346"/>
      <c r="G278" s="1346"/>
      <c r="H278" s="1346"/>
      <c r="I278" s="1346"/>
      <c r="J278" s="183">
        <f t="shared" si="89"/>
        <v>0</v>
      </c>
      <c r="K278" s="184" t="s">
        <v>174</v>
      </c>
      <c r="L278" s="1370"/>
      <c r="M278" s="183">
        <f t="shared" si="90"/>
        <v>0</v>
      </c>
      <c r="N278" s="274">
        <v>1</v>
      </c>
      <c r="O278" s="183">
        <f t="shared" si="91"/>
        <v>0</v>
      </c>
      <c r="P278" s="1370"/>
      <c r="Q278" s="183">
        <f t="shared" si="92"/>
        <v>0</v>
      </c>
      <c r="R278" s="1370"/>
      <c r="S278" s="183">
        <f t="shared" si="93"/>
        <v>0</v>
      </c>
      <c r="T278" s="404">
        <f t="shared" si="94"/>
        <v>0</v>
      </c>
      <c r="U278" s="1220"/>
      <c r="V278" s="1221"/>
      <c r="W278" s="122"/>
      <c r="X278" s="373"/>
      <c r="Y278" s="328"/>
      <c r="Z278" s="328"/>
      <c r="AA278" s="328"/>
      <c r="AB278" s="328"/>
      <c r="AC278" s="328"/>
      <c r="AD278" s="328"/>
      <c r="AE278" s="363"/>
      <c r="AF278" s="376"/>
      <c r="AG278" s="328"/>
      <c r="AH278" s="328"/>
      <c r="AI278" s="328"/>
      <c r="AJ278" s="328"/>
      <c r="AK278" s="328"/>
      <c r="AL278" s="328"/>
      <c r="AM278" s="363"/>
      <c r="AN278" s="376"/>
      <c r="AO278" s="328"/>
      <c r="AP278" s="328"/>
      <c r="AQ278" s="328"/>
      <c r="AR278" s="328"/>
      <c r="AS278" s="328"/>
      <c r="AT278" s="328"/>
      <c r="AU278" s="363"/>
      <c r="AV278" s="376"/>
      <c r="AW278" s="328"/>
      <c r="AX278" s="328"/>
      <c r="AY278" s="328"/>
      <c r="AZ278" s="328"/>
      <c r="BA278" s="328"/>
      <c r="BB278" s="328"/>
      <c r="BC278" s="363"/>
    </row>
    <row r="279" spans="1:55" s="17" customFormat="1" ht="16.5" customHeight="1" x14ac:dyDescent="0.25">
      <c r="A279" s="1330"/>
      <c r="B279" s="1331"/>
      <c r="C279" s="225" t="s">
        <v>179</v>
      </c>
      <c r="D279" s="263">
        <f>SUM(D272:D274)+0.00001</f>
        <v>1.1000000000000001E-5</v>
      </c>
      <c r="E279" s="1347"/>
      <c r="F279" s="1348"/>
      <c r="G279" s="1348"/>
      <c r="H279" s="1348"/>
      <c r="I279" s="1348"/>
      <c r="J279" s="1343"/>
      <c r="K279" s="1343"/>
      <c r="L279" s="1343"/>
      <c r="M279" s="1343"/>
      <c r="N279" s="1343"/>
      <c r="O279" s="1343"/>
      <c r="P279" s="1343"/>
      <c r="Q279" s="1343"/>
      <c r="R279" s="1343"/>
      <c r="S279" s="1343"/>
      <c r="T279" s="1343"/>
      <c r="U279" s="1222"/>
      <c r="V279" s="1223"/>
      <c r="W279" s="122"/>
      <c r="X279" s="373"/>
      <c r="Y279" s="328"/>
      <c r="Z279" s="328"/>
      <c r="AA279" s="328"/>
      <c r="AB279" s="328"/>
      <c r="AC279" s="328"/>
      <c r="AD279" s="328"/>
      <c r="AE279" s="363"/>
      <c r="AF279" s="376"/>
      <c r="AG279" s="328"/>
      <c r="AH279" s="328"/>
      <c r="AI279" s="328"/>
      <c r="AJ279" s="328"/>
      <c r="AK279" s="328"/>
      <c r="AL279" s="328"/>
      <c r="AM279" s="363"/>
      <c r="AN279" s="376"/>
      <c r="AO279" s="328"/>
      <c r="AP279" s="328"/>
      <c r="AQ279" s="328"/>
      <c r="AR279" s="328"/>
      <c r="AS279" s="328"/>
      <c r="AT279" s="328"/>
      <c r="AU279" s="363"/>
      <c r="AV279" s="376"/>
      <c r="AW279" s="328"/>
      <c r="AX279" s="328"/>
      <c r="AY279" s="328"/>
      <c r="AZ279" s="328"/>
      <c r="BA279" s="328"/>
      <c r="BB279" s="328"/>
      <c r="BC279" s="363"/>
    </row>
    <row r="280" spans="1:55" s="17" customFormat="1" ht="16.5" customHeight="1" x14ac:dyDescent="0.25">
      <c r="A280" s="1330"/>
      <c r="B280" s="1331"/>
      <c r="C280" s="1226" t="s">
        <v>26</v>
      </c>
      <c r="D280" s="1227"/>
      <c r="E280" s="1228"/>
      <c r="F280" s="1228"/>
      <c r="G280" s="1228"/>
      <c r="H280" s="1228"/>
      <c r="I280" s="1228"/>
      <c r="J280" s="1228"/>
      <c r="K280" s="1228"/>
      <c r="L280" s="1228"/>
      <c r="M280" s="1228"/>
      <c r="N280" s="1229"/>
      <c r="O280" s="1334" t="s">
        <v>211</v>
      </c>
      <c r="P280" s="1335"/>
      <c r="Q280" s="218" t="s">
        <v>296</v>
      </c>
      <c r="R280" s="219">
        <v>400</v>
      </c>
      <c r="S280" s="220">
        <f>SUM(D279/R280)</f>
        <v>2.7500000000000005E-8</v>
      </c>
      <c r="T280" s="221" t="s">
        <v>212</v>
      </c>
      <c r="U280" s="394">
        <f>SUM(T281:T296)</f>
        <v>325</v>
      </c>
      <c r="V280" s="299">
        <f>U280/D279</f>
        <v>29545454.545454543</v>
      </c>
      <c r="W280" s="122"/>
      <c r="X280" s="373"/>
      <c r="Y280" s="328"/>
      <c r="Z280" s="328"/>
      <c r="AA280" s="328"/>
      <c r="AB280" s="328"/>
      <c r="AC280" s="328"/>
      <c r="AD280" s="328"/>
      <c r="AE280" s="363"/>
      <c r="AF280" s="376"/>
      <c r="AG280" s="328"/>
      <c r="AH280" s="328"/>
      <c r="AI280" s="328"/>
      <c r="AJ280" s="328"/>
      <c r="AK280" s="328"/>
      <c r="AL280" s="328"/>
      <c r="AM280" s="363"/>
      <c r="AN280" s="376"/>
      <c r="AO280" s="328"/>
      <c r="AP280" s="328"/>
      <c r="AQ280" s="328"/>
      <c r="AR280" s="328"/>
      <c r="AS280" s="328"/>
      <c r="AT280" s="328"/>
      <c r="AU280" s="363"/>
      <c r="AV280" s="376"/>
      <c r="AW280" s="328"/>
      <c r="AX280" s="328"/>
      <c r="AY280" s="328"/>
      <c r="AZ280" s="328"/>
      <c r="BA280" s="328"/>
      <c r="BB280" s="328"/>
      <c r="BC280" s="363"/>
    </row>
    <row r="281" spans="1:55" s="17" customFormat="1" ht="16.5" customHeight="1" x14ac:dyDescent="0.25">
      <c r="A281" s="1330"/>
      <c r="B281" s="1331"/>
      <c r="C281" s="75" t="s">
        <v>27</v>
      </c>
      <c r="D281" s="173">
        <f>SUM(S280/3000)</f>
        <v>9.1666666666666689E-12</v>
      </c>
      <c r="E281" s="174"/>
      <c r="F281" s="174"/>
      <c r="G281" s="174"/>
      <c r="H281" s="175">
        <v>5</v>
      </c>
      <c r="I281" s="176"/>
      <c r="J281" s="180">
        <f t="shared" ref="J281:J296" si="101">IF(D281&lt;&gt;0,D281,0)*IF(E281&lt;&gt;0,E281,1)*IF(F281&lt;&gt;0,F281,1)*IF(G281&lt;&gt;0,G281,1)*IF(H281&lt;&gt;0,H281,1)/IF(I281&lt;&gt;0,I281,1)</f>
        <v>4.5833333333333343E-11</v>
      </c>
      <c r="K281" s="82" t="s">
        <v>61</v>
      </c>
      <c r="L281" s="181">
        <f>L72</f>
        <v>50</v>
      </c>
      <c r="M281" s="180">
        <f t="shared" ref="M281:M296" si="102">ROUND(J281*L281,0)</f>
        <v>0</v>
      </c>
      <c r="N281" s="763"/>
      <c r="O281" s="327">
        <f t="shared" ref="O281:O296" si="103">ROUND(J281*N281,0)</f>
        <v>0</v>
      </c>
      <c r="P281" s="763"/>
      <c r="Q281" s="303">
        <f t="shared" ref="Q281:Q296" si="104">ROUND(J281*P281,0)</f>
        <v>0</v>
      </c>
      <c r="R281" s="181"/>
      <c r="S281" s="180">
        <f t="shared" ref="S281:S296" si="105">ROUND(J281*R281,0)</f>
        <v>0</v>
      </c>
      <c r="T281" s="180">
        <f t="shared" ref="T281:T296" si="106">ROUND(M281+O281+Q281+S281,0)</f>
        <v>0</v>
      </c>
      <c r="U281" s="1214"/>
      <c r="V281" s="1215"/>
      <c r="W281" s="122"/>
      <c r="X281" s="373"/>
      <c r="Y281" s="328"/>
      <c r="Z281" s="328"/>
      <c r="AA281" s="328"/>
      <c r="AB281" s="328"/>
      <c r="AC281" s="328"/>
      <c r="AD281" s="328"/>
      <c r="AE281" s="363"/>
      <c r="AF281" s="376"/>
      <c r="AG281" s="328"/>
      <c r="AH281" s="328"/>
      <c r="AI281" s="328"/>
      <c r="AJ281" s="328"/>
      <c r="AK281" s="328"/>
      <c r="AL281" s="328"/>
      <c r="AM281" s="363"/>
      <c r="AN281" s="376"/>
      <c r="AO281" s="328"/>
      <c r="AP281" s="328"/>
      <c r="AQ281" s="328"/>
      <c r="AR281" s="328"/>
      <c r="AS281" s="328"/>
      <c r="AT281" s="328"/>
      <c r="AU281" s="363"/>
      <c r="AV281" s="376"/>
      <c r="AW281" s="328"/>
      <c r="AX281" s="328"/>
      <c r="AY281" s="328"/>
      <c r="AZ281" s="328"/>
      <c r="BA281" s="328"/>
      <c r="BB281" s="328"/>
      <c r="BC281" s="363"/>
    </row>
    <row r="282" spans="1:55" s="17" customFormat="1" ht="16.5" customHeight="1" x14ac:dyDescent="0.25">
      <c r="A282" s="1330"/>
      <c r="B282" s="1331"/>
      <c r="C282" s="75" t="s">
        <v>604</v>
      </c>
      <c r="D282" s="177">
        <v>1</v>
      </c>
      <c r="E282" s="174"/>
      <c r="F282" s="174"/>
      <c r="G282" s="174"/>
      <c r="H282" s="175"/>
      <c r="I282" s="176"/>
      <c r="J282" s="180">
        <f t="shared" si="101"/>
        <v>1</v>
      </c>
      <c r="K282" s="82" t="s">
        <v>124</v>
      </c>
      <c r="L282" s="181"/>
      <c r="M282" s="180">
        <f t="shared" si="102"/>
        <v>0</v>
      </c>
      <c r="N282" s="764"/>
      <c r="O282" s="327">
        <f t="shared" si="103"/>
        <v>0</v>
      </c>
      <c r="P282" s="764"/>
      <c r="Q282" s="303">
        <f t="shared" si="104"/>
        <v>0</v>
      </c>
      <c r="R282" s="181"/>
      <c r="S282" s="180">
        <f t="shared" si="105"/>
        <v>0</v>
      </c>
      <c r="T282" s="180">
        <f t="shared" si="106"/>
        <v>0</v>
      </c>
      <c r="U282" s="1216"/>
      <c r="V282" s="1217"/>
      <c r="W282" s="122"/>
      <c r="X282" s="373"/>
      <c r="Y282" s="328"/>
      <c r="Z282" s="328"/>
      <c r="AA282" s="328"/>
      <c r="AB282" s="328"/>
      <c r="AC282" s="328"/>
      <c r="AD282" s="328"/>
      <c r="AE282" s="363"/>
      <c r="AF282" s="376"/>
      <c r="AG282" s="328"/>
      <c r="AH282" s="328"/>
      <c r="AI282" s="328"/>
      <c r="AJ282" s="328"/>
      <c r="AK282" s="328"/>
      <c r="AL282" s="328"/>
      <c r="AM282" s="363"/>
      <c r="AN282" s="376"/>
      <c r="AO282" s="328"/>
      <c r="AP282" s="328"/>
      <c r="AQ282" s="328"/>
      <c r="AR282" s="328"/>
      <c r="AS282" s="328"/>
      <c r="AT282" s="328"/>
      <c r="AU282" s="363"/>
      <c r="AV282" s="376"/>
      <c r="AW282" s="328"/>
      <c r="AX282" s="328"/>
      <c r="AY282" s="328"/>
      <c r="AZ282" s="328"/>
      <c r="BA282" s="328"/>
      <c r="BB282" s="328"/>
      <c r="BC282" s="363"/>
    </row>
    <row r="283" spans="1:55" s="17" customFormat="1" ht="16.5" customHeight="1" x14ac:dyDescent="0.25">
      <c r="A283" s="1330"/>
      <c r="B283" s="1331"/>
      <c r="C283" s="75" t="s">
        <v>42</v>
      </c>
      <c r="D283" s="177">
        <v>1</v>
      </c>
      <c r="E283" s="174"/>
      <c r="F283" s="174"/>
      <c r="G283" s="174"/>
      <c r="H283" s="175">
        <f>S280/28</f>
        <v>9.8214285714285737E-10</v>
      </c>
      <c r="I283" s="176"/>
      <c r="J283" s="180">
        <f t="shared" si="101"/>
        <v>9.8214285714285737E-10</v>
      </c>
      <c r="K283" s="82" t="s">
        <v>203</v>
      </c>
      <c r="L283" s="181"/>
      <c r="M283" s="180">
        <f t="shared" si="102"/>
        <v>0</v>
      </c>
      <c r="N283" s="764"/>
      <c r="O283" s="327">
        <f t="shared" si="103"/>
        <v>0</v>
      </c>
      <c r="P283" s="764"/>
      <c r="Q283" s="303">
        <f t="shared" si="104"/>
        <v>0</v>
      </c>
      <c r="R283" s="181"/>
      <c r="S283" s="180">
        <f t="shared" si="105"/>
        <v>0</v>
      </c>
      <c r="T283" s="180">
        <f t="shared" si="106"/>
        <v>0</v>
      </c>
      <c r="U283" s="1216"/>
      <c r="V283" s="1217"/>
      <c r="W283" s="122"/>
      <c r="X283" s="373"/>
      <c r="Y283" s="328"/>
      <c r="Z283" s="328"/>
      <c r="AA283" s="328"/>
      <c r="AB283" s="328"/>
      <c r="AC283" s="328"/>
      <c r="AD283" s="328"/>
      <c r="AE283" s="363"/>
      <c r="AF283" s="376"/>
      <c r="AG283" s="328"/>
      <c r="AH283" s="328"/>
      <c r="AI283" s="328"/>
      <c r="AJ283" s="328"/>
      <c r="AK283" s="328"/>
      <c r="AL283" s="328"/>
      <c r="AM283" s="363"/>
      <c r="AN283" s="376"/>
      <c r="AO283" s="328"/>
      <c r="AP283" s="328"/>
      <c r="AQ283" s="328"/>
      <c r="AR283" s="328"/>
      <c r="AS283" s="328"/>
      <c r="AT283" s="328"/>
      <c r="AU283" s="363"/>
      <c r="AV283" s="376"/>
      <c r="AW283" s="328"/>
      <c r="AX283" s="328"/>
      <c r="AY283" s="328"/>
      <c r="AZ283" s="328"/>
      <c r="BA283" s="328"/>
      <c r="BB283" s="328"/>
      <c r="BC283" s="363"/>
    </row>
    <row r="284" spans="1:55" s="17" customFormat="1" ht="16.5" customHeight="1" x14ac:dyDescent="0.25">
      <c r="A284" s="1330"/>
      <c r="B284" s="1331"/>
      <c r="C284" s="75" t="s">
        <v>1082</v>
      </c>
      <c r="D284" s="177"/>
      <c r="E284" s="174"/>
      <c r="F284" s="174"/>
      <c r="G284" s="174"/>
      <c r="H284" s="175">
        <v>1</v>
      </c>
      <c r="I284" s="176"/>
      <c r="J284" s="180">
        <f t="shared" si="101"/>
        <v>0</v>
      </c>
      <c r="K284" s="82" t="s">
        <v>203</v>
      </c>
      <c r="L284" s="181"/>
      <c r="M284" s="180">
        <f t="shared" si="102"/>
        <v>0</v>
      </c>
      <c r="N284" s="764"/>
      <c r="O284" s="327">
        <f t="shared" si="103"/>
        <v>0</v>
      </c>
      <c r="P284" s="764"/>
      <c r="Q284" s="303">
        <f t="shared" si="104"/>
        <v>0</v>
      </c>
      <c r="R284" s="181">
        <v>500</v>
      </c>
      <c r="S284" s="180">
        <f t="shared" si="105"/>
        <v>0</v>
      </c>
      <c r="T284" s="180">
        <f t="shared" si="106"/>
        <v>0</v>
      </c>
      <c r="U284" s="1216"/>
      <c r="V284" s="1217"/>
      <c r="W284" s="122"/>
      <c r="X284" s="373"/>
      <c r="Y284" s="328"/>
      <c r="Z284" s="328"/>
      <c r="AA284" s="328"/>
      <c r="AB284" s="328"/>
      <c r="AC284" s="328"/>
      <c r="AD284" s="328"/>
      <c r="AE284" s="363"/>
      <c r="AF284" s="376"/>
      <c r="AG284" s="328"/>
      <c r="AH284" s="328"/>
      <c r="AI284" s="328"/>
      <c r="AJ284" s="328"/>
      <c r="AK284" s="328"/>
      <c r="AL284" s="328"/>
      <c r="AM284" s="363"/>
      <c r="AN284" s="376"/>
      <c r="AO284" s="328"/>
      <c r="AP284" s="328"/>
      <c r="AQ284" s="328"/>
      <c r="AR284" s="328"/>
      <c r="AS284" s="328"/>
      <c r="AT284" s="328"/>
      <c r="AU284" s="363"/>
      <c r="AV284" s="376"/>
      <c r="AW284" s="328"/>
      <c r="AX284" s="328"/>
      <c r="AY284" s="328"/>
      <c r="AZ284" s="328"/>
      <c r="BA284" s="328"/>
      <c r="BB284" s="328"/>
      <c r="BC284" s="363"/>
    </row>
    <row r="285" spans="1:55" s="17" customFormat="1" ht="15.95" customHeight="1" x14ac:dyDescent="0.25">
      <c r="A285" s="1330"/>
      <c r="B285" s="1331"/>
      <c r="C285" s="75" t="s">
        <v>194</v>
      </c>
      <c r="D285" s="173">
        <f>SUM(S280)</f>
        <v>2.7500000000000005E-8</v>
      </c>
      <c r="E285" s="174"/>
      <c r="F285" s="174"/>
      <c r="G285" s="174"/>
      <c r="H285" s="175">
        <v>4</v>
      </c>
      <c r="I285" s="176"/>
      <c r="J285" s="180">
        <f t="shared" si="101"/>
        <v>1.1000000000000002E-7</v>
      </c>
      <c r="K285" s="82" t="s">
        <v>61</v>
      </c>
      <c r="L285" s="181">
        <f>L76</f>
        <v>35</v>
      </c>
      <c r="M285" s="180">
        <f t="shared" si="102"/>
        <v>0</v>
      </c>
      <c r="N285" s="764"/>
      <c r="O285" s="327">
        <f t="shared" si="103"/>
        <v>0</v>
      </c>
      <c r="P285" s="764"/>
      <c r="Q285" s="303">
        <f t="shared" si="104"/>
        <v>0</v>
      </c>
      <c r="R285" s="181"/>
      <c r="S285" s="180">
        <f t="shared" si="105"/>
        <v>0</v>
      </c>
      <c r="T285" s="180">
        <f t="shared" si="106"/>
        <v>0</v>
      </c>
      <c r="U285" s="1216"/>
      <c r="V285" s="1217"/>
      <c r="W285" s="122"/>
      <c r="X285" s="373"/>
      <c r="Y285" s="328"/>
      <c r="Z285" s="328"/>
      <c r="AA285" s="328"/>
      <c r="AB285" s="328"/>
      <c r="AC285" s="328"/>
      <c r="AD285" s="328"/>
      <c r="AE285" s="363"/>
      <c r="AF285" s="376"/>
      <c r="AG285" s="328"/>
      <c r="AH285" s="328"/>
      <c r="AI285" s="328"/>
      <c r="AJ285" s="328"/>
      <c r="AK285" s="328"/>
      <c r="AL285" s="328"/>
      <c r="AM285" s="363"/>
      <c r="AN285" s="376"/>
      <c r="AO285" s="328"/>
      <c r="AP285" s="328"/>
      <c r="AQ285" s="328"/>
      <c r="AR285" s="328"/>
      <c r="AS285" s="328"/>
      <c r="AT285" s="328"/>
      <c r="AU285" s="363"/>
      <c r="AV285" s="376"/>
      <c r="AW285" s="328"/>
      <c r="AX285" s="328"/>
      <c r="AY285" s="328"/>
      <c r="AZ285" s="328"/>
      <c r="BA285" s="328"/>
      <c r="BB285" s="328"/>
      <c r="BC285" s="363"/>
    </row>
    <row r="286" spans="1:55" s="17" customFormat="1" ht="15.95" customHeight="1" x14ac:dyDescent="0.25">
      <c r="A286" s="1330"/>
      <c r="B286" s="1331"/>
      <c r="C286" s="75" t="s">
        <v>125</v>
      </c>
      <c r="D286" s="173">
        <v>1</v>
      </c>
      <c r="E286" s="174"/>
      <c r="F286" s="174"/>
      <c r="G286" s="174"/>
      <c r="H286" s="175"/>
      <c r="I286" s="176"/>
      <c r="J286" s="180">
        <f t="shared" si="101"/>
        <v>1</v>
      </c>
      <c r="K286" s="82" t="s">
        <v>124</v>
      </c>
      <c r="L286" s="181"/>
      <c r="M286" s="180">
        <f t="shared" si="102"/>
        <v>0</v>
      </c>
      <c r="N286" s="764"/>
      <c r="O286" s="327">
        <f t="shared" si="103"/>
        <v>0</v>
      </c>
      <c r="P286" s="764"/>
      <c r="Q286" s="303">
        <f t="shared" si="104"/>
        <v>0</v>
      </c>
      <c r="R286" s="181">
        <f>(T107/R100)*(S280/5)</f>
        <v>0</v>
      </c>
      <c r="S286" s="180">
        <f t="shared" si="105"/>
        <v>0</v>
      </c>
      <c r="T286" s="180">
        <f t="shared" si="106"/>
        <v>0</v>
      </c>
      <c r="U286" s="1216"/>
      <c r="V286" s="1217"/>
      <c r="W286" s="122">
        <v>0</v>
      </c>
      <c r="X286" s="373"/>
      <c r="Y286" s="328"/>
      <c r="Z286" s="328"/>
      <c r="AA286" s="328"/>
      <c r="AB286" s="328"/>
      <c r="AC286" s="328"/>
      <c r="AD286" s="328"/>
      <c r="AE286" s="363"/>
      <c r="AF286" s="376"/>
      <c r="AG286" s="328"/>
      <c r="AH286" s="328"/>
      <c r="AI286" s="328"/>
      <c r="AJ286" s="328"/>
      <c r="AK286" s="328"/>
      <c r="AL286" s="328"/>
      <c r="AM286" s="363"/>
      <c r="AN286" s="376"/>
      <c r="AO286" s="328"/>
      <c r="AP286" s="328"/>
      <c r="AQ286" s="328"/>
      <c r="AR286" s="328"/>
      <c r="AS286" s="328"/>
      <c r="AT286" s="328"/>
      <c r="AU286" s="363"/>
      <c r="AV286" s="376"/>
      <c r="AW286" s="328"/>
      <c r="AX286" s="328"/>
      <c r="AY286" s="328"/>
      <c r="AZ286" s="328"/>
      <c r="BA286" s="328"/>
      <c r="BB286" s="328"/>
      <c r="BC286" s="363"/>
    </row>
    <row r="287" spans="1:55" s="17" customFormat="1" ht="15.95" customHeight="1" x14ac:dyDescent="0.25">
      <c r="A287" s="1330"/>
      <c r="B287" s="1331"/>
      <c r="C287" s="75" t="s">
        <v>126</v>
      </c>
      <c r="D287" s="173">
        <v>0</v>
      </c>
      <c r="E287" s="174"/>
      <c r="F287" s="174"/>
      <c r="G287" s="174"/>
      <c r="H287" s="175"/>
      <c r="I287" s="176"/>
      <c r="J287" s="180">
        <f t="shared" si="101"/>
        <v>0</v>
      </c>
      <c r="K287" s="82" t="s">
        <v>124</v>
      </c>
      <c r="L287" s="181"/>
      <c r="M287" s="180">
        <f t="shared" si="102"/>
        <v>0</v>
      </c>
      <c r="N287" s="764"/>
      <c r="O287" s="327">
        <f t="shared" si="103"/>
        <v>0</v>
      </c>
      <c r="P287" s="764"/>
      <c r="Q287" s="303">
        <f t="shared" si="104"/>
        <v>0</v>
      </c>
      <c r="R287" s="648">
        <f>(M107/R100)*(S280/5)</f>
        <v>0</v>
      </c>
      <c r="S287" s="180">
        <f t="shared" si="105"/>
        <v>0</v>
      </c>
      <c r="T287" s="180">
        <f t="shared" si="106"/>
        <v>0</v>
      </c>
      <c r="U287" s="1216"/>
      <c r="V287" s="1217"/>
      <c r="W287" s="122"/>
      <c r="X287" s="373"/>
      <c r="Y287" s="328"/>
      <c r="Z287" s="328"/>
      <c r="AA287" s="328"/>
      <c r="AB287" s="328"/>
      <c r="AC287" s="328"/>
      <c r="AD287" s="328"/>
      <c r="AE287" s="363"/>
      <c r="AF287" s="376"/>
      <c r="AG287" s="328"/>
      <c r="AH287" s="328"/>
      <c r="AI287" s="328"/>
      <c r="AJ287" s="328"/>
      <c r="AK287" s="328"/>
      <c r="AL287" s="328"/>
      <c r="AM287" s="363"/>
      <c r="AN287" s="376"/>
      <c r="AO287" s="328"/>
      <c r="AP287" s="328"/>
      <c r="AQ287" s="328"/>
      <c r="AR287" s="328"/>
      <c r="AS287" s="328"/>
      <c r="AT287" s="328"/>
      <c r="AU287" s="363"/>
      <c r="AV287" s="376"/>
      <c r="AW287" s="328"/>
      <c r="AX287" s="328"/>
      <c r="AY287" s="328"/>
      <c r="AZ287" s="328"/>
      <c r="BA287" s="328"/>
      <c r="BB287" s="328"/>
      <c r="BC287" s="363"/>
    </row>
    <row r="288" spans="1:55" s="17" customFormat="1" ht="15.95" customHeight="1" x14ac:dyDescent="0.25">
      <c r="A288" s="1330"/>
      <c r="B288" s="1331"/>
      <c r="C288" s="75" t="s">
        <v>28</v>
      </c>
      <c r="D288" s="222">
        <f>SUM(A236:A238)</f>
        <v>9.9999999999999995E-7</v>
      </c>
      <c r="E288" s="174"/>
      <c r="F288" s="174"/>
      <c r="G288" s="174"/>
      <c r="H288" s="175"/>
      <c r="I288" s="176">
        <v>100</v>
      </c>
      <c r="J288" s="180">
        <f t="shared" si="101"/>
        <v>1E-8</v>
      </c>
      <c r="K288" s="82" t="s">
        <v>180</v>
      </c>
      <c r="L288" s="181"/>
      <c r="M288" s="180">
        <f t="shared" si="102"/>
        <v>0</v>
      </c>
      <c r="N288" s="764"/>
      <c r="O288" s="327">
        <f t="shared" si="103"/>
        <v>0</v>
      </c>
      <c r="P288" s="764"/>
      <c r="Q288" s="303">
        <f t="shared" si="104"/>
        <v>0</v>
      </c>
      <c r="R288" s="181">
        <v>22</v>
      </c>
      <c r="S288" s="180">
        <f t="shared" si="105"/>
        <v>0</v>
      </c>
      <c r="T288" s="180">
        <f t="shared" si="106"/>
        <v>0</v>
      </c>
      <c r="U288" s="1216"/>
      <c r="V288" s="1217"/>
      <c r="W288" s="122"/>
      <c r="X288" s="373"/>
      <c r="Y288" s="328"/>
      <c r="Z288" s="328"/>
      <c r="AA288" s="328"/>
      <c r="AB288" s="328"/>
      <c r="AC288" s="328"/>
      <c r="AD288" s="328"/>
      <c r="AE288" s="363"/>
      <c r="AF288" s="376"/>
      <c r="AG288" s="328"/>
      <c r="AH288" s="328"/>
      <c r="AI288" s="328"/>
      <c r="AJ288" s="328"/>
      <c r="AK288" s="328"/>
      <c r="AL288" s="328"/>
      <c r="AM288" s="363"/>
      <c r="AN288" s="376"/>
      <c r="AO288" s="328"/>
      <c r="AP288" s="328"/>
      <c r="AQ288" s="328"/>
      <c r="AR288" s="328"/>
      <c r="AS288" s="328"/>
      <c r="AT288" s="328"/>
      <c r="AU288" s="363"/>
      <c r="AV288" s="376"/>
      <c r="AW288" s="328"/>
      <c r="AX288" s="328"/>
      <c r="AY288" s="328"/>
      <c r="AZ288" s="328"/>
      <c r="BA288" s="328"/>
      <c r="BB288" s="328"/>
      <c r="BC288" s="363"/>
    </row>
    <row r="289" spans="1:55" s="17" customFormat="1" ht="15.95" customHeight="1" x14ac:dyDescent="0.25">
      <c r="A289" s="1330"/>
      <c r="B289" s="1331"/>
      <c r="C289" s="75" t="s">
        <v>38</v>
      </c>
      <c r="D289" s="323">
        <v>1</v>
      </c>
      <c r="E289" s="174"/>
      <c r="F289" s="174"/>
      <c r="G289" s="174"/>
      <c r="H289" s="175"/>
      <c r="I289" s="176"/>
      <c r="J289" s="180">
        <f>IF(D289&lt;&gt;0,D289,0)*IF(E289&lt;&gt;0,E289,1)*IF(F289&lt;&gt;0,F289,1)*IF(G289&lt;&gt;0,G289,1)*IF(H289&lt;&gt;0,H289,1)/IF(I289&lt;&gt;0,I289,1)</f>
        <v>1</v>
      </c>
      <c r="K289" s="82" t="s">
        <v>202</v>
      </c>
      <c r="L289" s="181"/>
      <c r="M289" s="180">
        <f t="shared" si="102"/>
        <v>0</v>
      </c>
      <c r="N289" s="764"/>
      <c r="O289" s="327">
        <f t="shared" si="103"/>
        <v>0</v>
      </c>
      <c r="P289" s="764"/>
      <c r="Q289" s="303">
        <f t="shared" si="104"/>
        <v>0</v>
      </c>
      <c r="R289" s="181">
        <v>325</v>
      </c>
      <c r="S289" s="180">
        <f t="shared" si="105"/>
        <v>325</v>
      </c>
      <c r="T289" s="180">
        <f t="shared" si="106"/>
        <v>325</v>
      </c>
      <c r="U289" s="1216"/>
      <c r="V289" s="1217"/>
      <c r="W289" s="122"/>
      <c r="X289" s="373"/>
      <c r="Y289" s="328"/>
      <c r="Z289" s="328"/>
      <c r="AA289" s="328"/>
      <c r="AB289" s="328"/>
      <c r="AC289" s="328"/>
      <c r="AD289" s="328"/>
      <c r="AE289" s="363"/>
      <c r="AF289" s="376"/>
      <c r="AG289" s="328"/>
      <c r="AH289" s="328"/>
      <c r="AI289" s="328"/>
      <c r="AJ289" s="328"/>
      <c r="AK289" s="328"/>
      <c r="AL289" s="328"/>
      <c r="AM289" s="363"/>
      <c r="AN289" s="376"/>
      <c r="AO289" s="328"/>
      <c r="AP289" s="328"/>
      <c r="AQ289" s="328"/>
      <c r="AR289" s="328"/>
      <c r="AS289" s="328"/>
      <c r="AT289" s="328"/>
      <c r="AU289" s="363"/>
      <c r="AV289" s="376"/>
      <c r="AW289" s="328"/>
      <c r="AX289" s="328"/>
      <c r="AY289" s="328"/>
      <c r="AZ289" s="328"/>
      <c r="BA289" s="328"/>
      <c r="BB289" s="328"/>
      <c r="BC289" s="363"/>
    </row>
    <row r="290" spans="1:55" s="17" customFormat="1" ht="15.95" customHeight="1" x14ac:dyDescent="0.25">
      <c r="A290" s="1330"/>
      <c r="B290" s="1331"/>
      <c r="C290" s="75" t="s">
        <v>29</v>
      </c>
      <c r="D290" s="179">
        <f>S280</f>
        <v>2.7500000000000005E-8</v>
      </c>
      <c r="E290" s="174"/>
      <c r="F290" s="174"/>
      <c r="G290" s="174"/>
      <c r="H290" s="175">
        <v>2</v>
      </c>
      <c r="I290" s="176"/>
      <c r="J290" s="180">
        <f t="shared" si="101"/>
        <v>5.5000000000000009E-8</v>
      </c>
      <c r="K290" s="82" t="s">
        <v>61</v>
      </c>
      <c r="L290" s="181">
        <f>L82</f>
        <v>125</v>
      </c>
      <c r="M290" s="180">
        <f t="shared" si="102"/>
        <v>0</v>
      </c>
      <c r="N290" s="764"/>
      <c r="O290" s="327">
        <f t="shared" si="103"/>
        <v>0</v>
      </c>
      <c r="P290" s="764"/>
      <c r="Q290" s="303">
        <f t="shared" si="104"/>
        <v>0</v>
      </c>
      <c r="R290" s="181"/>
      <c r="S290" s="180">
        <f t="shared" si="105"/>
        <v>0</v>
      </c>
      <c r="T290" s="180">
        <f t="shared" si="106"/>
        <v>0</v>
      </c>
      <c r="U290" s="1216"/>
      <c r="V290" s="1217"/>
      <c r="W290" s="122"/>
      <c r="X290" s="373"/>
      <c r="Y290" s="328"/>
      <c r="Z290" s="328"/>
      <c r="AA290" s="328"/>
      <c r="AB290" s="328"/>
      <c r="AC290" s="328"/>
      <c r="AD290" s="328"/>
      <c r="AE290" s="363"/>
      <c r="AF290" s="376"/>
      <c r="AG290" s="328"/>
      <c r="AH290" s="328"/>
      <c r="AI290" s="328"/>
      <c r="AJ290" s="328"/>
      <c r="AK290" s="328"/>
      <c r="AL290" s="328"/>
      <c r="AM290" s="363"/>
      <c r="AN290" s="376"/>
      <c r="AO290" s="328"/>
      <c r="AP290" s="328"/>
      <c r="AQ290" s="328"/>
      <c r="AR290" s="328"/>
      <c r="AS290" s="328"/>
      <c r="AT290" s="328"/>
      <c r="AU290" s="363"/>
      <c r="AV290" s="376"/>
      <c r="AW290" s="328"/>
      <c r="AX290" s="328"/>
      <c r="AY290" s="328"/>
      <c r="AZ290" s="328"/>
      <c r="BA290" s="328"/>
      <c r="BB290" s="328"/>
      <c r="BC290" s="363"/>
    </row>
    <row r="291" spans="1:55" s="17" customFormat="1" ht="15.95" customHeight="1" x14ac:dyDescent="0.25">
      <c r="A291" s="1330"/>
      <c r="B291" s="1331"/>
      <c r="C291" s="75" t="s">
        <v>606</v>
      </c>
      <c r="D291" s="173"/>
      <c r="E291" s="174"/>
      <c r="F291" s="174"/>
      <c r="G291" s="174"/>
      <c r="H291" s="175">
        <v>2</v>
      </c>
      <c r="I291" s="176"/>
      <c r="J291" s="180">
        <f t="shared" si="101"/>
        <v>0</v>
      </c>
      <c r="K291" s="82" t="s">
        <v>196</v>
      </c>
      <c r="L291" s="181"/>
      <c r="M291" s="180">
        <f t="shared" si="102"/>
        <v>0</v>
      </c>
      <c r="N291" s="764"/>
      <c r="O291" s="327">
        <f t="shared" si="103"/>
        <v>0</v>
      </c>
      <c r="P291" s="764"/>
      <c r="Q291" s="303">
        <f t="shared" si="104"/>
        <v>0</v>
      </c>
      <c r="R291" s="181">
        <v>20</v>
      </c>
      <c r="S291" s="180">
        <f t="shared" si="105"/>
        <v>0</v>
      </c>
      <c r="T291" s="180">
        <f t="shared" si="106"/>
        <v>0</v>
      </c>
      <c r="U291" s="1216"/>
      <c r="V291" s="1217"/>
      <c r="W291" s="122"/>
      <c r="X291" s="373"/>
      <c r="Y291" s="328"/>
      <c r="Z291" s="328"/>
      <c r="AA291" s="328"/>
      <c r="AB291" s="328"/>
      <c r="AC291" s="328"/>
    </row>
    <row r="292" spans="1:55" s="17" customFormat="1" ht="15.95" customHeight="1" x14ac:dyDescent="0.25">
      <c r="A292" s="1330"/>
      <c r="B292" s="1331"/>
      <c r="C292" s="75" t="s">
        <v>607</v>
      </c>
      <c r="D292" s="173"/>
      <c r="E292" s="174"/>
      <c r="F292" s="174"/>
      <c r="G292" s="174"/>
      <c r="H292" s="175">
        <v>2</v>
      </c>
      <c r="I292" s="176"/>
      <c r="J292" s="180">
        <f t="shared" si="101"/>
        <v>0</v>
      </c>
      <c r="K292" s="82" t="s">
        <v>196</v>
      </c>
      <c r="L292" s="181"/>
      <c r="M292" s="180">
        <f t="shared" si="102"/>
        <v>0</v>
      </c>
      <c r="N292" s="764"/>
      <c r="O292" s="327">
        <f t="shared" si="103"/>
        <v>0</v>
      </c>
      <c r="P292" s="764"/>
      <c r="Q292" s="303">
        <f t="shared" si="104"/>
        <v>0</v>
      </c>
      <c r="R292" s="181">
        <v>20</v>
      </c>
      <c r="S292" s="180">
        <f t="shared" si="105"/>
        <v>0</v>
      </c>
      <c r="T292" s="180">
        <f t="shared" si="106"/>
        <v>0</v>
      </c>
      <c r="U292" s="1216"/>
      <c r="V292" s="1217"/>
      <c r="W292" s="122"/>
      <c r="X292" s="373"/>
      <c r="Y292" s="328"/>
      <c r="Z292" s="328"/>
      <c r="AA292" s="328"/>
      <c r="AB292" s="328"/>
      <c r="AC292" s="328"/>
    </row>
    <row r="293" spans="1:55" s="17" customFormat="1" ht="15" customHeight="1" x14ac:dyDescent="0.25">
      <c r="A293" s="1330"/>
      <c r="B293" s="1331"/>
      <c r="C293" s="75" t="s">
        <v>608</v>
      </c>
      <c r="D293" s="173"/>
      <c r="E293" s="174"/>
      <c r="F293" s="174"/>
      <c r="G293" s="174"/>
      <c r="H293" s="175">
        <v>2</v>
      </c>
      <c r="I293" s="176"/>
      <c r="J293" s="180">
        <f t="shared" si="101"/>
        <v>0</v>
      </c>
      <c r="K293" s="82" t="s">
        <v>196</v>
      </c>
      <c r="L293" s="181"/>
      <c r="M293" s="180">
        <f t="shared" si="102"/>
        <v>0</v>
      </c>
      <c r="N293" s="764"/>
      <c r="O293" s="327">
        <f t="shared" si="103"/>
        <v>0</v>
      </c>
      <c r="P293" s="764"/>
      <c r="Q293" s="303">
        <f t="shared" si="104"/>
        <v>0</v>
      </c>
      <c r="R293" s="181">
        <v>20</v>
      </c>
      <c r="S293" s="180">
        <f t="shared" si="105"/>
        <v>0</v>
      </c>
      <c r="T293" s="180">
        <f t="shared" si="106"/>
        <v>0</v>
      </c>
      <c r="U293" s="1216"/>
      <c r="V293" s="1217"/>
      <c r="W293" s="122"/>
      <c r="X293" s="373"/>
      <c r="Y293" s="328"/>
      <c r="Z293" s="328"/>
      <c r="AA293" s="328"/>
      <c r="AB293" s="328"/>
      <c r="AC293" s="328"/>
    </row>
    <row r="294" spans="1:55" ht="15" customHeight="1" x14ac:dyDescent="0.25">
      <c r="A294" s="1330"/>
      <c r="B294" s="1331"/>
      <c r="C294" s="75" t="s">
        <v>127</v>
      </c>
      <c r="D294" s="286">
        <f>$B$86</f>
        <v>0</v>
      </c>
      <c r="E294" s="287">
        <f>ROUNDUP(S280/5,0)</f>
        <v>1</v>
      </c>
      <c r="F294" s="288">
        <v>4</v>
      </c>
      <c r="G294" s="174"/>
      <c r="H294" s="17"/>
      <c r="I294" s="176"/>
      <c r="J294" s="180">
        <f t="shared" si="101"/>
        <v>0</v>
      </c>
      <c r="K294" s="330" t="s">
        <v>61</v>
      </c>
      <c r="L294" s="181">
        <f>L86</f>
        <v>40</v>
      </c>
      <c r="M294" s="180">
        <f t="shared" si="102"/>
        <v>0</v>
      </c>
      <c r="N294" s="764"/>
      <c r="O294" s="180">
        <f t="shared" si="103"/>
        <v>0</v>
      </c>
      <c r="P294" s="764"/>
      <c r="Q294" s="180">
        <f t="shared" si="104"/>
        <v>0</v>
      </c>
      <c r="R294" s="79"/>
      <c r="S294" s="180">
        <f t="shared" si="105"/>
        <v>0</v>
      </c>
      <c r="T294" s="180">
        <f t="shared" si="106"/>
        <v>0</v>
      </c>
      <c r="U294" s="1216"/>
      <c r="V294" s="1217"/>
      <c r="W294" s="122"/>
      <c r="X294" s="555" t="s">
        <v>10148</v>
      </c>
      <c r="Y294" s="939">
        <v>200</v>
      </c>
      <c r="Z294" s="939"/>
      <c r="AF294" s="376"/>
      <c r="AN294" s="376"/>
      <c r="AV294" s="376"/>
    </row>
    <row r="295" spans="1:55" ht="15" customHeight="1" x14ac:dyDescent="0.25">
      <c r="A295" s="1330"/>
      <c r="B295" s="1331"/>
      <c r="C295" s="75" t="s">
        <v>128</v>
      </c>
      <c r="D295" s="286">
        <f>$B$87</f>
        <v>0</v>
      </c>
      <c r="E295" s="287">
        <f>ROUNDUP(S280,0)</f>
        <v>1</v>
      </c>
      <c r="F295" s="287">
        <f>F294/2</f>
        <v>2</v>
      </c>
      <c r="G295" s="174"/>
      <c r="H295" s="17"/>
      <c r="I295" s="176"/>
      <c r="J295" s="180">
        <f t="shared" si="101"/>
        <v>0</v>
      </c>
      <c r="K295" s="330" t="s">
        <v>204</v>
      </c>
      <c r="L295" s="181">
        <f>L87</f>
        <v>200</v>
      </c>
      <c r="M295" s="180">
        <f t="shared" si="102"/>
        <v>0</v>
      </c>
      <c r="N295" s="764"/>
      <c r="O295" s="180">
        <f t="shared" si="103"/>
        <v>0</v>
      </c>
      <c r="P295" s="764"/>
      <c r="Q295" s="180">
        <f t="shared" si="104"/>
        <v>0</v>
      </c>
      <c r="R295" s="79"/>
      <c r="S295" s="180">
        <f t="shared" si="105"/>
        <v>0</v>
      </c>
      <c r="T295" s="180">
        <f t="shared" si="106"/>
        <v>0</v>
      </c>
      <c r="U295" s="1216"/>
      <c r="V295" s="1217"/>
      <c r="W295" s="122"/>
      <c r="X295" s="555" t="s">
        <v>10149</v>
      </c>
      <c r="Y295" s="939">
        <v>350</v>
      </c>
      <c r="Z295" s="939"/>
      <c r="AF295" s="376"/>
      <c r="AN295" s="376"/>
      <c r="AV295" s="376"/>
    </row>
    <row r="296" spans="1:55" ht="15" customHeight="1" x14ac:dyDescent="0.25">
      <c r="A296" s="1330"/>
      <c r="B296" s="1331"/>
      <c r="C296" s="75" t="s">
        <v>1182</v>
      </c>
      <c r="D296" s="286">
        <f>$B$87</f>
        <v>0</v>
      </c>
      <c r="E296" s="287">
        <f>ROUNDUP(S280,0)</f>
        <v>1</v>
      </c>
      <c r="F296" s="287">
        <f>F294</f>
        <v>4</v>
      </c>
      <c r="G296" s="174"/>
      <c r="H296" s="17"/>
      <c r="I296" s="176"/>
      <c r="J296" s="180">
        <f t="shared" si="101"/>
        <v>0</v>
      </c>
      <c r="K296" s="330" t="s">
        <v>204</v>
      </c>
      <c r="L296" s="181">
        <f>L88</f>
        <v>70</v>
      </c>
      <c r="M296" s="180">
        <f t="shared" si="102"/>
        <v>0</v>
      </c>
      <c r="N296" s="764"/>
      <c r="O296" s="180">
        <f t="shared" si="103"/>
        <v>0</v>
      </c>
      <c r="P296" s="764"/>
      <c r="Q296" s="180">
        <f t="shared" si="104"/>
        <v>0</v>
      </c>
      <c r="R296" s="79"/>
      <c r="S296" s="180">
        <f t="shared" si="105"/>
        <v>0</v>
      </c>
      <c r="T296" s="180">
        <f t="shared" si="106"/>
        <v>0</v>
      </c>
      <c r="U296" s="1216"/>
      <c r="V296" s="1217"/>
      <c r="W296" s="122"/>
      <c r="X296" s="373"/>
      <c r="AF296" s="376"/>
      <c r="AN296" s="376"/>
      <c r="AV296" s="376"/>
    </row>
    <row r="297" spans="1:55" ht="15" customHeight="1" x14ac:dyDescent="0.25">
      <c r="A297" s="1330"/>
      <c r="B297" s="1331"/>
      <c r="C297" s="1128"/>
      <c r="D297" s="1129"/>
      <c r="E297" s="1129"/>
      <c r="F297" s="1129"/>
      <c r="G297" s="1129"/>
      <c r="H297" s="1129"/>
      <c r="I297" s="1129"/>
      <c r="J297" s="1129"/>
      <c r="K297" s="1129"/>
      <c r="L297" s="1129"/>
      <c r="M297" s="1129"/>
      <c r="N297" s="1129"/>
      <c r="O297" s="1129"/>
      <c r="P297" s="1129"/>
      <c r="Q297" s="1129"/>
      <c r="R297" s="1129"/>
      <c r="S297" s="1129"/>
      <c r="T297" s="1130"/>
      <c r="U297" s="1124"/>
      <c r="V297" s="1125"/>
      <c r="W297" s="122"/>
      <c r="X297" s="405">
        <f>U302*0.01</f>
        <v>6.2624000000000004</v>
      </c>
      <c r="Y297" s="328" t="s">
        <v>1134</v>
      </c>
      <c r="AF297" s="376"/>
      <c r="AN297" s="376"/>
      <c r="AV297" s="376"/>
    </row>
    <row r="298" spans="1:55" ht="15" customHeight="1" x14ac:dyDescent="0.25">
      <c r="A298" s="1330"/>
      <c r="B298" s="1331"/>
      <c r="C298" s="75" t="s">
        <v>80</v>
      </c>
      <c r="D298" s="981">
        <f>D226</f>
        <v>0.03</v>
      </c>
      <c r="E298" s="982"/>
      <c r="F298" s="982"/>
      <c r="G298" s="982"/>
      <c r="H298" s="982"/>
      <c r="I298" s="982"/>
      <c r="J298" s="982"/>
      <c r="K298" s="982"/>
      <c r="L298" s="982"/>
      <c r="M298" s="982"/>
      <c r="N298" s="982"/>
      <c r="O298" s="982"/>
      <c r="P298" s="982"/>
      <c r="Q298" s="982"/>
      <c r="R298" s="982"/>
      <c r="S298" s="983"/>
      <c r="T298" s="320">
        <f>SUM(U235+U271+U280)*D298</f>
        <v>14.25</v>
      </c>
      <c r="U298" s="390">
        <f>T298</f>
        <v>14.25</v>
      </c>
      <c r="V298" s="406">
        <f>U298/D279</f>
        <v>1295454.5454545452</v>
      </c>
      <c r="W298" s="122"/>
      <c r="X298" s="391" t="s">
        <v>1096</v>
      </c>
      <c r="AF298" s="376"/>
      <c r="AN298" s="376"/>
      <c r="AV298" s="376"/>
    </row>
    <row r="299" spans="1:55" ht="15" customHeight="1" x14ac:dyDescent="0.25">
      <c r="A299" s="1330"/>
      <c r="B299" s="1331"/>
      <c r="C299" s="1128"/>
      <c r="D299" s="1129"/>
      <c r="E299" s="1129"/>
      <c r="F299" s="1129"/>
      <c r="G299" s="1129"/>
      <c r="H299" s="1129"/>
      <c r="I299" s="1129"/>
      <c r="J299" s="1129"/>
      <c r="K299" s="1129"/>
      <c r="L299" s="1129"/>
      <c r="M299" s="1129"/>
      <c r="N299" s="1129"/>
      <c r="O299" s="1129"/>
      <c r="P299" s="1129"/>
      <c r="Q299" s="1129"/>
      <c r="R299" s="1129"/>
      <c r="S299" s="1129"/>
      <c r="T299" s="1130"/>
      <c r="U299" s="1124"/>
      <c r="V299" s="1125"/>
      <c r="W299" s="122"/>
      <c r="X299" s="369" t="s">
        <v>741</v>
      </c>
      <c r="Y299" s="939">
        <f>U303-U302</f>
        <v>7.5148799999999483</v>
      </c>
      <c r="Z299" s="939"/>
      <c r="AF299" s="376"/>
      <c r="AN299" s="376"/>
      <c r="AV299" s="376"/>
    </row>
    <row r="300" spans="1:55" ht="15" customHeight="1" x14ac:dyDescent="0.25">
      <c r="A300" s="1330"/>
      <c r="B300" s="1331"/>
      <c r="C300" s="75" t="s">
        <v>30</v>
      </c>
      <c r="D300" s="1230"/>
      <c r="E300" s="1231"/>
      <c r="F300" s="1231"/>
      <c r="G300" s="1231"/>
      <c r="H300" s="1231"/>
      <c r="I300" s="1231"/>
      <c r="J300" s="1231">
        <f>IF(D300&lt;&gt;0,D300,0)*IF(E300&lt;&gt;0,E300,1)*IF(F300&lt;&gt;0,F300,1)*IF(G300&lt;&gt;0,G300,1)*IF(H300&lt;&gt;0,H300,1)/IF(I300&lt;&gt;0,I300,1)</f>
        <v>0</v>
      </c>
      <c r="K300" s="1231"/>
      <c r="L300" s="1231"/>
      <c r="M300" s="1231">
        <f>ROUND(J300*L300,0)</f>
        <v>0</v>
      </c>
      <c r="N300" s="1231"/>
      <c r="O300" s="1231">
        <f>ROUND(J300*N300,0)</f>
        <v>0</v>
      </c>
      <c r="P300" s="1231"/>
      <c r="Q300" s="1231">
        <f>ROUND(J300*P300,0)</f>
        <v>0</v>
      </c>
      <c r="R300" s="1231"/>
      <c r="S300" s="1232">
        <f>ROUND(J300*R300,0)</f>
        <v>0</v>
      </c>
      <c r="T300" s="320">
        <f>SUM(U235+U271+U280)+T298</f>
        <v>489.25</v>
      </c>
      <c r="U300" s="1336"/>
      <c r="V300" s="1337"/>
      <c r="W300" s="122"/>
      <c r="X300" s="233" t="s">
        <v>1099</v>
      </c>
      <c r="AF300" s="376"/>
      <c r="AN300" s="376"/>
      <c r="AV300" s="376"/>
    </row>
    <row r="301" spans="1:55" ht="15" customHeight="1" x14ac:dyDescent="0.25">
      <c r="A301" s="1330"/>
      <c r="B301" s="1331"/>
      <c r="C301" s="75" t="s">
        <v>81</v>
      </c>
      <c r="D301" s="981">
        <f>D229</f>
        <v>0.28000000000000003</v>
      </c>
      <c r="E301" s="982"/>
      <c r="F301" s="982"/>
      <c r="G301" s="982"/>
      <c r="H301" s="982"/>
      <c r="I301" s="982"/>
      <c r="J301" s="982"/>
      <c r="K301" s="982"/>
      <c r="L301" s="982"/>
      <c r="M301" s="982"/>
      <c r="N301" s="982"/>
      <c r="O301" s="982"/>
      <c r="P301" s="982"/>
      <c r="Q301" s="982"/>
      <c r="R301" s="982"/>
      <c r="S301" s="983"/>
      <c r="T301" s="320">
        <f>T300*D301</f>
        <v>136.99</v>
      </c>
      <c r="U301" s="1338"/>
      <c r="V301" s="1339"/>
      <c r="W301" s="294"/>
      <c r="X301" s="373"/>
      <c r="AF301" s="376"/>
      <c r="AN301" s="376"/>
      <c r="AV301" s="376"/>
    </row>
    <row r="302" spans="1:55" s="17" customFormat="1" ht="15" customHeight="1" x14ac:dyDescent="0.25">
      <c r="A302" s="1332"/>
      <c r="B302" s="1333"/>
      <c r="C302" s="75" t="s">
        <v>31</v>
      </c>
      <c r="D302" s="1230"/>
      <c r="E302" s="1231"/>
      <c r="F302" s="1231"/>
      <c r="G302" s="1231"/>
      <c r="H302" s="1231"/>
      <c r="I302" s="1231"/>
      <c r="J302" s="1231">
        <f>IF(D302&lt;&gt;0,D302,0)*IF(E302&lt;&gt;0,E302,1)*IF(F302&lt;&gt;0,F302,1)*IF(G302&lt;&gt;0,G302,1)*IF(H302&lt;&gt;0,H302,1)/IF(I302&lt;&gt;0,I302,1)</f>
        <v>0</v>
      </c>
      <c r="K302" s="1231"/>
      <c r="L302" s="1231"/>
      <c r="M302" s="1231">
        <f>ROUND(J302*L302,0)</f>
        <v>0</v>
      </c>
      <c r="N302" s="1231"/>
      <c r="O302" s="1231">
        <f>ROUND(J302*N302,0)</f>
        <v>0</v>
      </c>
      <c r="P302" s="1231"/>
      <c r="Q302" s="1231">
        <f>ROUND(J302*P302,0)</f>
        <v>0</v>
      </c>
      <c r="R302" s="1231"/>
      <c r="S302" s="1232">
        <f>ROUND(J302*R302,0)</f>
        <v>0</v>
      </c>
      <c r="T302" s="320">
        <f>SUM(T300:T301)</f>
        <v>626.24</v>
      </c>
      <c r="U302" s="386">
        <f>T302</f>
        <v>626.24</v>
      </c>
      <c r="V302" s="299">
        <f>U302/D279</f>
        <v>56930909.090909086</v>
      </c>
      <c r="W302" s="361"/>
      <c r="X302" s="1143"/>
      <c r="Y302" s="1143"/>
      <c r="Z302" s="1143"/>
      <c r="AA302" s="1143"/>
      <c r="AB302" s="1143"/>
      <c r="AC302" s="1143"/>
      <c r="AD302" s="1143"/>
      <c r="AE302" s="350"/>
      <c r="AF302" s="376"/>
      <c r="AL302" s="328"/>
      <c r="AM302" s="363"/>
      <c r="AN302" s="362"/>
      <c r="AO302" s="328"/>
      <c r="AP302" s="328"/>
      <c r="AQ302" s="328"/>
      <c r="AR302" s="328"/>
      <c r="AS302" s="328"/>
      <c r="AT302" s="328"/>
      <c r="AU302" s="363"/>
      <c r="AV302" s="362"/>
      <c r="AW302" s="328"/>
      <c r="AX302" s="328"/>
      <c r="AY302" s="328"/>
      <c r="AZ302" s="328"/>
      <c r="BA302" s="328"/>
      <c r="BB302" s="328"/>
      <c r="BC302" s="363"/>
    </row>
    <row r="303" spans="1:55" ht="15" customHeight="1" x14ac:dyDescent="0.25">
      <c r="A303" s="778">
        <f>T290</f>
        <v>0</v>
      </c>
      <c r="B303" s="772">
        <v>0.04</v>
      </c>
      <c r="C303" s="773">
        <f>(T301)*B303</f>
        <v>5.4796000000000005</v>
      </c>
      <c r="D303" s="664" t="s">
        <v>19</v>
      </c>
      <c r="E303" s="665"/>
      <c r="F303" s="665"/>
      <c r="G303" s="877" t="s">
        <v>1080</v>
      </c>
      <c r="H303" s="878"/>
      <c r="I303" s="879">
        <f>U235</f>
        <v>0</v>
      </c>
      <c r="J303" s="880"/>
      <c r="K303" s="880"/>
      <c r="L303" s="881"/>
      <c r="M303" s="346" t="s">
        <v>1081</v>
      </c>
      <c r="N303" s="879">
        <f>U271</f>
        <v>150</v>
      </c>
      <c r="O303" s="881"/>
      <c r="P303" s="346" t="s">
        <v>279</v>
      </c>
      <c r="Q303" s="347">
        <f>SUM(U280/U302)</f>
        <v>0.51897036280020437</v>
      </c>
      <c r="R303" s="879">
        <f>U280</f>
        <v>325</v>
      </c>
      <c r="S303" s="881"/>
      <c r="T303" s="348">
        <f>T301</f>
        <v>136.99</v>
      </c>
      <c r="U303" s="1233">
        <f>SUM(U302*0.012)+U302</f>
        <v>633.75487999999996</v>
      </c>
      <c r="V303" s="1234"/>
      <c r="W303" s="361"/>
      <c r="X303" s="373"/>
      <c r="AF303" s="376"/>
      <c r="AN303" s="362"/>
      <c r="AV303" s="362"/>
    </row>
    <row r="304" spans="1:55" ht="15" customHeight="1" x14ac:dyDescent="0.25">
      <c r="A304" s="1325"/>
      <c r="B304" s="1326"/>
      <c r="C304" s="1326"/>
      <c r="D304" s="1326"/>
      <c r="E304" s="1326"/>
      <c r="F304" s="1326"/>
      <c r="G304" s="1326"/>
      <c r="H304" s="1326"/>
      <c r="I304" s="1326"/>
      <c r="J304" s="1326"/>
      <c r="K304" s="1326"/>
      <c r="L304" s="1326"/>
      <c r="M304" s="1326"/>
      <c r="N304" s="1326"/>
      <c r="O304" s="1326"/>
      <c r="P304" s="1326"/>
      <c r="Q304" s="1326"/>
      <c r="R304" s="1326"/>
      <c r="S304" s="1326"/>
      <c r="T304" s="1326"/>
      <c r="U304" s="1326"/>
      <c r="V304" s="1327"/>
      <c r="W304" s="122"/>
      <c r="X304" s="373"/>
      <c r="AF304" s="376"/>
      <c r="AN304" s="362"/>
      <c r="AV304" s="362"/>
    </row>
    <row r="305" spans="1:51" ht="15" customHeight="1" thickBot="1" x14ac:dyDescent="0.3">
      <c r="A305" s="928"/>
      <c r="B305" s="928"/>
      <c r="C305" s="928"/>
      <c r="D305" s="928"/>
      <c r="E305" s="928"/>
      <c r="F305" s="928"/>
      <c r="G305" s="1148"/>
      <c r="H305" s="1148"/>
      <c r="I305" s="1148"/>
      <c r="J305" s="1148"/>
      <c r="K305" s="1148"/>
      <c r="L305" s="1148"/>
      <c r="M305" s="1148"/>
      <c r="N305" s="1148"/>
      <c r="O305" s="1148"/>
      <c r="P305" s="1148"/>
      <c r="Q305" s="1148"/>
      <c r="R305" s="1148"/>
      <c r="S305" s="1148"/>
      <c r="T305" s="1148"/>
      <c r="U305" s="928"/>
      <c r="V305" s="929"/>
      <c r="W305" s="122"/>
      <c r="X305" s="373"/>
      <c r="AF305" s="490" t="s">
        <v>741</v>
      </c>
      <c r="AG305" s="491"/>
      <c r="AH305" s="492"/>
      <c r="AN305" s="376"/>
      <c r="AV305" s="376"/>
    </row>
    <row r="306" spans="1:51" ht="15" customHeight="1" x14ac:dyDescent="0.25">
      <c r="A306" s="1205"/>
      <c r="B306" s="1206"/>
      <c r="C306" s="83" t="s">
        <v>1176</v>
      </c>
      <c r="D306" s="1211" t="s">
        <v>225</v>
      </c>
      <c r="E306" s="1212"/>
      <c r="F306" s="1213"/>
      <c r="G306" s="1340"/>
      <c r="H306" s="1340"/>
      <c r="I306" s="1340"/>
      <c r="J306" s="1340"/>
      <c r="K306" s="1340"/>
      <c r="L306" s="1340"/>
      <c r="M306" s="1340"/>
      <c r="N306" s="1340"/>
      <c r="O306" s="1340"/>
      <c r="P306" s="1340"/>
      <c r="Q306" s="1340"/>
      <c r="R306" s="1340"/>
      <c r="S306" s="1340"/>
      <c r="T306" s="1340"/>
      <c r="U306" s="1341"/>
      <c r="V306" s="1342"/>
      <c r="W306" s="122"/>
      <c r="X306" s="373"/>
      <c r="AF306" s="486">
        <f>T302*0.05</f>
        <v>31.312000000000001</v>
      </c>
      <c r="AG306" s="482" t="s">
        <v>1244</v>
      </c>
      <c r="AH306" s="487"/>
      <c r="AI306" s="385"/>
      <c r="AN306" s="376"/>
      <c r="AQ306" s="385"/>
      <c r="AV306" s="376"/>
      <c r="AY306" s="385"/>
    </row>
    <row r="307" spans="1:51" ht="15" customHeight="1" x14ac:dyDescent="0.25">
      <c r="A307" s="1207"/>
      <c r="B307" s="1208"/>
      <c r="C307" s="84" t="s">
        <v>172</v>
      </c>
      <c r="D307" s="882" t="s">
        <v>227</v>
      </c>
      <c r="E307" s="883"/>
      <c r="F307" s="1272"/>
      <c r="G307" s="1322"/>
      <c r="H307" s="1322"/>
      <c r="I307" s="1322"/>
      <c r="J307" s="1322"/>
      <c r="K307" s="1322"/>
      <c r="L307" s="1322"/>
      <c r="M307" s="1322"/>
      <c r="N307" s="1322"/>
      <c r="O307" s="1322"/>
      <c r="P307" s="1322"/>
      <c r="Q307" s="1322"/>
      <c r="R307" s="1322"/>
      <c r="S307" s="1322"/>
      <c r="T307" s="1322"/>
      <c r="U307" s="224" t="s">
        <v>33</v>
      </c>
      <c r="V307" s="224" t="s">
        <v>49</v>
      </c>
      <c r="W307" s="122"/>
      <c r="X307" s="373"/>
      <c r="AF307" s="486">
        <f>AF306+T302</f>
        <v>657.55200000000002</v>
      </c>
      <c r="AG307" s="482" t="s">
        <v>1245</v>
      </c>
      <c r="AH307" s="487"/>
      <c r="AN307" s="376"/>
      <c r="AV307" s="376"/>
    </row>
    <row r="308" spans="1:51" ht="15" customHeight="1" x14ac:dyDescent="0.25">
      <c r="A308" s="1209"/>
      <c r="B308" s="1210"/>
      <c r="C308" s="87" t="s">
        <v>21</v>
      </c>
      <c r="D308" s="1140"/>
      <c r="E308" s="1141"/>
      <c r="F308" s="1271"/>
      <c r="G308" s="1322"/>
      <c r="H308" s="1322"/>
      <c r="I308" s="1322"/>
      <c r="J308" s="1322"/>
      <c r="K308" s="1322"/>
      <c r="L308" s="1322"/>
      <c r="M308" s="1322"/>
      <c r="N308" s="1322"/>
      <c r="O308" s="1322"/>
      <c r="P308" s="1322"/>
      <c r="Q308" s="1322"/>
      <c r="R308" s="1322"/>
      <c r="S308" s="1322"/>
      <c r="T308" s="1322"/>
      <c r="U308" s="386">
        <f>SUM(T309:T331)</f>
        <v>0</v>
      </c>
      <c r="V308" s="299">
        <f>U308/D353</f>
        <v>0</v>
      </c>
      <c r="W308" s="122"/>
      <c r="X308" s="373"/>
      <c r="AF308" s="488">
        <f>SUM(AF307*0.012)+AF307</f>
        <v>665.44262400000002</v>
      </c>
      <c r="AG308" s="483" t="s">
        <v>1246</v>
      </c>
      <c r="AH308" s="489"/>
      <c r="AN308" s="376"/>
      <c r="AV308" s="376"/>
    </row>
    <row r="309" spans="1:51" ht="15" customHeight="1" x14ac:dyDescent="0.25">
      <c r="A309" s="88">
        <f>Input!C110</f>
        <v>0</v>
      </c>
      <c r="B309" s="81">
        <v>1</v>
      </c>
      <c r="C309" s="399" t="s">
        <v>1101</v>
      </c>
      <c r="D309" s="259">
        <f>A309</f>
        <v>0</v>
      </c>
      <c r="E309" s="260"/>
      <c r="F309" s="260"/>
      <c r="G309" s="264"/>
      <c r="H309" s="264"/>
      <c r="I309" s="265"/>
      <c r="J309" s="89">
        <f t="shared" ref="J309:J326" si="107">IF(D309&lt;&gt;0,D309,0)*IF(E309&lt;&gt;0,E309,1)*IF(F309&lt;&gt;0,F309,1)*IF(G309&lt;&gt;0,G309,1)*IF(H309&lt;&gt;0,H309,1)/IF(I309&lt;&gt;0,I309,1)</f>
        <v>0</v>
      </c>
      <c r="K309" s="82" t="s">
        <v>114</v>
      </c>
      <c r="L309" s="1300"/>
      <c r="M309" s="1301"/>
      <c r="N309" s="91">
        <v>0</v>
      </c>
      <c r="O309" s="89">
        <f t="shared" ref="O309:O326" si="108">ROUND(J309*N309,0)</f>
        <v>0</v>
      </c>
      <c r="P309" s="1310"/>
      <c r="Q309" s="1311"/>
      <c r="R309" s="1311"/>
      <c r="S309" s="1312"/>
      <c r="T309" s="387">
        <f>ROUND(L309+O309+P309+S309,0)</f>
        <v>0</v>
      </c>
      <c r="U309" s="1304" t="s">
        <v>1177</v>
      </c>
      <c r="V309" s="1305"/>
      <c r="W309" s="122"/>
      <c r="X309" s="373"/>
      <c r="AF309" s="376"/>
      <c r="AN309" s="376"/>
      <c r="AV309" s="376"/>
    </row>
    <row r="310" spans="1:51" ht="15" customHeight="1" x14ac:dyDescent="0.25">
      <c r="A310" s="88">
        <f>Input!C111</f>
        <v>0</v>
      </c>
      <c r="B310" s="81">
        <v>1</v>
      </c>
      <c r="C310" s="399" t="s">
        <v>1102</v>
      </c>
      <c r="D310" s="259">
        <f t="shared" ref="D310:D331" si="109">A310</f>
        <v>0</v>
      </c>
      <c r="E310" s="260"/>
      <c r="F310" s="260"/>
      <c r="G310" s="260"/>
      <c r="H310" s="261"/>
      <c r="I310" s="262"/>
      <c r="J310" s="76">
        <f t="shared" si="107"/>
        <v>0</v>
      </c>
      <c r="K310" s="82" t="s">
        <v>114</v>
      </c>
      <c r="L310" s="1300"/>
      <c r="M310" s="1301"/>
      <c r="N310" s="91">
        <v>0</v>
      </c>
      <c r="O310" s="76">
        <f t="shared" si="108"/>
        <v>0</v>
      </c>
      <c r="P310" s="1310"/>
      <c r="Q310" s="1311"/>
      <c r="R310" s="1311"/>
      <c r="S310" s="1312"/>
      <c r="T310" s="180">
        <f t="shared" ref="T310:T326" si="110">ROUND(M310+O310+Q310+S310,0)</f>
        <v>0</v>
      </c>
      <c r="U310" s="1306"/>
      <c r="V310" s="1307"/>
      <c r="W310" s="122"/>
      <c r="X310" s="373"/>
      <c r="AF310" s="376"/>
      <c r="AN310" s="376"/>
      <c r="AV310" s="376"/>
    </row>
    <row r="311" spans="1:51" ht="15" customHeight="1" x14ac:dyDescent="0.25">
      <c r="A311" s="88">
        <f>Input!C112</f>
        <v>0</v>
      </c>
      <c r="B311" s="81">
        <v>1</v>
      </c>
      <c r="C311" s="399" t="s">
        <v>1103</v>
      </c>
      <c r="D311" s="259">
        <f t="shared" si="109"/>
        <v>0</v>
      </c>
      <c r="E311" s="260"/>
      <c r="F311" s="260"/>
      <c r="G311" s="260"/>
      <c r="H311" s="261"/>
      <c r="I311" s="262"/>
      <c r="J311" s="76">
        <f t="shared" si="107"/>
        <v>0</v>
      </c>
      <c r="K311" s="82" t="s">
        <v>114</v>
      </c>
      <c r="L311" s="1300"/>
      <c r="M311" s="1301"/>
      <c r="N311" s="91">
        <v>0</v>
      </c>
      <c r="O311" s="76">
        <f t="shared" si="108"/>
        <v>0</v>
      </c>
      <c r="P311" s="1310"/>
      <c r="Q311" s="1311"/>
      <c r="R311" s="1311"/>
      <c r="S311" s="1312"/>
      <c r="T311" s="180">
        <f t="shared" si="110"/>
        <v>0</v>
      </c>
      <c r="U311" s="1306"/>
      <c r="V311" s="1307"/>
      <c r="W311" s="122"/>
      <c r="X311" s="373"/>
      <c r="AF311" s="376"/>
      <c r="AN311" s="376"/>
      <c r="AV311" s="376"/>
    </row>
    <row r="312" spans="1:51" ht="15" customHeight="1" x14ac:dyDescent="0.25">
      <c r="A312" s="88">
        <f>Input!C113</f>
        <v>0</v>
      </c>
      <c r="B312" s="81">
        <v>1</v>
      </c>
      <c r="C312" s="399" t="s">
        <v>1104</v>
      </c>
      <c r="D312" s="259">
        <f t="shared" si="109"/>
        <v>0</v>
      </c>
      <c r="E312" s="260"/>
      <c r="F312" s="260"/>
      <c r="G312" s="260"/>
      <c r="H312" s="261"/>
      <c r="I312" s="262"/>
      <c r="J312" s="76">
        <f t="shared" si="107"/>
        <v>0</v>
      </c>
      <c r="K312" s="82" t="s">
        <v>114</v>
      </c>
      <c r="L312" s="1300"/>
      <c r="M312" s="1301"/>
      <c r="N312" s="91">
        <v>0</v>
      </c>
      <c r="O312" s="76">
        <f t="shared" si="108"/>
        <v>0</v>
      </c>
      <c r="P312" s="1310"/>
      <c r="Q312" s="1311"/>
      <c r="R312" s="1311"/>
      <c r="S312" s="1312"/>
      <c r="T312" s="180">
        <f t="shared" si="110"/>
        <v>0</v>
      </c>
      <c r="U312" s="1306"/>
      <c r="V312" s="1307"/>
      <c r="W312" s="122"/>
      <c r="X312" s="373"/>
      <c r="AF312" s="376"/>
      <c r="AN312" s="376"/>
      <c r="AV312" s="376"/>
    </row>
    <row r="313" spans="1:51" ht="15" customHeight="1" x14ac:dyDescent="0.25">
      <c r="A313" s="88">
        <f>Input!C114</f>
        <v>0</v>
      </c>
      <c r="B313" s="81">
        <v>1</v>
      </c>
      <c r="C313" s="399" t="s">
        <v>1105</v>
      </c>
      <c r="D313" s="259">
        <f t="shared" si="109"/>
        <v>0</v>
      </c>
      <c r="E313" s="260"/>
      <c r="F313" s="260"/>
      <c r="G313" s="260"/>
      <c r="H313" s="261"/>
      <c r="I313" s="262"/>
      <c r="J313" s="76">
        <f t="shared" si="107"/>
        <v>0</v>
      </c>
      <c r="K313" s="82" t="s">
        <v>114</v>
      </c>
      <c r="L313" s="1300"/>
      <c r="M313" s="1301"/>
      <c r="N313" s="91">
        <v>0</v>
      </c>
      <c r="O313" s="76">
        <f t="shared" si="108"/>
        <v>0</v>
      </c>
      <c r="P313" s="1310"/>
      <c r="Q313" s="1311"/>
      <c r="R313" s="1311"/>
      <c r="S313" s="1312"/>
      <c r="T313" s="180">
        <f t="shared" si="110"/>
        <v>0</v>
      </c>
      <c r="U313" s="1306"/>
      <c r="V313" s="1307"/>
      <c r="W313" s="122"/>
      <c r="X313" s="373"/>
      <c r="AF313" s="376"/>
      <c r="AN313" s="376"/>
      <c r="AV313" s="376"/>
    </row>
    <row r="314" spans="1:51" ht="15" customHeight="1" x14ac:dyDescent="0.25">
      <c r="A314" s="88">
        <f>Input!C115</f>
        <v>0</v>
      </c>
      <c r="B314" s="81">
        <v>1</v>
      </c>
      <c r="C314" s="399" t="s">
        <v>1106</v>
      </c>
      <c r="D314" s="259">
        <f t="shared" si="109"/>
        <v>0</v>
      </c>
      <c r="E314" s="260"/>
      <c r="F314" s="260"/>
      <c r="G314" s="260"/>
      <c r="H314" s="261"/>
      <c r="I314" s="262"/>
      <c r="J314" s="76">
        <f t="shared" si="107"/>
        <v>0</v>
      </c>
      <c r="K314" s="82" t="s">
        <v>114</v>
      </c>
      <c r="L314" s="1300"/>
      <c r="M314" s="1301"/>
      <c r="N314" s="91">
        <v>0</v>
      </c>
      <c r="O314" s="76">
        <f t="shared" si="108"/>
        <v>0</v>
      </c>
      <c r="P314" s="1310"/>
      <c r="Q314" s="1311"/>
      <c r="R314" s="1311"/>
      <c r="S314" s="1312"/>
      <c r="T314" s="180">
        <f t="shared" si="110"/>
        <v>0</v>
      </c>
      <c r="U314" s="1306"/>
      <c r="V314" s="1307"/>
      <c r="W314" s="122"/>
      <c r="X314" s="373"/>
      <c r="AF314" s="376"/>
      <c r="AN314" s="376"/>
      <c r="AV314" s="376"/>
    </row>
    <row r="315" spans="1:51" ht="15" customHeight="1" x14ac:dyDescent="0.25">
      <c r="A315" s="88">
        <f>Input!C116</f>
        <v>0</v>
      </c>
      <c r="B315" s="81">
        <v>1</v>
      </c>
      <c r="C315" s="399" t="s">
        <v>1107</v>
      </c>
      <c r="D315" s="259">
        <f t="shared" si="109"/>
        <v>0</v>
      </c>
      <c r="E315" s="260"/>
      <c r="F315" s="260"/>
      <c r="G315" s="260"/>
      <c r="H315" s="261"/>
      <c r="I315" s="262"/>
      <c r="J315" s="76">
        <f t="shared" si="107"/>
        <v>0</v>
      </c>
      <c r="K315" s="82" t="s">
        <v>114</v>
      </c>
      <c r="L315" s="1300"/>
      <c r="M315" s="1301"/>
      <c r="N315" s="91">
        <v>0</v>
      </c>
      <c r="O315" s="76">
        <f t="shared" si="108"/>
        <v>0</v>
      </c>
      <c r="P315" s="1310"/>
      <c r="Q315" s="1311"/>
      <c r="R315" s="1311"/>
      <c r="S315" s="1312"/>
      <c r="T315" s="180">
        <f t="shared" si="110"/>
        <v>0</v>
      </c>
      <c r="U315" s="1306"/>
      <c r="V315" s="1307"/>
      <c r="W315" s="122"/>
      <c r="X315" s="373"/>
      <c r="AF315" s="376"/>
      <c r="AN315" s="376"/>
      <c r="AV315" s="376"/>
    </row>
    <row r="316" spans="1:51" ht="15" customHeight="1" x14ac:dyDescent="0.25">
      <c r="A316" s="88">
        <f>Input!C117</f>
        <v>0</v>
      </c>
      <c r="B316" s="81">
        <v>1</v>
      </c>
      <c r="C316" s="399" t="s">
        <v>1108</v>
      </c>
      <c r="D316" s="259">
        <f t="shared" si="109"/>
        <v>0</v>
      </c>
      <c r="E316" s="260"/>
      <c r="F316" s="260"/>
      <c r="G316" s="260"/>
      <c r="H316" s="261"/>
      <c r="I316" s="262"/>
      <c r="J316" s="76">
        <f t="shared" si="107"/>
        <v>0</v>
      </c>
      <c r="K316" s="82" t="s">
        <v>114</v>
      </c>
      <c r="L316" s="1300"/>
      <c r="M316" s="1301"/>
      <c r="N316" s="91">
        <v>0</v>
      </c>
      <c r="O316" s="76">
        <f t="shared" si="108"/>
        <v>0</v>
      </c>
      <c r="P316" s="1310"/>
      <c r="Q316" s="1311"/>
      <c r="R316" s="1311"/>
      <c r="S316" s="1312"/>
      <c r="T316" s="180">
        <f t="shared" si="110"/>
        <v>0</v>
      </c>
      <c r="U316" s="1306"/>
      <c r="V316" s="1307"/>
      <c r="W316" s="122"/>
      <c r="X316" s="373"/>
      <c r="AF316" s="376"/>
      <c r="AN316" s="376"/>
      <c r="AV316" s="376"/>
    </row>
    <row r="317" spans="1:51" ht="15" customHeight="1" x14ac:dyDescent="0.25">
      <c r="A317" s="88">
        <f>Input!C118</f>
        <v>0</v>
      </c>
      <c r="B317" s="81">
        <v>1</v>
      </c>
      <c r="C317" s="399" t="s">
        <v>1109</v>
      </c>
      <c r="D317" s="259">
        <f t="shared" si="109"/>
        <v>0</v>
      </c>
      <c r="E317" s="260"/>
      <c r="F317" s="260"/>
      <c r="G317" s="260"/>
      <c r="H317" s="261"/>
      <c r="I317" s="262"/>
      <c r="J317" s="76">
        <f t="shared" si="107"/>
        <v>0</v>
      </c>
      <c r="K317" s="82" t="s">
        <v>114</v>
      </c>
      <c r="L317" s="1300"/>
      <c r="M317" s="1301"/>
      <c r="N317" s="91">
        <v>0</v>
      </c>
      <c r="O317" s="76">
        <f t="shared" si="108"/>
        <v>0</v>
      </c>
      <c r="P317" s="1310"/>
      <c r="Q317" s="1311"/>
      <c r="R317" s="1311"/>
      <c r="S317" s="1312"/>
      <c r="T317" s="180">
        <f t="shared" si="110"/>
        <v>0</v>
      </c>
      <c r="U317" s="1306"/>
      <c r="V317" s="1307"/>
      <c r="W317" s="122"/>
      <c r="X317" s="373"/>
      <c r="AF317" s="376"/>
      <c r="AN317" s="376"/>
      <c r="AV317" s="376"/>
    </row>
    <row r="318" spans="1:51" ht="15" customHeight="1" x14ac:dyDescent="0.25">
      <c r="A318" s="88">
        <f>Input!C119</f>
        <v>0</v>
      </c>
      <c r="B318" s="81">
        <v>1</v>
      </c>
      <c r="C318" s="399" t="s">
        <v>1110</v>
      </c>
      <c r="D318" s="259">
        <f t="shared" si="109"/>
        <v>0</v>
      </c>
      <c r="E318" s="260"/>
      <c r="F318" s="260"/>
      <c r="G318" s="260"/>
      <c r="H318" s="261"/>
      <c r="I318" s="262"/>
      <c r="J318" s="76">
        <f t="shared" si="107"/>
        <v>0</v>
      </c>
      <c r="K318" s="82" t="s">
        <v>114</v>
      </c>
      <c r="L318" s="1300"/>
      <c r="M318" s="1301"/>
      <c r="N318" s="91">
        <v>0</v>
      </c>
      <c r="O318" s="76">
        <f t="shared" si="108"/>
        <v>0</v>
      </c>
      <c r="P318" s="1310"/>
      <c r="Q318" s="1311"/>
      <c r="R318" s="1311"/>
      <c r="S318" s="1312"/>
      <c r="T318" s="180">
        <f t="shared" si="110"/>
        <v>0</v>
      </c>
      <c r="U318" s="1306"/>
      <c r="V318" s="1307"/>
      <c r="W318" s="122"/>
      <c r="X318" s="373"/>
      <c r="AF318" s="376"/>
      <c r="AN318" s="376"/>
      <c r="AV318" s="376"/>
    </row>
    <row r="319" spans="1:51" ht="15" customHeight="1" x14ac:dyDescent="0.25">
      <c r="A319" s="88">
        <f>Input!C120</f>
        <v>0</v>
      </c>
      <c r="B319" s="81">
        <v>1</v>
      </c>
      <c r="C319" s="399" t="s">
        <v>1111</v>
      </c>
      <c r="D319" s="259">
        <f t="shared" si="109"/>
        <v>0</v>
      </c>
      <c r="E319" s="260"/>
      <c r="F319" s="260"/>
      <c r="G319" s="260"/>
      <c r="H319" s="261"/>
      <c r="I319" s="262"/>
      <c r="J319" s="76">
        <f t="shared" si="107"/>
        <v>0</v>
      </c>
      <c r="K319" s="82" t="s">
        <v>114</v>
      </c>
      <c r="L319" s="1300"/>
      <c r="M319" s="1301"/>
      <c r="N319" s="91">
        <v>0</v>
      </c>
      <c r="O319" s="76">
        <f t="shared" si="108"/>
        <v>0</v>
      </c>
      <c r="P319" s="1310"/>
      <c r="Q319" s="1311"/>
      <c r="R319" s="1311"/>
      <c r="S319" s="1312"/>
      <c r="T319" s="180">
        <f t="shared" si="110"/>
        <v>0</v>
      </c>
      <c r="U319" s="1306"/>
      <c r="V319" s="1307"/>
      <c r="W319" s="122"/>
      <c r="X319" s="373"/>
      <c r="AF319" s="376"/>
      <c r="AN319" s="376"/>
      <c r="AV319" s="376"/>
    </row>
    <row r="320" spans="1:51" ht="15" customHeight="1" x14ac:dyDescent="0.25">
      <c r="A320" s="88">
        <f>Input!C121</f>
        <v>0</v>
      </c>
      <c r="B320" s="81">
        <v>1</v>
      </c>
      <c r="C320" s="399" t="s">
        <v>1112</v>
      </c>
      <c r="D320" s="259">
        <f t="shared" si="109"/>
        <v>0</v>
      </c>
      <c r="E320" s="260"/>
      <c r="F320" s="260"/>
      <c r="G320" s="260"/>
      <c r="H320" s="261"/>
      <c r="I320" s="262"/>
      <c r="J320" s="76">
        <f t="shared" si="107"/>
        <v>0</v>
      </c>
      <c r="K320" s="82" t="s">
        <v>114</v>
      </c>
      <c r="L320" s="1300"/>
      <c r="M320" s="1301"/>
      <c r="N320" s="91">
        <v>0</v>
      </c>
      <c r="O320" s="76">
        <f t="shared" si="108"/>
        <v>0</v>
      </c>
      <c r="P320" s="1310"/>
      <c r="Q320" s="1311"/>
      <c r="R320" s="1311"/>
      <c r="S320" s="1312"/>
      <c r="T320" s="180">
        <f t="shared" si="110"/>
        <v>0</v>
      </c>
      <c r="U320" s="1306"/>
      <c r="V320" s="1307"/>
      <c r="W320" s="122"/>
      <c r="X320" s="373"/>
      <c r="AF320" s="376"/>
      <c r="AN320" s="376"/>
      <c r="AV320" s="376"/>
    </row>
    <row r="321" spans="1:48" ht="15" customHeight="1" x14ac:dyDescent="0.25">
      <c r="A321" s="88">
        <f>Input!C122</f>
        <v>0</v>
      </c>
      <c r="B321" s="81">
        <v>1</v>
      </c>
      <c r="C321" s="75" t="str">
        <f>Input!A122</f>
        <v>Select Self Adhearing Membrane</v>
      </c>
      <c r="D321" s="259">
        <f>A321/B321</f>
        <v>0</v>
      </c>
      <c r="E321" s="260"/>
      <c r="F321" s="260"/>
      <c r="G321" s="260"/>
      <c r="H321" s="261">
        <v>1.1000000000000001</v>
      </c>
      <c r="I321" s="262"/>
      <c r="J321" s="76">
        <f t="shared" si="107"/>
        <v>0</v>
      </c>
      <c r="K321" s="82" t="s">
        <v>1178</v>
      </c>
      <c r="L321" s="1300"/>
      <c r="M321" s="1301"/>
      <c r="N321" s="91">
        <f>VLOOKUP(C321,Input!BD65:BE73,2,FALSE)</f>
        <v>0</v>
      </c>
      <c r="O321" s="76">
        <f t="shared" si="108"/>
        <v>0</v>
      </c>
      <c r="P321" s="1310"/>
      <c r="Q321" s="1311"/>
      <c r="R321" s="1311"/>
      <c r="S321" s="1312"/>
      <c r="T321" s="180">
        <f t="shared" si="110"/>
        <v>0</v>
      </c>
      <c r="U321" s="1306"/>
      <c r="V321" s="1307"/>
      <c r="W321" s="122"/>
      <c r="X321" s="373"/>
      <c r="AF321" s="376"/>
      <c r="AN321" s="376"/>
      <c r="AV321" s="376"/>
    </row>
    <row r="322" spans="1:48" ht="15" customHeight="1" x14ac:dyDescent="0.25">
      <c r="A322" s="88">
        <f>Input!C123</f>
        <v>0</v>
      </c>
      <c r="B322" s="81">
        <v>1</v>
      </c>
      <c r="C322" s="399" t="s">
        <v>1113</v>
      </c>
      <c r="D322" s="259">
        <f t="shared" si="109"/>
        <v>0</v>
      </c>
      <c r="E322" s="260"/>
      <c r="F322" s="260"/>
      <c r="G322" s="260"/>
      <c r="H322" s="261"/>
      <c r="I322" s="262"/>
      <c r="J322" s="76">
        <f t="shared" si="107"/>
        <v>0</v>
      </c>
      <c r="K322" s="82" t="s">
        <v>114</v>
      </c>
      <c r="L322" s="1300"/>
      <c r="M322" s="1301"/>
      <c r="N322" s="91">
        <v>0</v>
      </c>
      <c r="O322" s="76">
        <f t="shared" si="108"/>
        <v>0</v>
      </c>
      <c r="P322" s="1310"/>
      <c r="Q322" s="1311"/>
      <c r="R322" s="1311"/>
      <c r="S322" s="1312"/>
      <c r="T322" s="180">
        <f t="shared" si="110"/>
        <v>0</v>
      </c>
      <c r="U322" s="1306"/>
      <c r="V322" s="1307"/>
      <c r="W322" s="122"/>
      <c r="X322" s="373"/>
      <c r="AF322" s="376"/>
      <c r="AN322" s="376"/>
      <c r="AV322" s="376"/>
    </row>
    <row r="323" spans="1:48" ht="15" customHeight="1" x14ac:dyDescent="0.25">
      <c r="A323" s="88">
        <f>Input!C124</f>
        <v>0</v>
      </c>
      <c r="B323" s="81">
        <v>1</v>
      </c>
      <c r="C323" s="399" t="s">
        <v>1114</v>
      </c>
      <c r="D323" s="259">
        <f t="shared" si="109"/>
        <v>0</v>
      </c>
      <c r="E323" s="260"/>
      <c r="F323" s="260"/>
      <c r="G323" s="260"/>
      <c r="H323" s="261"/>
      <c r="I323" s="262"/>
      <c r="J323" s="76">
        <f t="shared" si="107"/>
        <v>0</v>
      </c>
      <c r="K323" s="82" t="s">
        <v>114</v>
      </c>
      <c r="L323" s="1300"/>
      <c r="M323" s="1301"/>
      <c r="N323" s="91">
        <v>0</v>
      </c>
      <c r="O323" s="76">
        <f t="shared" si="108"/>
        <v>0</v>
      </c>
      <c r="P323" s="1310"/>
      <c r="Q323" s="1311"/>
      <c r="R323" s="1311"/>
      <c r="S323" s="1312"/>
      <c r="T323" s="180">
        <f t="shared" si="110"/>
        <v>0</v>
      </c>
      <c r="U323" s="1306"/>
      <c r="V323" s="1307"/>
      <c r="W323" s="122"/>
      <c r="X323" s="373"/>
      <c r="AF323" s="376"/>
      <c r="AN323" s="376"/>
      <c r="AV323" s="376"/>
    </row>
    <row r="324" spans="1:48" ht="15" customHeight="1" x14ac:dyDescent="0.25">
      <c r="A324" s="88">
        <f>Input!C125</f>
        <v>0</v>
      </c>
      <c r="B324" s="81">
        <v>1</v>
      </c>
      <c r="C324" s="399" t="s">
        <v>1115</v>
      </c>
      <c r="D324" s="259">
        <f t="shared" si="109"/>
        <v>0</v>
      </c>
      <c r="E324" s="260"/>
      <c r="F324" s="260"/>
      <c r="G324" s="260"/>
      <c r="H324" s="261"/>
      <c r="I324" s="262"/>
      <c r="J324" s="76">
        <f t="shared" si="107"/>
        <v>0</v>
      </c>
      <c r="K324" s="82" t="s">
        <v>114</v>
      </c>
      <c r="L324" s="1300"/>
      <c r="M324" s="1301"/>
      <c r="N324" s="91">
        <v>0</v>
      </c>
      <c r="O324" s="76">
        <f t="shared" si="108"/>
        <v>0</v>
      </c>
      <c r="P324" s="1310"/>
      <c r="Q324" s="1311"/>
      <c r="R324" s="1311"/>
      <c r="S324" s="1312"/>
      <c r="T324" s="180">
        <f t="shared" si="110"/>
        <v>0</v>
      </c>
      <c r="U324" s="1306"/>
      <c r="V324" s="1307"/>
      <c r="W324" s="122"/>
      <c r="X324" s="373"/>
      <c r="AF324" s="376"/>
      <c r="AN324" s="376"/>
      <c r="AV324" s="376"/>
    </row>
    <row r="325" spans="1:48" ht="15" customHeight="1" x14ac:dyDescent="0.25">
      <c r="A325" s="88">
        <f>Input!C126</f>
        <v>0</v>
      </c>
      <c r="B325" s="81">
        <v>1</v>
      </c>
      <c r="C325" s="399" t="s">
        <v>1116</v>
      </c>
      <c r="D325" s="259">
        <f t="shared" si="109"/>
        <v>0</v>
      </c>
      <c r="E325" s="260"/>
      <c r="F325" s="260"/>
      <c r="G325" s="260"/>
      <c r="H325" s="261"/>
      <c r="I325" s="262"/>
      <c r="J325" s="76">
        <f t="shared" ref="J325" si="111">IF(D325&lt;&gt;0,D325,0)*IF(E325&lt;&gt;0,E325,1)*IF(F325&lt;&gt;0,F325,1)*IF(G325&lt;&gt;0,G325,1)*IF(H325&lt;&gt;0,H325,1)/IF(I325&lt;&gt;0,I325,1)</f>
        <v>0</v>
      </c>
      <c r="K325" s="82" t="s">
        <v>114</v>
      </c>
      <c r="L325" s="1300"/>
      <c r="M325" s="1301"/>
      <c r="N325" s="91">
        <v>0</v>
      </c>
      <c r="O325" s="76">
        <f t="shared" ref="O325" si="112">ROUND(J325*N325,0)</f>
        <v>0</v>
      </c>
      <c r="P325" s="1310"/>
      <c r="Q325" s="1311"/>
      <c r="R325" s="1311"/>
      <c r="S325" s="1312"/>
      <c r="T325" s="180">
        <f t="shared" ref="T325" si="113">ROUND(M325+O325+Q325+S325,0)</f>
        <v>0</v>
      </c>
      <c r="U325" s="1306"/>
      <c r="V325" s="1307"/>
      <c r="W325" s="122"/>
      <c r="X325" s="373"/>
      <c r="AF325" s="376"/>
      <c r="AN325" s="376"/>
      <c r="AV325" s="376"/>
    </row>
    <row r="326" spans="1:48" ht="15" customHeight="1" x14ac:dyDescent="0.25">
      <c r="A326" s="88">
        <f>Input!C127</f>
        <v>0</v>
      </c>
      <c r="B326" s="81">
        <v>1</v>
      </c>
      <c r="C326" s="399" t="s">
        <v>1117</v>
      </c>
      <c r="D326" s="259">
        <f t="shared" si="109"/>
        <v>0</v>
      </c>
      <c r="E326" s="260"/>
      <c r="F326" s="260"/>
      <c r="G326" s="260"/>
      <c r="H326" s="261"/>
      <c r="I326" s="262"/>
      <c r="J326" s="76">
        <f t="shared" si="107"/>
        <v>0</v>
      </c>
      <c r="K326" s="82" t="s">
        <v>114</v>
      </c>
      <c r="L326" s="1300"/>
      <c r="M326" s="1301"/>
      <c r="N326" s="91">
        <v>0</v>
      </c>
      <c r="O326" s="76">
        <f t="shared" si="108"/>
        <v>0</v>
      </c>
      <c r="P326" s="1310"/>
      <c r="Q326" s="1311"/>
      <c r="R326" s="1311"/>
      <c r="S326" s="1312"/>
      <c r="T326" s="180">
        <f t="shared" si="110"/>
        <v>0</v>
      </c>
      <c r="U326" s="1306"/>
      <c r="V326" s="1307"/>
      <c r="W326" s="122"/>
      <c r="X326" s="373"/>
      <c r="AF326" s="376"/>
      <c r="AN326" s="376"/>
      <c r="AV326" s="376"/>
    </row>
    <row r="327" spans="1:48" ht="15" customHeight="1" x14ac:dyDescent="0.25">
      <c r="A327" s="88">
        <f>Input!C128</f>
        <v>0</v>
      </c>
      <c r="B327" s="81">
        <v>1</v>
      </c>
      <c r="C327" s="399" t="s">
        <v>1118</v>
      </c>
      <c r="D327" s="259">
        <f t="shared" si="109"/>
        <v>0</v>
      </c>
      <c r="E327" s="260"/>
      <c r="F327" s="260"/>
      <c r="G327" s="260"/>
      <c r="H327" s="261"/>
      <c r="I327" s="262"/>
      <c r="J327" s="76">
        <f t="shared" ref="J327:J331" si="114">IF(D327&lt;&gt;0,D327,0)*IF(E327&lt;&gt;0,E327,1)*IF(F327&lt;&gt;0,F327,1)*IF(G327&lt;&gt;0,G327,1)*IF(H327&lt;&gt;0,H327,1)/IF(I327&lt;&gt;0,I327,1)</f>
        <v>0</v>
      </c>
      <c r="K327" s="82" t="s">
        <v>114</v>
      </c>
      <c r="L327" s="1300"/>
      <c r="M327" s="1301"/>
      <c r="N327" s="91">
        <v>0</v>
      </c>
      <c r="O327" s="76">
        <f t="shared" ref="O327:O331" si="115">ROUND(J327*N327,0)</f>
        <v>0</v>
      </c>
      <c r="P327" s="1310"/>
      <c r="Q327" s="1311"/>
      <c r="R327" s="1311"/>
      <c r="S327" s="1312"/>
      <c r="T327" s="180">
        <f t="shared" ref="T327:T331" si="116">ROUND(M327+O327+Q327+S327,0)</f>
        <v>0</v>
      </c>
      <c r="U327" s="1306"/>
      <c r="V327" s="1307"/>
      <c r="W327" s="122"/>
      <c r="X327" s="373"/>
      <c r="AF327" s="376"/>
      <c r="AN327" s="376"/>
      <c r="AV327" s="376"/>
    </row>
    <row r="328" spans="1:48" ht="15" customHeight="1" x14ac:dyDescent="0.25">
      <c r="A328" s="88">
        <f>Input!C129</f>
        <v>0</v>
      </c>
      <c r="B328" s="81">
        <v>1</v>
      </c>
      <c r="C328" s="399" t="s">
        <v>1119</v>
      </c>
      <c r="D328" s="259">
        <f t="shared" si="109"/>
        <v>0</v>
      </c>
      <c r="E328" s="260"/>
      <c r="F328" s="260"/>
      <c r="G328" s="260"/>
      <c r="H328" s="261"/>
      <c r="I328" s="262"/>
      <c r="J328" s="76">
        <f t="shared" si="114"/>
        <v>0</v>
      </c>
      <c r="K328" s="82" t="s">
        <v>114</v>
      </c>
      <c r="L328" s="1300"/>
      <c r="M328" s="1301"/>
      <c r="N328" s="91">
        <v>0</v>
      </c>
      <c r="O328" s="76">
        <f t="shared" si="115"/>
        <v>0</v>
      </c>
      <c r="P328" s="1310"/>
      <c r="Q328" s="1311"/>
      <c r="R328" s="1311"/>
      <c r="S328" s="1312"/>
      <c r="T328" s="180">
        <f t="shared" si="116"/>
        <v>0</v>
      </c>
      <c r="U328" s="1306"/>
      <c r="V328" s="1307"/>
      <c r="W328" s="122"/>
      <c r="X328" s="373"/>
      <c r="AF328" s="376"/>
      <c r="AN328" s="376"/>
      <c r="AV328" s="376"/>
    </row>
    <row r="329" spans="1:48" ht="15" customHeight="1" x14ac:dyDescent="0.25">
      <c r="A329" s="88">
        <f>Input!C130</f>
        <v>0</v>
      </c>
      <c r="B329" s="81">
        <v>1</v>
      </c>
      <c r="C329" s="399" t="s">
        <v>1120</v>
      </c>
      <c r="D329" s="259">
        <f t="shared" si="109"/>
        <v>0</v>
      </c>
      <c r="E329" s="260"/>
      <c r="F329" s="260"/>
      <c r="G329" s="260"/>
      <c r="H329" s="261"/>
      <c r="I329" s="262"/>
      <c r="J329" s="76">
        <f t="shared" si="114"/>
        <v>0</v>
      </c>
      <c r="K329" s="82" t="s">
        <v>114</v>
      </c>
      <c r="L329" s="1300"/>
      <c r="M329" s="1301"/>
      <c r="N329" s="91">
        <v>0</v>
      </c>
      <c r="O329" s="76">
        <f t="shared" si="115"/>
        <v>0</v>
      </c>
      <c r="P329" s="1310"/>
      <c r="Q329" s="1311"/>
      <c r="R329" s="1311"/>
      <c r="S329" s="1312"/>
      <c r="T329" s="180">
        <f t="shared" si="116"/>
        <v>0</v>
      </c>
      <c r="U329" s="1306"/>
      <c r="V329" s="1307"/>
      <c r="W329" s="122"/>
      <c r="X329" s="373"/>
      <c r="AF329" s="376"/>
      <c r="AN329" s="376"/>
      <c r="AV329" s="376"/>
    </row>
    <row r="330" spans="1:48" ht="15" customHeight="1" x14ac:dyDescent="0.25">
      <c r="A330" s="88">
        <f>Input!C131</f>
        <v>0</v>
      </c>
      <c r="B330" s="81">
        <v>1</v>
      </c>
      <c r="C330" s="75" t="s">
        <v>35</v>
      </c>
      <c r="D330" s="259">
        <f t="shared" si="109"/>
        <v>0</v>
      </c>
      <c r="E330" s="260"/>
      <c r="F330" s="260"/>
      <c r="G330" s="260"/>
      <c r="H330" s="261"/>
      <c r="I330" s="262">
        <v>250</v>
      </c>
      <c r="J330" s="76">
        <f t="shared" si="114"/>
        <v>0</v>
      </c>
      <c r="K330" s="82" t="s">
        <v>177</v>
      </c>
      <c r="L330" s="1300"/>
      <c r="M330" s="1301"/>
      <c r="N330" s="79">
        <v>47.7</v>
      </c>
      <c r="O330" s="76">
        <f t="shared" si="115"/>
        <v>0</v>
      </c>
      <c r="P330" s="1310"/>
      <c r="Q330" s="1311"/>
      <c r="R330" s="1311"/>
      <c r="S330" s="1312"/>
      <c r="T330" s="180">
        <f t="shared" si="116"/>
        <v>0</v>
      </c>
      <c r="U330" s="1306"/>
      <c r="V330" s="1307"/>
      <c r="W330" s="122"/>
      <c r="X330" s="373"/>
      <c r="AF330" s="376"/>
      <c r="AN330" s="376"/>
      <c r="AV330" s="376"/>
    </row>
    <row r="331" spans="1:48" ht="15" customHeight="1" x14ac:dyDescent="0.25">
      <c r="A331" s="88">
        <f>Input!C132</f>
        <v>0</v>
      </c>
      <c r="B331" s="81">
        <v>1</v>
      </c>
      <c r="C331" s="399" t="s">
        <v>270</v>
      </c>
      <c r="D331" s="259">
        <f t="shared" si="109"/>
        <v>0</v>
      </c>
      <c r="E331" s="260"/>
      <c r="F331" s="260"/>
      <c r="G331" s="260"/>
      <c r="H331" s="261"/>
      <c r="I331" s="262"/>
      <c r="J331" s="76">
        <f t="shared" si="114"/>
        <v>0</v>
      </c>
      <c r="K331" s="82" t="s">
        <v>114</v>
      </c>
      <c r="L331" s="1302"/>
      <c r="M331" s="1303"/>
      <c r="N331" s="79">
        <f>N270</f>
        <v>9.0299999999999994</v>
      </c>
      <c r="O331" s="76">
        <f t="shared" si="115"/>
        <v>0</v>
      </c>
      <c r="P331" s="1313"/>
      <c r="Q331" s="1314"/>
      <c r="R331" s="1314"/>
      <c r="S331" s="1315"/>
      <c r="T331" s="180">
        <f t="shared" si="116"/>
        <v>0</v>
      </c>
      <c r="U331" s="1308"/>
      <c r="V331" s="1309"/>
      <c r="W331" s="122"/>
      <c r="X331" s="373"/>
      <c r="AF331" s="376"/>
      <c r="AN331" s="376"/>
      <c r="AV331" s="376"/>
    </row>
    <row r="332" spans="1:48" ht="15" customHeight="1" x14ac:dyDescent="0.25">
      <c r="A332" s="1013"/>
      <c r="B332" s="1201"/>
      <c r="C332" s="1202" t="s">
        <v>25</v>
      </c>
      <c r="D332" s="1011"/>
      <c r="E332" s="1011"/>
      <c r="F332" s="1011"/>
      <c r="G332" s="1011"/>
      <c r="H332" s="1011"/>
      <c r="I332" s="1011"/>
      <c r="J332" s="1011"/>
      <c r="K332" s="1011"/>
      <c r="L332" s="1011"/>
      <c r="M332" s="1011"/>
      <c r="N332" s="1011"/>
      <c r="O332" s="1011"/>
      <c r="P332" s="1011"/>
      <c r="Q332" s="1011"/>
      <c r="R332" s="1011"/>
      <c r="S332" s="1011"/>
      <c r="T332" s="1012"/>
      <c r="U332" s="386">
        <f>SUM(T333:T352)</f>
        <v>0</v>
      </c>
      <c r="V332" s="299">
        <f>U332/D353</f>
        <v>0</v>
      </c>
      <c r="W332" s="122"/>
      <c r="X332" s="373"/>
      <c r="AF332" s="376"/>
      <c r="AN332" s="376"/>
      <c r="AV332" s="376"/>
    </row>
    <row r="333" spans="1:48" ht="15" customHeight="1" x14ac:dyDescent="0.25">
      <c r="A333" s="1188"/>
      <c r="B333" s="1349"/>
      <c r="C333" s="399" t="s">
        <v>1101</v>
      </c>
      <c r="D333" s="259">
        <f>D309</f>
        <v>0</v>
      </c>
      <c r="E333" s="260"/>
      <c r="F333" s="260"/>
      <c r="G333" s="260"/>
      <c r="H333" s="261"/>
      <c r="I333" s="262"/>
      <c r="J333" s="89">
        <f t="shared" ref="J333:J342" si="117">IF(D333&lt;&gt;0,D333,0)*IF(E333&lt;&gt;0,E333,1)*IF(F333&lt;&gt;0,F333,1)*IF(G333&lt;&gt;0,G333,1)*IF(H333&lt;&gt;0,H333,1)/IF(I333&lt;&gt;0,I333,1)</f>
        <v>0</v>
      </c>
      <c r="K333" s="90" t="s">
        <v>114</v>
      </c>
      <c r="L333" s="1224"/>
      <c r="M333" s="89">
        <f t="shared" ref="M333:M342" si="118">ROUND(J333*L333,0)</f>
        <v>0</v>
      </c>
      <c r="N333" s="285">
        <v>15</v>
      </c>
      <c r="O333" s="89">
        <f t="shared" ref="O333:O342" si="119">ROUND(J333*N333,0)</f>
        <v>0</v>
      </c>
      <c r="P333" s="1224"/>
      <c r="Q333" s="89">
        <f t="shared" ref="Q333:Q342" si="120">ROUND(J333*P333,0)</f>
        <v>0</v>
      </c>
      <c r="R333" s="1224"/>
      <c r="S333" s="89">
        <f t="shared" ref="S333:S342" si="121">ROUND(J333*R333,0)</f>
        <v>0</v>
      </c>
      <c r="T333" s="387">
        <f t="shared" ref="T333:T342" si="122">ROUND(M333+O333+Q333+S333,0)</f>
        <v>0</v>
      </c>
      <c r="U333" s="1316" t="s">
        <v>1177</v>
      </c>
      <c r="V333" s="1317"/>
      <c r="W333" s="122"/>
      <c r="X333" s="373"/>
      <c r="AF333" s="376"/>
      <c r="AN333" s="376"/>
      <c r="AV333" s="376"/>
    </row>
    <row r="334" spans="1:48" ht="15" customHeight="1" x14ac:dyDescent="0.25">
      <c r="A334" s="1350"/>
      <c r="B334" s="1351"/>
      <c r="C334" s="399" t="s">
        <v>1102</v>
      </c>
      <c r="D334" s="259">
        <f t="shared" ref="D334:D344" si="123">D310</f>
        <v>0</v>
      </c>
      <c r="E334" s="260"/>
      <c r="F334" s="260"/>
      <c r="G334" s="260"/>
      <c r="H334" s="261"/>
      <c r="I334" s="262"/>
      <c r="J334" s="76">
        <f t="shared" si="117"/>
        <v>0</v>
      </c>
      <c r="K334" s="82" t="s">
        <v>114</v>
      </c>
      <c r="L334" s="1225"/>
      <c r="M334" s="76">
        <f t="shared" si="118"/>
        <v>0</v>
      </c>
      <c r="N334" s="285">
        <v>15</v>
      </c>
      <c r="O334" s="76">
        <f t="shared" si="119"/>
        <v>0</v>
      </c>
      <c r="P334" s="1225"/>
      <c r="Q334" s="76">
        <f t="shared" si="120"/>
        <v>0</v>
      </c>
      <c r="R334" s="1225"/>
      <c r="S334" s="76">
        <f t="shared" si="121"/>
        <v>0</v>
      </c>
      <c r="T334" s="180">
        <f t="shared" si="122"/>
        <v>0</v>
      </c>
      <c r="U334" s="1318"/>
      <c r="V334" s="1319"/>
      <c r="W334" s="122"/>
      <c r="X334" s="373"/>
      <c r="AF334" s="376"/>
      <c r="AN334" s="376"/>
      <c r="AV334" s="376"/>
    </row>
    <row r="335" spans="1:48" ht="15" customHeight="1" x14ac:dyDescent="0.25">
      <c r="A335" s="1350"/>
      <c r="B335" s="1351"/>
      <c r="C335" s="399" t="s">
        <v>1103</v>
      </c>
      <c r="D335" s="259">
        <f t="shared" si="123"/>
        <v>0</v>
      </c>
      <c r="E335" s="260"/>
      <c r="F335" s="260"/>
      <c r="G335" s="260"/>
      <c r="H335" s="261"/>
      <c r="I335" s="262"/>
      <c r="J335" s="76">
        <f t="shared" si="117"/>
        <v>0</v>
      </c>
      <c r="K335" s="82" t="s">
        <v>114</v>
      </c>
      <c r="L335" s="1225"/>
      <c r="M335" s="76">
        <f t="shared" si="118"/>
        <v>0</v>
      </c>
      <c r="N335" s="285">
        <v>15</v>
      </c>
      <c r="O335" s="76">
        <f t="shared" si="119"/>
        <v>0</v>
      </c>
      <c r="P335" s="1225"/>
      <c r="Q335" s="76">
        <f t="shared" si="120"/>
        <v>0</v>
      </c>
      <c r="R335" s="1225"/>
      <c r="S335" s="76">
        <f t="shared" si="121"/>
        <v>0</v>
      </c>
      <c r="T335" s="180">
        <f t="shared" si="122"/>
        <v>0</v>
      </c>
      <c r="U335" s="1318"/>
      <c r="V335" s="1319"/>
      <c r="W335" s="122"/>
      <c r="X335" s="373"/>
      <c r="AF335" s="376"/>
      <c r="AN335" s="376"/>
      <c r="AV335" s="376"/>
    </row>
    <row r="336" spans="1:48" ht="15" customHeight="1" x14ac:dyDescent="0.25">
      <c r="A336" s="1350"/>
      <c r="B336" s="1351"/>
      <c r="C336" s="399" t="s">
        <v>1104</v>
      </c>
      <c r="D336" s="259">
        <f t="shared" si="123"/>
        <v>0</v>
      </c>
      <c r="E336" s="260"/>
      <c r="F336" s="260"/>
      <c r="G336" s="260"/>
      <c r="H336" s="261"/>
      <c r="I336" s="262"/>
      <c r="J336" s="76">
        <f t="shared" si="117"/>
        <v>0</v>
      </c>
      <c r="K336" s="82" t="s">
        <v>114</v>
      </c>
      <c r="L336" s="1225"/>
      <c r="M336" s="76">
        <f t="shared" si="118"/>
        <v>0</v>
      </c>
      <c r="N336" s="285">
        <v>15</v>
      </c>
      <c r="O336" s="76">
        <f t="shared" si="119"/>
        <v>0</v>
      </c>
      <c r="P336" s="1225"/>
      <c r="Q336" s="76">
        <f t="shared" si="120"/>
        <v>0</v>
      </c>
      <c r="R336" s="1225"/>
      <c r="S336" s="76">
        <f t="shared" si="121"/>
        <v>0</v>
      </c>
      <c r="T336" s="180">
        <f t="shared" si="122"/>
        <v>0</v>
      </c>
      <c r="U336" s="1318"/>
      <c r="V336" s="1319"/>
      <c r="W336" s="122"/>
      <c r="X336" s="373"/>
      <c r="AF336" s="376"/>
      <c r="AN336" s="376"/>
      <c r="AV336" s="376"/>
    </row>
    <row r="337" spans="1:55" ht="15" customHeight="1" x14ac:dyDescent="0.25">
      <c r="A337" s="1350"/>
      <c r="B337" s="1351"/>
      <c r="C337" s="399" t="s">
        <v>1105</v>
      </c>
      <c r="D337" s="259">
        <f t="shared" si="123"/>
        <v>0</v>
      </c>
      <c r="E337" s="260"/>
      <c r="F337" s="260"/>
      <c r="G337" s="260"/>
      <c r="H337" s="261"/>
      <c r="I337" s="262"/>
      <c r="J337" s="76">
        <f t="shared" si="117"/>
        <v>0</v>
      </c>
      <c r="K337" s="82" t="s">
        <v>114</v>
      </c>
      <c r="L337" s="1225"/>
      <c r="M337" s="76">
        <f t="shared" si="118"/>
        <v>0</v>
      </c>
      <c r="N337" s="285">
        <v>15</v>
      </c>
      <c r="O337" s="76">
        <f t="shared" si="119"/>
        <v>0</v>
      </c>
      <c r="P337" s="1225"/>
      <c r="Q337" s="76">
        <f t="shared" si="120"/>
        <v>0</v>
      </c>
      <c r="R337" s="1225"/>
      <c r="S337" s="76">
        <f t="shared" si="121"/>
        <v>0</v>
      </c>
      <c r="T337" s="180">
        <f t="shared" si="122"/>
        <v>0</v>
      </c>
      <c r="U337" s="1318"/>
      <c r="V337" s="1319"/>
      <c r="W337" s="122"/>
      <c r="X337" s="373"/>
      <c r="AF337" s="376"/>
      <c r="AN337" s="376"/>
      <c r="AV337" s="376"/>
    </row>
    <row r="338" spans="1:55" ht="15" customHeight="1" x14ac:dyDescent="0.25">
      <c r="A338" s="1350"/>
      <c r="B338" s="1351"/>
      <c r="C338" s="399" t="s">
        <v>1106</v>
      </c>
      <c r="D338" s="259">
        <f t="shared" si="123"/>
        <v>0</v>
      </c>
      <c r="E338" s="260"/>
      <c r="F338" s="260"/>
      <c r="G338" s="260"/>
      <c r="H338" s="261"/>
      <c r="I338" s="262"/>
      <c r="J338" s="76">
        <f t="shared" si="117"/>
        <v>0</v>
      </c>
      <c r="K338" s="82" t="s">
        <v>114</v>
      </c>
      <c r="L338" s="1225"/>
      <c r="M338" s="76">
        <f t="shared" si="118"/>
        <v>0</v>
      </c>
      <c r="N338" s="285">
        <v>15</v>
      </c>
      <c r="O338" s="76">
        <f t="shared" si="119"/>
        <v>0</v>
      </c>
      <c r="P338" s="1225"/>
      <c r="Q338" s="76">
        <f t="shared" si="120"/>
        <v>0</v>
      </c>
      <c r="R338" s="1225"/>
      <c r="S338" s="76">
        <f t="shared" si="121"/>
        <v>0</v>
      </c>
      <c r="T338" s="180">
        <f t="shared" si="122"/>
        <v>0</v>
      </c>
      <c r="U338" s="1318"/>
      <c r="V338" s="1319"/>
      <c r="W338" s="122"/>
      <c r="X338" s="373"/>
      <c r="AF338" s="376"/>
      <c r="AN338" s="376"/>
      <c r="AV338" s="376"/>
    </row>
    <row r="339" spans="1:55" ht="15" customHeight="1" x14ac:dyDescent="0.25">
      <c r="A339" s="1350"/>
      <c r="B339" s="1351"/>
      <c r="C339" s="399" t="s">
        <v>1107</v>
      </c>
      <c r="D339" s="259">
        <f t="shared" si="123"/>
        <v>0</v>
      </c>
      <c r="E339" s="260"/>
      <c r="F339" s="260"/>
      <c r="G339" s="260"/>
      <c r="H339" s="261"/>
      <c r="I339" s="262"/>
      <c r="J339" s="76">
        <f t="shared" si="117"/>
        <v>0</v>
      </c>
      <c r="K339" s="82" t="s">
        <v>114</v>
      </c>
      <c r="L339" s="1225"/>
      <c r="M339" s="76">
        <f t="shared" si="118"/>
        <v>0</v>
      </c>
      <c r="N339" s="285">
        <v>15</v>
      </c>
      <c r="O339" s="76">
        <f t="shared" si="119"/>
        <v>0</v>
      </c>
      <c r="P339" s="1225"/>
      <c r="Q339" s="76">
        <f t="shared" si="120"/>
        <v>0</v>
      </c>
      <c r="R339" s="1225"/>
      <c r="S339" s="76">
        <f t="shared" si="121"/>
        <v>0</v>
      </c>
      <c r="T339" s="180">
        <f t="shared" si="122"/>
        <v>0</v>
      </c>
      <c r="U339" s="1318"/>
      <c r="V339" s="1319"/>
      <c r="W339" s="122"/>
      <c r="X339" s="373"/>
      <c r="AF339" s="376"/>
      <c r="AN339" s="376"/>
      <c r="AV339" s="376"/>
    </row>
    <row r="340" spans="1:55" ht="15" customHeight="1" x14ac:dyDescent="0.25">
      <c r="A340" s="1350"/>
      <c r="B340" s="1351"/>
      <c r="C340" s="399" t="s">
        <v>1108</v>
      </c>
      <c r="D340" s="259">
        <f t="shared" si="123"/>
        <v>0</v>
      </c>
      <c r="E340" s="260"/>
      <c r="F340" s="260"/>
      <c r="G340" s="260"/>
      <c r="H340" s="261"/>
      <c r="I340" s="262"/>
      <c r="J340" s="76">
        <f t="shared" si="117"/>
        <v>0</v>
      </c>
      <c r="K340" s="82" t="s">
        <v>114</v>
      </c>
      <c r="L340" s="1225"/>
      <c r="M340" s="76">
        <f t="shared" si="118"/>
        <v>0</v>
      </c>
      <c r="N340" s="285">
        <v>15</v>
      </c>
      <c r="O340" s="76">
        <f t="shared" si="119"/>
        <v>0</v>
      </c>
      <c r="P340" s="1225"/>
      <c r="Q340" s="76">
        <f t="shared" si="120"/>
        <v>0</v>
      </c>
      <c r="R340" s="1225"/>
      <c r="S340" s="76">
        <f t="shared" si="121"/>
        <v>0</v>
      </c>
      <c r="T340" s="180">
        <f t="shared" si="122"/>
        <v>0</v>
      </c>
      <c r="U340" s="1318"/>
      <c r="V340" s="1319"/>
      <c r="W340" s="122"/>
      <c r="X340" s="373"/>
      <c r="AF340" s="376"/>
      <c r="AN340" s="376"/>
      <c r="AV340" s="376"/>
    </row>
    <row r="341" spans="1:55" ht="15" customHeight="1" x14ac:dyDescent="0.25">
      <c r="A341" s="1350"/>
      <c r="B341" s="1351"/>
      <c r="C341" s="399" t="s">
        <v>1109</v>
      </c>
      <c r="D341" s="259">
        <f t="shared" si="123"/>
        <v>0</v>
      </c>
      <c r="E341" s="260"/>
      <c r="F341" s="260"/>
      <c r="G341" s="260"/>
      <c r="H341" s="261"/>
      <c r="I341" s="262"/>
      <c r="J341" s="76">
        <f t="shared" si="117"/>
        <v>0</v>
      </c>
      <c r="K341" s="82" t="s">
        <v>114</v>
      </c>
      <c r="L341" s="1225"/>
      <c r="M341" s="76">
        <f t="shared" si="118"/>
        <v>0</v>
      </c>
      <c r="N341" s="285">
        <v>15</v>
      </c>
      <c r="O341" s="76">
        <f t="shared" si="119"/>
        <v>0</v>
      </c>
      <c r="P341" s="1225"/>
      <c r="Q341" s="76">
        <f t="shared" si="120"/>
        <v>0</v>
      </c>
      <c r="R341" s="1225"/>
      <c r="S341" s="76">
        <f t="shared" si="121"/>
        <v>0</v>
      </c>
      <c r="T341" s="180">
        <f t="shared" si="122"/>
        <v>0</v>
      </c>
      <c r="U341" s="1318"/>
      <c r="V341" s="1319"/>
      <c r="W341" s="122"/>
      <c r="X341" s="373"/>
      <c r="AF341" s="376"/>
      <c r="AN341" s="376"/>
      <c r="AV341" s="376"/>
    </row>
    <row r="342" spans="1:55" ht="15" customHeight="1" x14ac:dyDescent="0.25">
      <c r="A342" s="1350"/>
      <c r="B342" s="1351"/>
      <c r="C342" s="399" t="s">
        <v>1110</v>
      </c>
      <c r="D342" s="259">
        <f t="shared" si="123"/>
        <v>0</v>
      </c>
      <c r="E342" s="260"/>
      <c r="F342" s="260"/>
      <c r="G342" s="260"/>
      <c r="H342" s="261"/>
      <c r="I342" s="262"/>
      <c r="J342" s="76">
        <f t="shared" si="117"/>
        <v>0</v>
      </c>
      <c r="K342" s="82" t="s">
        <v>114</v>
      </c>
      <c r="L342" s="1225"/>
      <c r="M342" s="76">
        <f t="shared" si="118"/>
        <v>0</v>
      </c>
      <c r="N342" s="285">
        <v>15</v>
      </c>
      <c r="O342" s="76">
        <f t="shared" si="119"/>
        <v>0</v>
      </c>
      <c r="P342" s="1225"/>
      <c r="Q342" s="76">
        <f t="shared" si="120"/>
        <v>0</v>
      </c>
      <c r="R342" s="1225"/>
      <c r="S342" s="76">
        <f t="shared" si="121"/>
        <v>0</v>
      </c>
      <c r="T342" s="180">
        <f t="shared" si="122"/>
        <v>0</v>
      </c>
      <c r="U342" s="1318"/>
      <c r="V342" s="1319"/>
      <c r="W342" s="122"/>
      <c r="X342" s="373"/>
      <c r="AF342" s="376"/>
      <c r="AN342" s="376"/>
      <c r="AV342" s="376"/>
    </row>
    <row r="343" spans="1:55" ht="15" customHeight="1" x14ac:dyDescent="0.25">
      <c r="A343" s="1350"/>
      <c r="B343" s="1351"/>
      <c r="C343" s="399" t="s">
        <v>1111</v>
      </c>
      <c r="D343" s="259">
        <f t="shared" si="123"/>
        <v>0</v>
      </c>
      <c r="E343" s="260"/>
      <c r="F343" s="260"/>
      <c r="G343" s="260"/>
      <c r="H343" s="261"/>
      <c r="I343" s="262"/>
      <c r="J343" s="76">
        <f t="shared" ref="J343:J352" si="124">IF(D343&lt;&gt;0,D343,0)*IF(E343&lt;&gt;0,E343,1)*IF(F343&lt;&gt;0,F343,1)*IF(G343&lt;&gt;0,G343,1)*IF(H343&lt;&gt;0,H343,1)/IF(I343&lt;&gt;0,I343,1)</f>
        <v>0</v>
      </c>
      <c r="K343" s="82" t="s">
        <v>114</v>
      </c>
      <c r="L343" s="1225"/>
      <c r="M343" s="76">
        <f t="shared" ref="M343:M352" si="125">ROUND(J343*L343,0)</f>
        <v>0</v>
      </c>
      <c r="N343" s="285">
        <v>15</v>
      </c>
      <c r="O343" s="76">
        <f t="shared" ref="O343:O352" si="126">ROUND(J343*N343,0)</f>
        <v>0</v>
      </c>
      <c r="P343" s="1225"/>
      <c r="Q343" s="76">
        <f t="shared" ref="Q343:Q352" si="127">ROUND(J343*P343,0)</f>
        <v>0</v>
      </c>
      <c r="R343" s="1225"/>
      <c r="S343" s="76">
        <f t="shared" ref="S343:S352" si="128">ROUND(J343*R343,0)</f>
        <v>0</v>
      </c>
      <c r="T343" s="180">
        <f t="shared" ref="T343:T352" si="129">ROUND(M343+O343+Q343+S343,0)</f>
        <v>0</v>
      </c>
      <c r="U343" s="1318"/>
      <c r="V343" s="1319"/>
      <c r="W343" s="122"/>
      <c r="X343" s="373"/>
      <c r="AF343" s="376"/>
      <c r="AN343" s="376"/>
      <c r="AV343" s="376"/>
    </row>
    <row r="344" spans="1:55" ht="15" customHeight="1" x14ac:dyDescent="0.25">
      <c r="A344" s="1350"/>
      <c r="B344" s="1351"/>
      <c r="C344" s="399" t="s">
        <v>1112</v>
      </c>
      <c r="D344" s="259">
        <f t="shared" si="123"/>
        <v>0</v>
      </c>
      <c r="E344" s="260"/>
      <c r="F344" s="260"/>
      <c r="G344" s="260"/>
      <c r="H344" s="261"/>
      <c r="I344" s="262"/>
      <c r="J344" s="76">
        <f t="shared" si="124"/>
        <v>0</v>
      </c>
      <c r="K344" s="82" t="s">
        <v>114</v>
      </c>
      <c r="L344" s="1225"/>
      <c r="M344" s="76">
        <f t="shared" si="125"/>
        <v>0</v>
      </c>
      <c r="N344" s="285">
        <v>15</v>
      </c>
      <c r="O344" s="76">
        <f t="shared" si="126"/>
        <v>0</v>
      </c>
      <c r="P344" s="1225"/>
      <c r="Q344" s="76">
        <f t="shared" si="127"/>
        <v>0</v>
      </c>
      <c r="R344" s="1225"/>
      <c r="S344" s="76">
        <f t="shared" si="128"/>
        <v>0</v>
      </c>
      <c r="T344" s="180">
        <f t="shared" si="129"/>
        <v>0</v>
      </c>
      <c r="U344" s="1318"/>
      <c r="V344" s="1319"/>
      <c r="W344" s="122"/>
      <c r="X344" s="373"/>
      <c r="AF344" s="376"/>
      <c r="AN344" s="376"/>
      <c r="AV344" s="376"/>
    </row>
    <row r="345" spans="1:55" ht="15" customHeight="1" x14ac:dyDescent="0.25">
      <c r="A345" s="1350"/>
      <c r="B345" s="1351"/>
      <c r="C345" s="399" t="s">
        <v>1113</v>
      </c>
      <c r="D345" s="259">
        <f t="shared" ref="D345:D352" si="130">D322</f>
        <v>0</v>
      </c>
      <c r="E345" s="260"/>
      <c r="F345" s="260"/>
      <c r="G345" s="260"/>
      <c r="H345" s="261"/>
      <c r="I345" s="262"/>
      <c r="J345" s="76">
        <f t="shared" ref="J345:J351" si="131">IF(D345&lt;&gt;0,D345,0)*IF(E345&lt;&gt;0,E345,1)*IF(F345&lt;&gt;0,F345,1)*IF(G345&lt;&gt;0,G345,1)*IF(H345&lt;&gt;0,H345,1)/IF(I345&lt;&gt;0,I345,1)</f>
        <v>0</v>
      </c>
      <c r="K345" s="82" t="s">
        <v>114</v>
      </c>
      <c r="L345" s="1225"/>
      <c r="M345" s="76">
        <f t="shared" ref="M345:M351" si="132">ROUND(J345*L345,0)</f>
        <v>0</v>
      </c>
      <c r="N345" s="79">
        <v>400</v>
      </c>
      <c r="O345" s="76">
        <f t="shared" ref="O345:O351" si="133">ROUND(J345*N345,0)</f>
        <v>0</v>
      </c>
      <c r="P345" s="1225"/>
      <c r="Q345" s="76">
        <f t="shared" ref="Q345:Q351" si="134">ROUND(J345*P345,0)</f>
        <v>0</v>
      </c>
      <c r="R345" s="1225"/>
      <c r="S345" s="76">
        <f t="shared" ref="S345:S351" si="135">ROUND(J345*R345,0)</f>
        <v>0</v>
      </c>
      <c r="T345" s="180">
        <f t="shared" ref="T345:T351" si="136">ROUND(M345+O345+Q345+S345,0)</f>
        <v>0</v>
      </c>
      <c r="U345" s="1318"/>
      <c r="V345" s="1319"/>
      <c r="W345" s="122"/>
      <c r="X345" s="373"/>
      <c r="AF345" s="376"/>
      <c r="AN345" s="376"/>
      <c r="AV345" s="376"/>
    </row>
    <row r="346" spans="1:55" ht="15" customHeight="1" x14ac:dyDescent="0.25">
      <c r="A346" s="1350"/>
      <c r="B346" s="1351"/>
      <c r="C346" s="399" t="s">
        <v>1114</v>
      </c>
      <c r="D346" s="259">
        <f t="shared" si="130"/>
        <v>0</v>
      </c>
      <c r="E346" s="260"/>
      <c r="F346" s="260"/>
      <c r="G346" s="260"/>
      <c r="H346" s="261"/>
      <c r="I346" s="262"/>
      <c r="J346" s="76">
        <f t="shared" si="131"/>
        <v>0</v>
      </c>
      <c r="K346" s="82" t="s">
        <v>114</v>
      </c>
      <c r="L346" s="1225"/>
      <c r="M346" s="76">
        <f t="shared" si="132"/>
        <v>0</v>
      </c>
      <c r="N346" s="79">
        <v>400</v>
      </c>
      <c r="O346" s="76">
        <f t="shared" si="133"/>
        <v>0</v>
      </c>
      <c r="P346" s="1225"/>
      <c r="Q346" s="76">
        <f t="shared" si="134"/>
        <v>0</v>
      </c>
      <c r="R346" s="1225"/>
      <c r="S346" s="76">
        <f t="shared" si="135"/>
        <v>0</v>
      </c>
      <c r="T346" s="180">
        <f t="shared" si="136"/>
        <v>0</v>
      </c>
      <c r="U346" s="1318"/>
      <c r="V346" s="1319"/>
      <c r="W346" s="122"/>
      <c r="X346" s="373"/>
      <c r="AF346" s="376"/>
      <c r="AN346" s="376"/>
      <c r="AV346" s="376"/>
    </row>
    <row r="347" spans="1:55" ht="15" customHeight="1" x14ac:dyDescent="0.25">
      <c r="A347" s="1350"/>
      <c r="B347" s="1351"/>
      <c r="C347" s="399" t="s">
        <v>1115</v>
      </c>
      <c r="D347" s="259">
        <f t="shared" si="130"/>
        <v>0</v>
      </c>
      <c r="E347" s="260"/>
      <c r="F347" s="260"/>
      <c r="G347" s="260"/>
      <c r="H347" s="261"/>
      <c r="I347" s="262"/>
      <c r="J347" s="76">
        <f t="shared" si="131"/>
        <v>0</v>
      </c>
      <c r="K347" s="82" t="s">
        <v>114</v>
      </c>
      <c r="L347" s="1225"/>
      <c r="M347" s="76">
        <f t="shared" si="132"/>
        <v>0</v>
      </c>
      <c r="N347" s="79">
        <v>400</v>
      </c>
      <c r="O347" s="76">
        <f t="shared" si="133"/>
        <v>0</v>
      </c>
      <c r="P347" s="1225"/>
      <c r="Q347" s="76">
        <f t="shared" si="134"/>
        <v>0</v>
      </c>
      <c r="R347" s="1225"/>
      <c r="S347" s="76">
        <f t="shared" si="135"/>
        <v>0</v>
      </c>
      <c r="T347" s="180">
        <f t="shared" si="136"/>
        <v>0</v>
      </c>
      <c r="U347" s="1318"/>
      <c r="V347" s="1319"/>
      <c r="W347" s="122"/>
      <c r="X347" s="373"/>
      <c r="AF347" s="376"/>
      <c r="AN347" s="376"/>
      <c r="AV347" s="376"/>
    </row>
    <row r="348" spans="1:55" ht="15" customHeight="1" x14ac:dyDescent="0.25">
      <c r="A348" s="1350"/>
      <c r="B348" s="1351"/>
      <c r="C348" s="399" t="s">
        <v>1116</v>
      </c>
      <c r="D348" s="259">
        <f t="shared" si="130"/>
        <v>0</v>
      </c>
      <c r="E348" s="260"/>
      <c r="F348" s="260"/>
      <c r="G348" s="260"/>
      <c r="H348" s="261"/>
      <c r="I348" s="262"/>
      <c r="J348" s="76">
        <f t="shared" si="131"/>
        <v>0</v>
      </c>
      <c r="K348" s="82" t="s">
        <v>114</v>
      </c>
      <c r="L348" s="1225"/>
      <c r="M348" s="76">
        <f t="shared" si="132"/>
        <v>0</v>
      </c>
      <c r="N348" s="79">
        <v>400</v>
      </c>
      <c r="O348" s="76">
        <f t="shared" si="133"/>
        <v>0</v>
      </c>
      <c r="P348" s="1225"/>
      <c r="Q348" s="76">
        <f t="shared" si="134"/>
        <v>0</v>
      </c>
      <c r="R348" s="1225"/>
      <c r="S348" s="76">
        <f t="shared" si="135"/>
        <v>0</v>
      </c>
      <c r="T348" s="180">
        <f t="shared" si="136"/>
        <v>0</v>
      </c>
      <c r="U348" s="1318"/>
      <c r="V348" s="1319"/>
      <c r="W348" s="122"/>
      <c r="X348" s="373"/>
      <c r="AF348" s="376"/>
      <c r="AN348" s="376"/>
      <c r="AV348" s="376"/>
    </row>
    <row r="349" spans="1:55" ht="15" customHeight="1" x14ac:dyDescent="0.25">
      <c r="A349" s="1350"/>
      <c r="B349" s="1351"/>
      <c r="C349" s="399" t="s">
        <v>1117</v>
      </c>
      <c r="D349" s="259">
        <f t="shared" si="130"/>
        <v>0</v>
      </c>
      <c r="E349" s="260"/>
      <c r="F349" s="260"/>
      <c r="G349" s="260"/>
      <c r="H349" s="261"/>
      <c r="I349" s="262"/>
      <c r="J349" s="76">
        <f t="shared" si="131"/>
        <v>0</v>
      </c>
      <c r="K349" s="82" t="s">
        <v>114</v>
      </c>
      <c r="L349" s="1225"/>
      <c r="M349" s="76">
        <f t="shared" si="132"/>
        <v>0</v>
      </c>
      <c r="N349" s="79">
        <v>400</v>
      </c>
      <c r="O349" s="76">
        <f t="shared" si="133"/>
        <v>0</v>
      </c>
      <c r="P349" s="1225"/>
      <c r="Q349" s="76">
        <f t="shared" si="134"/>
        <v>0</v>
      </c>
      <c r="R349" s="1225"/>
      <c r="S349" s="76">
        <f t="shared" si="135"/>
        <v>0</v>
      </c>
      <c r="T349" s="180">
        <f t="shared" si="136"/>
        <v>0</v>
      </c>
      <c r="U349" s="1318"/>
      <c r="V349" s="1319"/>
      <c r="W349" s="122"/>
      <c r="X349" s="373"/>
      <c r="AF349" s="376"/>
      <c r="AN349" s="376"/>
      <c r="AV349" s="376"/>
    </row>
    <row r="350" spans="1:55" ht="15" customHeight="1" x14ac:dyDescent="0.25">
      <c r="A350" s="1350"/>
      <c r="B350" s="1351"/>
      <c r="C350" s="399" t="s">
        <v>1118</v>
      </c>
      <c r="D350" s="259">
        <f t="shared" si="130"/>
        <v>0</v>
      </c>
      <c r="E350" s="260"/>
      <c r="F350" s="260"/>
      <c r="G350" s="260"/>
      <c r="H350" s="261"/>
      <c r="I350" s="262"/>
      <c r="J350" s="76">
        <f t="shared" si="131"/>
        <v>0</v>
      </c>
      <c r="K350" s="82" t="s">
        <v>114</v>
      </c>
      <c r="L350" s="1225"/>
      <c r="M350" s="76">
        <f t="shared" si="132"/>
        <v>0</v>
      </c>
      <c r="N350" s="79">
        <v>400</v>
      </c>
      <c r="O350" s="76">
        <f t="shared" si="133"/>
        <v>0</v>
      </c>
      <c r="P350" s="1225"/>
      <c r="Q350" s="76">
        <f t="shared" si="134"/>
        <v>0</v>
      </c>
      <c r="R350" s="1225"/>
      <c r="S350" s="76">
        <f t="shared" si="135"/>
        <v>0</v>
      </c>
      <c r="T350" s="180">
        <f t="shared" si="136"/>
        <v>0</v>
      </c>
      <c r="U350" s="1318"/>
      <c r="V350" s="1319"/>
      <c r="W350" s="122"/>
      <c r="X350" s="373"/>
      <c r="AF350" s="376"/>
      <c r="AN350" s="376"/>
      <c r="AV350" s="376"/>
    </row>
    <row r="351" spans="1:55" ht="15" customHeight="1" x14ac:dyDescent="0.25">
      <c r="A351" s="1350"/>
      <c r="B351" s="1351"/>
      <c r="C351" s="399" t="s">
        <v>1119</v>
      </c>
      <c r="D351" s="259">
        <f t="shared" si="130"/>
        <v>0</v>
      </c>
      <c r="E351" s="260"/>
      <c r="F351" s="260"/>
      <c r="G351" s="260"/>
      <c r="H351" s="261"/>
      <c r="I351" s="262"/>
      <c r="J351" s="76">
        <f t="shared" si="131"/>
        <v>0</v>
      </c>
      <c r="K351" s="82" t="s">
        <v>114</v>
      </c>
      <c r="L351" s="1225"/>
      <c r="M351" s="76">
        <f t="shared" si="132"/>
        <v>0</v>
      </c>
      <c r="N351" s="79">
        <v>400</v>
      </c>
      <c r="O351" s="76">
        <f t="shared" si="133"/>
        <v>0</v>
      </c>
      <c r="P351" s="1225"/>
      <c r="Q351" s="76">
        <f t="shared" si="134"/>
        <v>0</v>
      </c>
      <c r="R351" s="1225"/>
      <c r="S351" s="76">
        <f t="shared" si="135"/>
        <v>0</v>
      </c>
      <c r="T351" s="180">
        <f t="shared" si="136"/>
        <v>0</v>
      </c>
      <c r="U351" s="1318"/>
      <c r="V351" s="1319"/>
      <c r="W351" s="122"/>
      <c r="X351" s="373"/>
      <c r="AF351" s="376"/>
      <c r="AN351" s="376"/>
      <c r="AV351" s="376"/>
    </row>
    <row r="352" spans="1:55" s="17" customFormat="1" ht="16.5" customHeight="1" x14ac:dyDescent="0.25">
      <c r="A352" s="1350"/>
      <c r="B352" s="1351"/>
      <c r="C352" s="399" t="s">
        <v>1120</v>
      </c>
      <c r="D352" s="259">
        <f t="shared" si="130"/>
        <v>0</v>
      </c>
      <c r="E352" s="260"/>
      <c r="F352" s="260"/>
      <c r="G352" s="260"/>
      <c r="H352" s="261"/>
      <c r="I352" s="262"/>
      <c r="J352" s="183">
        <f t="shared" si="124"/>
        <v>0</v>
      </c>
      <c r="K352" s="284" t="s">
        <v>114</v>
      </c>
      <c r="L352" s="1225"/>
      <c r="M352" s="183">
        <f t="shared" si="125"/>
        <v>0</v>
      </c>
      <c r="N352" s="185">
        <v>0</v>
      </c>
      <c r="O352" s="183">
        <f t="shared" si="126"/>
        <v>0</v>
      </c>
      <c r="P352" s="1225"/>
      <c r="Q352" s="183">
        <f t="shared" si="127"/>
        <v>0</v>
      </c>
      <c r="R352" s="1225"/>
      <c r="S352" s="183">
        <f t="shared" si="128"/>
        <v>0</v>
      </c>
      <c r="T352" s="393">
        <f t="shared" si="129"/>
        <v>0</v>
      </c>
      <c r="U352" s="1318"/>
      <c r="V352" s="1319"/>
      <c r="W352" s="122"/>
      <c r="X352" s="373"/>
      <c r="Y352" s="328"/>
      <c r="Z352" s="328"/>
      <c r="AA352" s="328"/>
      <c r="AB352" s="328"/>
      <c r="AC352" s="328"/>
      <c r="AD352" s="328"/>
      <c r="AE352" s="363"/>
      <c r="AF352" s="376"/>
      <c r="AG352" s="328"/>
      <c r="AH352" s="328"/>
      <c r="AI352" s="328"/>
      <c r="AJ352" s="328"/>
      <c r="AK352" s="328"/>
      <c r="AL352" s="328"/>
      <c r="AM352" s="363"/>
      <c r="AN352" s="376"/>
      <c r="AO352" s="328"/>
      <c r="AP352" s="328"/>
      <c r="AQ352" s="328"/>
      <c r="AR352" s="328"/>
      <c r="AS352" s="328"/>
      <c r="AT352" s="328"/>
      <c r="AU352" s="363"/>
      <c r="AV352" s="376"/>
      <c r="AW352" s="328"/>
      <c r="AX352" s="328"/>
      <c r="AY352" s="328"/>
      <c r="AZ352" s="328"/>
      <c r="BA352" s="328"/>
      <c r="BB352" s="328"/>
      <c r="BC352" s="363"/>
    </row>
    <row r="353" spans="1:55" s="17" customFormat="1" ht="16.5" customHeight="1" x14ac:dyDescent="0.25">
      <c r="A353" s="1350"/>
      <c r="B353" s="1351"/>
      <c r="C353" s="86" t="s">
        <v>1180</v>
      </c>
      <c r="D353" s="263">
        <f>SUM(D333:D352)+0.00001</f>
        <v>1.0000000000000001E-5</v>
      </c>
      <c r="E353" s="260"/>
      <c r="F353" s="260"/>
      <c r="G353" s="260"/>
      <c r="H353" s="261"/>
      <c r="I353" s="261"/>
      <c r="J353" s="1322"/>
      <c r="K353" s="1322"/>
      <c r="L353" s="1322"/>
      <c r="M353" s="1322"/>
      <c r="N353" s="1322"/>
      <c r="O353" s="1322"/>
      <c r="P353" s="1322"/>
      <c r="Q353" s="1322"/>
      <c r="R353" s="1322"/>
      <c r="S353" s="1322"/>
      <c r="T353" s="1322"/>
      <c r="U353" s="1323"/>
      <c r="V353" s="1324"/>
      <c r="W353" s="122"/>
      <c r="X353" s="373"/>
      <c r="Y353" s="328"/>
      <c r="Z353" s="328"/>
      <c r="AA353" s="328"/>
      <c r="AB353" s="328"/>
      <c r="AC353" s="328"/>
      <c r="AD353" s="328"/>
      <c r="AE353" s="363"/>
      <c r="AF353" s="376"/>
      <c r="AG353" s="328"/>
      <c r="AH353" s="328"/>
      <c r="AI353" s="328"/>
      <c r="AJ353" s="328"/>
      <c r="AK353" s="328"/>
      <c r="AL353" s="328"/>
      <c r="AM353" s="363"/>
      <c r="AN353" s="376"/>
      <c r="AO353" s="328"/>
      <c r="AP353" s="328"/>
      <c r="AQ353" s="328"/>
      <c r="AR353" s="328"/>
      <c r="AS353" s="328"/>
      <c r="AT353" s="328"/>
      <c r="AU353" s="363"/>
      <c r="AV353" s="376"/>
      <c r="AW353" s="328"/>
      <c r="AX353" s="328"/>
      <c r="AY353" s="328"/>
      <c r="AZ353" s="328"/>
      <c r="BA353" s="328"/>
      <c r="BB353" s="328"/>
      <c r="BC353" s="363"/>
    </row>
    <row r="354" spans="1:55" s="17" customFormat="1" ht="16.5" customHeight="1" x14ac:dyDescent="0.25">
      <c r="A354" s="1350"/>
      <c r="B354" s="1351"/>
      <c r="C354" s="1226" t="s">
        <v>26</v>
      </c>
      <c r="D354" s="1227"/>
      <c r="E354" s="1227"/>
      <c r="F354" s="1227"/>
      <c r="G354" s="1227"/>
      <c r="H354" s="1227"/>
      <c r="I354" s="1227"/>
      <c r="J354" s="1228"/>
      <c r="K354" s="1228"/>
      <c r="L354" s="1228"/>
      <c r="M354" s="1228"/>
      <c r="N354" s="1229"/>
      <c r="O354" s="1334" t="s">
        <v>211</v>
      </c>
      <c r="P354" s="1335"/>
      <c r="Q354" s="282" t="s">
        <v>1179</v>
      </c>
      <c r="R354" s="276">
        <v>5</v>
      </c>
      <c r="S354" s="220">
        <f>SUM(D353/R354)</f>
        <v>2.0000000000000003E-6</v>
      </c>
      <c r="T354" s="283" t="s">
        <v>212</v>
      </c>
      <c r="U354" s="386">
        <f>SUM(T355:T370)</f>
        <v>0</v>
      </c>
      <c r="V354" s="299">
        <f>U354/D353</f>
        <v>0</v>
      </c>
      <c r="W354" s="122"/>
      <c r="X354" s="373"/>
      <c r="Y354" s="328"/>
      <c r="Z354" s="328"/>
      <c r="AA354" s="328"/>
      <c r="AB354" s="328"/>
      <c r="AC354" s="328"/>
      <c r="AD354" s="328"/>
      <c r="AE354" s="363"/>
      <c r="AF354" s="376"/>
      <c r="AG354" s="328"/>
      <c r="AH354" s="328"/>
      <c r="AI354" s="328"/>
      <c r="AJ354" s="328"/>
      <c r="AK354" s="328"/>
      <c r="AL354" s="328"/>
      <c r="AM354" s="363"/>
      <c r="AN354" s="376"/>
      <c r="AO354" s="328"/>
      <c r="AP354" s="328"/>
      <c r="AQ354" s="328"/>
      <c r="AR354" s="328"/>
      <c r="AS354" s="328"/>
      <c r="AT354" s="328"/>
      <c r="AU354" s="363"/>
      <c r="AV354" s="376"/>
      <c r="AW354" s="328"/>
      <c r="AX354" s="328"/>
      <c r="AY354" s="328"/>
      <c r="AZ354" s="328"/>
      <c r="BA354" s="328"/>
      <c r="BB354" s="328"/>
      <c r="BC354" s="363"/>
    </row>
    <row r="355" spans="1:55" s="17" customFormat="1" ht="16.5" customHeight="1" x14ac:dyDescent="0.25">
      <c r="A355" s="1350"/>
      <c r="B355" s="1351"/>
      <c r="C355" s="75" t="s">
        <v>27</v>
      </c>
      <c r="D355" s="173">
        <f>S354</f>
        <v>2.0000000000000003E-6</v>
      </c>
      <c r="E355" s="174"/>
      <c r="F355" s="174"/>
      <c r="G355" s="174"/>
      <c r="H355" s="175">
        <v>2</v>
      </c>
      <c r="I355" s="176"/>
      <c r="J355" s="180">
        <f t="shared" ref="J355:J370" si="137">IF(D355&lt;&gt;0,D355,0)*IF(E355&lt;&gt;0,E355,1)*IF(F355&lt;&gt;0,F355,1)*IF(G355&lt;&gt;0,G355,1)*IF(H355&lt;&gt;0,H355,1)/IF(I355&lt;&gt;0,I355,1)</f>
        <v>4.0000000000000007E-6</v>
      </c>
      <c r="K355" s="82" t="s">
        <v>61</v>
      </c>
      <c r="L355" s="181">
        <f>L72</f>
        <v>50</v>
      </c>
      <c r="M355" s="180">
        <f t="shared" ref="M355:M370" si="138">ROUND(J355*L355,0)</f>
        <v>0</v>
      </c>
      <c r="N355" s="1224"/>
      <c r="O355" s="180">
        <f t="shared" ref="O355:O370" si="139">ROUND(J355*N355,0)</f>
        <v>0</v>
      </c>
      <c r="P355" s="1224"/>
      <c r="Q355" s="180">
        <f t="shared" ref="Q355:Q370" si="140">ROUND(J355*P355,0)</f>
        <v>0</v>
      </c>
      <c r="R355" s="79"/>
      <c r="S355" s="180">
        <f t="shared" ref="S355:S370" si="141">ROUND(J355*R355,0)</f>
        <v>0</v>
      </c>
      <c r="T355" s="180">
        <f t="shared" ref="T355:T370" si="142">ROUND(M355+O355+Q355+S355,0)</f>
        <v>0</v>
      </c>
      <c r="U355" s="1316" t="s">
        <v>1177</v>
      </c>
      <c r="V355" s="1317"/>
      <c r="W355" s="122"/>
      <c r="X355" s="373"/>
      <c r="Y355" s="328"/>
      <c r="Z355" s="328"/>
      <c r="AA355" s="328"/>
      <c r="AB355" s="328"/>
      <c r="AC355" s="328"/>
      <c r="AD355" s="328"/>
      <c r="AE355" s="363"/>
      <c r="AF355" s="376"/>
      <c r="AG355" s="328"/>
      <c r="AH355" s="328"/>
      <c r="AI355" s="328"/>
      <c r="AJ355" s="328"/>
      <c r="AK355" s="328"/>
      <c r="AL355" s="328"/>
      <c r="AM355" s="363"/>
      <c r="AN355" s="376"/>
      <c r="AO355" s="328"/>
      <c r="AP355" s="328"/>
      <c r="AQ355" s="328"/>
      <c r="AR355" s="328"/>
      <c r="AS355" s="328"/>
      <c r="AT355" s="328"/>
      <c r="AU355" s="363"/>
      <c r="AV355" s="376"/>
      <c r="AW355" s="328"/>
      <c r="AX355" s="328"/>
      <c r="AY355" s="328"/>
      <c r="AZ355" s="328"/>
      <c r="BA355" s="328"/>
      <c r="BB355" s="328"/>
      <c r="BC355" s="363"/>
    </row>
    <row r="356" spans="1:55" s="17" customFormat="1" ht="16.5" customHeight="1" x14ac:dyDescent="0.25">
      <c r="A356" s="1350"/>
      <c r="B356" s="1351"/>
      <c r="C356" s="75" t="s">
        <v>604</v>
      </c>
      <c r="D356" s="177">
        <v>1</v>
      </c>
      <c r="E356" s="174"/>
      <c r="F356" s="174"/>
      <c r="G356" s="174"/>
      <c r="H356" s="175"/>
      <c r="I356" s="176"/>
      <c r="J356" s="180">
        <f t="shared" si="137"/>
        <v>1</v>
      </c>
      <c r="K356" s="82" t="s">
        <v>124</v>
      </c>
      <c r="L356" s="181"/>
      <c r="M356" s="180">
        <f t="shared" si="138"/>
        <v>0</v>
      </c>
      <c r="N356" s="1225"/>
      <c r="O356" s="180">
        <f t="shared" si="139"/>
        <v>0</v>
      </c>
      <c r="P356" s="1225"/>
      <c r="Q356" s="180">
        <f t="shared" si="140"/>
        <v>0</v>
      </c>
      <c r="R356" s="79"/>
      <c r="S356" s="180">
        <f t="shared" si="141"/>
        <v>0</v>
      </c>
      <c r="T356" s="180">
        <f t="shared" si="142"/>
        <v>0</v>
      </c>
      <c r="U356" s="1318"/>
      <c r="V356" s="1319"/>
      <c r="W356" s="122"/>
      <c r="X356" s="373"/>
      <c r="Y356" s="328"/>
      <c r="Z356" s="328"/>
      <c r="AA356" s="328"/>
      <c r="AB356" s="328"/>
      <c r="AC356" s="328"/>
      <c r="AD356" s="328"/>
      <c r="AE356" s="363"/>
      <c r="AF356" s="376"/>
      <c r="AG356" s="328"/>
      <c r="AH356" s="328"/>
      <c r="AI356" s="328"/>
      <c r="AJ356" s="328"/>
      <c r="AK356" s="328"/>
      <c r="AL356" s="328"/>
      <c r="AM356" s="363"/>
      <c r="AN356" s="376"/>
      <c r="AO356" s="328"/>
      <c r="AP356" s="328"/>
      <c r="AQ356" s="328"/>
      <c r="AR356" s="328"/>
      <c r="AS356" s="328"/>
      <c r="AT356" s="328"/>
      <c r="AU356" s="363"/>
      <c r="AV356" s="376"/>
      <c r="AW356" s="328"/>
      <c r="AX356" s="328"/>
      <c r="AY356" s="328"/>
      <c r="AZ356" s="328"/>
      <c r="BA356" s="328"/>
      <c r="BB356" s="328"/>
      <c r="BC356" s="363"/>
    </row>
    <row r="357" spans="1:55" s="17" customFormat="1" ht="16.5" customHeight="1" x14ac:dyDescent="0.25">
      <c r="A357" s="1350"/>
      <c r="B357" s="1351"/>
      <c r="C357" s="75" t="s">
        <v>1082</v>
      </c>
      <c r="D357" s="177"/>
      <c r="E357" s="174"/>
      <c r="F357" s="174"/>
      <c r="G357" s="174"/>
      <c r="H357" s="175"/>
      <c r="I357" s="176"/>
      <c r="J357" s="180">
        <f t="shared" si="137"/>
        <v>0</v>
      </c>
      <c r="K357" s="82" t="s">
        <v>203</v>
      </c>
      <c r="L357" s="181"/>
      <c r="M357" s="180">
        <f t="shared" si="138"/>
        <v>0</v>
      </c>
      <c r="N357" s="1225"/>
      <c r="O357" s="327">
        <f t="shared" si="139"/>
        <v>0</v>
      </c>
      <c r="P357" s="1225"/>
      <c r="Q357" s="303">
        <f t="shared" si="140"/>
        <v>0</v>
      </c>
      <c r="R357" s="181">
        <v>500</v>
      </c>
      <c r="S357" s="180">
        <f t="shared" si="141"/>
        <v>0</v>
      </c>
      <c r="T357" s="180">
        <f t="shared" si="142"/>
        <v>0</v>
      </c>
      <c r="U357" s="1318"/>
      <c r="V357" s="1319"/>
      <c r="W357" s="122"/>
      <c r="X357" s="373"/>
      <c r="Y357" s="328"/>
      <c r="Z357" s="328"/>
      <c r="AA357" s="328"/>
      <c r="AB357" s="328"/>
      <c r="AC357" s="328"/>
      <c r="AD357" s="328"/>
      <c r="AE357" s="363"/>
      <c r="AF357" s="376"/>
      <c r="AG357" s="328"/>
      <c r="AH357" s="328"/>
      <c r="AI357" s="328"/>
      <c r="AJ357" s="328"/>
      <c r="AK357" s="328"/>
      <c r="AL357" s="328"/>
      <c r="AM357" s="363"/>
      <c r="AN357" s="376"/>
      <c r="AO357" s="328"/>
      <c r="AP357" s="328"/>
      <c r="AQ357" s="328"/>
      <c r="AR357" s="328"/>
      <c r="AS357" s="328"/>
      <c r="AT357" s="328"/>
      <c r="AU357" s="363"/>
      <c r="AV357" s="376"/>
      <c r="AW357" s="328"/>
      <c r="AX357" s="328"/>
      <c r="AY357" s="328"/>
      <c r="AZ357" s="328"/>
      <c r="BA357" s="328"/>
      <c r="BB357" s="328"/>
      <c r="BC357" s="363"/>
    </row>
    <row r="358" spans="1:55" s="17" customFormat="1" ht="16.5" customHeight="1" x14ac:dyDescent="0.25">
      <c r="A358" s="1350"/>
      <c r="B358" s="1351"/>
      <c r="C358" s="75" t="s">
        <v>42</v>
      </c>
      <c r="D358" s="177">
        <v>1</v>
      </c>
      <c r="E358" s="174"/>
      <c r="F358" s="174"/>
      <c r="G358" s="174"/>
      <c r="H358" s="175"/>
      <c r="I358" s="176"/>
      <c r="J358" s="180">
        <f t="shared" si="137"/>
        <v>1</v>
      </c>
      <c r="K358" s="82" t="s">
        <v>203</v>
      </c>
      <c r="L358" s="181"/>
      <c r="M358" s="180">
        <f t="shared" si="138"/>
        <v>0</v>
      </c>
      <c r="N358" s="1225"/>
      <c r="O358" s="180">
        <f t="shared" si="139"/>
        <v>0</v>
      </c>
      <c r="P358" s="1225"/>
      <c r="Q358" s="180">
        <f t="shared" si="140"/>
        <v>0</v>
      </c>
      <c r="R358" s="79"/>
      <c r="S358" s="180">
        <f t="shared" si="141"/>
        <v>0</v>
      </c>
      <c r="T358" s="180">
        <f t="shared" si="142"/>
        <v>0</v>
      </c>
      <c r="U358" s="1318"/>
      <c r="V358" s="1319"/>
      <c r="W358" s="122"/>
      <c r="X358" s="373"/>
      <c r="Y358" s="328"/>
      <c r="Z358" s="328"/>
      <c r="AA358" s="328"/>
      <c r="AB358" s="328"/>
      <c r="AC358" s="328"/>
      <c r="AD358" s="328"/>
      <c r="AE358" s="363"/>
      <c r="AF358" s="376"/>
      <c r="AG358" s="328"/>
      <c r="AH358" s="328"/>
      <c r="AI358" s="328"/>
      <c r="AJ358" s="328"/>
      <c r="AK358" s="328"/>
      <c r="AL358" s="328"/>
      <c r="AM358" s="363"/>
      <c r="AN358" s="376"/>
      <c r="AO358" s="328"/>
      <c r="AP358" s="328"/>
      <c r="AQ358" s="328"/>
      <c r="AR358" s="328"/>
      <c r="AS358" s="328"/>
      <c r="AT358" s="328"/>
      <c r="AU358" s="363"/>
      <c r="AV358" s="376"/>
      <c r="AW358" s="328"/>
      <c r="AX358" s="328"/>
      <c r="AY358" s="328"/>
      <c r="AZ358" s="328"/>
      <c r="BA358" s="328"/>
      <c r="BB358" s="328"/>
      <c r="BC358" s="363"/>
    </row>
    <row r="359" spans="1:55" s="17" customFormat="1" ht="15.95" customHeight="1" x14ac:dyDescent="0.25">
      <c r="A359" s="1350"/>
      <c r="B359" s="1351"/>
      <c r="C359" s="75" t="s">
        <v>194</v>
      </c>
      <c r="D359" s="173">
        <f>SUM(S354)</f>
        <v>2.0000000000000003E-6</v>
      </c>
      <c r="E359" s="174"/>
      <c r="F359" s="174"/>
      <c r="G359" s="174"/>
      <c r="H359" s="175">
        <v>1</v>
      </c>
      <c r="I359" s="176"/>
      <c r="J359" s="180">
        <f t="shared" si="137"/>
        <v>2.0000000000000003E-6</v>
      </c>
      <c r="K359" s="82" t="s">
        <v>61</v>
      </c>
      <c r="L359" s="181">
        <f>L76</f>
        <v>35</v>
      </c>
      <c r="M359" s="180">
        <f t="shared" si="138"/>
        <v>0</v>
      </c>
      <c r="N359" s="1225"/>
      <c r="O359" s="180">
        <f t="shared" si="139"/>
        <v>0</v>
      </c>
      <c r="P359" s="1225"/>
      <c r="Q359" s="180">
        <f t="shared" si="140"/>
        <v>0</v>
      </c>
      <c r="R359" s="79"/>
      <c r="S359" s="180">
        <f t="shared" si="141"/>
        <v>0</v>
      </c>
      <c r="T359" s="180">
        <f t="shared" si="142"/>
        <v>0</v>
      </c>
      <c r="U359" s="1318"/>
      <c r="V359" s="1319"/>
      <c r="W359" s="122"/>
      <c r="X359" s="373"/>
      <c r="Y359" s="328"/>
      <c r="Z359" s="328"/>
      <c r="AA359" s="328"/>
      <c r="AB359" s="328"/>
      <c r="AC359" s="328"/>
      <c r="AD359" s="328"/>
      <c r="AE359" s="363"/>
      <c r="AF359" s="376"/>
      <c r="AG359" s="328"/>
      <c r="AH359" s="328"/>
      <c r="AI359" s="328"/>
      <c r="AJ359" s="328"/>
      <c r="AK359" s="328"/>
      <c r="AL359" s="328"/>
      <c r="AM359" s="363"/>
      <c r="AN359" s="376"/>
      <c r="AO359" s="328"/>
      <c r="AP359" s="328"/>
      <c r="AQ359" s="328"/>
      <c r="AR359" s="328"/>
      <c r="AS359" s="328"/>
      <c r="AT359" s="328"/>
      <c r="AU359" s="363"/>
      <c r="AV359" s="376"/>
      <c r="AW359" s="328"/>
      <c r="AX359" s="328"/>
      <c r="AY359" s="328"/>
      <c r="AZ359" s="328"/>
      <c r="BA359" s="328"/>
      <c r="BB359" s="328"/>
      <c r="BC359" s="363"/>
    </row>
    <row r="360" spans="1:55" s="17" customFormat="1" ht="15.95" customHeight="1" x14ac:dyDescent="0.25">
      <c r="A360" s="1350"/>
      <c r="B360" s="1351"/>
      <c r="C360" s="75" t="s">
        <v>125</v>
      </c>
      <c r="D360" s="173">
        <v>1</v>
      </c>
      <c r="E360" s="174"/>
      <c r="F360" s="174"/>
      <c r="G360" s="174"/>
      <c r="H360" s="175"/>
      <c r="I360" s="176"/>
      <c r="J360" s="180">
        <f t="shared" si="137"/>
        <v>1</v>
      </c>
      <c r="K360" s="82" t="s">
        <v>124</v>
      </c>
      <c r="L360" s="181"/>
      <c r="M360" s="180">
        <f t="shared" si="138"/>
        <v>0</v>
      </c>
      <c r="N360" s="1225"/>
      <c r="O360" s="180">
        <f t="shared" si="139"/>
        <v>0</v>
      </c>
      <c r="P360" s="1225"/>
      <c r="Q360" s="180">
        <f t="shared" si="140"/>
        <v>0</v>
      </c>
      <c r="R360" s="181">
        <f>(T107/R100)*(S354/5)</f>
        <v>0</v>
      </c>
      <c r="S360" s="180">
        <f t="shared" si="141"/>
        <v>0</v>
      </c>
      <c r="T360" s="180">
        <f t="shared" si="142"/>
        <v>0</v>
      </c>
      <c r="U360" s="1318"/>
      <c r="V360" s="1319"/>
      <c r="W360" s="122">
        <v>0</v>
      </c>
      <c r="X360" s="373"/>
      <c r="Y360" s="328"/>
      <c r="Z360" s="328"/>
      <c r="AA360" s="328"/>
      <c r="AB360" s="328"/>
      <c r="AC360" s="328"/>
      <c r="AD360" s="328"/>
      <c r="AE360" s="363"/>
      <c r="AF360" s="376"/>
      <c r="AG360" s="328"/>
      <c r="AH360" s="328"/>
      <c r="AI360" s="328"/>
      <c r="AJ360" s="328"/>
      <c r="AK360" s="328"/>
      <c r="AL360" s="328"/>
      <c r="AM360" s="363"/>
      <c r="AN360" s="376"/>
      <c r="AO360" s="328"/>
      <c r="AP360" s="328"/>
      <c r="AQ360" s="328"/>
      <c r="AR360" s="328"/>
      <c r="AS360" s="328"/>
      <c r="AT360" s="328"/>
      <c r="AU360" s="363"/>
      <c r="AV360" s="376"/>
      <c r="AW360" s="328"/>
      <c r="AX360" s="328"/>
      <c r="AY360" s="328"/>
      <c r="AZ360" s="328"/>
      <c r="BA360" s="328"/>
      <c r="BB360" s="328"/>
      <c r="BC360" s="363"/>
    </row>
    <row r="361" spans="1:55" s="17" customFormat="1" ht="15.95" customHeight="1" x14ac:dyDescent="0.25">
      <c r="A361" s="1350"/>
      <c r="B361" s="1351"/>
      <c r="C361" s="75" t="s">
        <v>126</v>
      </c>
      <c r="D361" s="173">
        <v>0</v>
      </c>
      <c r="E361" s="174"/>
      <c r="F361" s="174"/>
      <c r="G361" s="174"/>
      <c r="H361" s="175"/>
      <c r="I361" s="176"/>
      <c r="J361" s="180">
        <f t="shared" si="137"/>
        <v>0</v>
      </c>
      <c r="K361" s="82" t="s">
        <v>124</v>
      </c>
      <c r="L361" s="181"/>
      <c r="M361" s="180">
        <f t="shared" si="138"/>
        <v>0</v>
      </c>
      <c r="N361" s="1225"/>
      <c r="O361" s="180">
        <f t="shared" si="139"/>
        <v>0</v>
      </c>
      <c r="P361" s="1225"/>
      <c r="Q361" s="180">
        <f t="shared" si="140"/>
        <v>0</v>
      </c>
      <c r="R361" s="648">
        <f>(M107/R100)*(S354/5)</f>
        <v>0</v>
      </c>
      <c r="S361" s="180">
        <f t="shared" si="141"/>
        <v>0</v>
      </c>
      <c r="T361" s="180">
        <f t="shared" si="142"/>
        <v>0</v>
      </c>
      <c r="U361" s="1318"/>
      <c r="V361" s="1319"/>
      <c r="W361" s="122"/>
      <c r="X361" s="373"/>
      <c r="Y361" s="328"/>
      <c r="Z361" s="328"/>
      <c r="AA361" s="328"/>
      <c r="AB361" s="328"/>
      <c r="AC361" s="328"/>
      <c r="AD361" s="328"/>
      <c r="AE361" s="363"/>
      <c r="AF361" s="376"/>
      <c r="AG361" s="328"/>
      <c r="AH361" s="328"/>
      <c r="AI361" s="328"/>
      <c r="AJ361" s="328"/>
      <c r="AK361" s="328"/>
      <c r="AL361" s="328"/>
      <c r="AM361" s="363"/>
      <c r="AN361" s="376"/>
      <c r="AO361" s="328"/>
      <c r="AP361" s="328"/>
      <c r="AQ361" s="328"/>
      <c r="AR361" s="328"/>
      <c r="AS361" s="328"/>
      <c r="AT361" s="328"/>
      <c r="AU361" s="363"/>
      <c r="AV361" s="376"/>
      <c r="AW361" s="328"/>
      <c r="AX361" s="328"/>
      <c r="AY361" s="328"/>
      <c r="AZ361" s="328"/>
      <c r="BA361" s="328"/>
      <c r="BB361" s="328"/>
      <c r="BC361" s="363"/>
    </row>
    <row r="362" spans="1:55" s="17" customFormat="1" ht="15.95" customHeight="1" x14ac:dyDescent="0.25">
      <c r="A362" s="1350"/>
      <c r="B362" s="1351"/>
      <c r="C362" s="75" t="s">
        <v>28</v>
      </c>
      <c r="D362" s="222">
        <f>SUM(A290)</f>
        <v>0</v>
      </c>
      <c r="E362" s="174"/>
      <c r="F362" s="174"/>
      <c r="G362" s="174"/>
      <c r="H362" s="175"/>
      <c r="I362" s="176">
        <v>100</v>
      </c>
      <c r="J362" s="180">
        <f t="shared" si="137"/>
        <v>0</v>
      </c>
      <c r="K362" s="82" t="s">
        <v>180</v>
      </c>
      <c r="L362" s="181"/>
      <c r="M362" s="180">
        <f t="shared" si="138"/>
        <v>0</v>
      </c>
      <c r="N362" s="1225"/>
      <c r="O362" s="180">
        <f t="shared" si="139"/>
        <v>0</v>
      </c>
      <c r="P362" s="1225"/>
      <c r="Q362" s="180">
        <f t="shared" si="140"/>
        <v>0</v>
      </c>
      <c r="R362" s="79">
        <v>22</v>
      </c>
      <c r="S362" s="180">
        <f t="shared" si="141"/>
        <v>0</v>
      </c>
      <c r="T362" s="180">
        <f t="shared" si="142"/>
        <v>0</v>
      </c>
      <c r="U362" s="1318"/>
      <c r="V362" s="1319"/>
      <c r="W362" s="122"/>
      <c r="X362" s="373"/>
      <c r="Y362" s="328"/>
      <c r="Z362" s="328"/>
      <c r="AA362" s="328"/>
      <c r="AB362" s="328"/>
      <c r="AC362" s="328"/>
      <c r="AD362" s="328"/>
      <c r="AE362" s="363"/>
      <c r="AF362" s="376"/>
      <c r="AG362" s="328"/>
      <c r="AH362" s="328"/>
      <c r="AI362" s="328"/>
      <c r="AJ362" s="328"/>
      <c r="AK362" s="328"/>
      <c r="AL362" s="328"/>
      <c r="AM362" s="363"/>
      <c r="AN362" s="376"/>
      <c r="AO362" s="328"/>
      <c r="AP362" s="328"/>
      <c r="AQ362" s="328"/>
      <c r="AR362" s="328"/>
      <c r="AS362" s="328"/>
      <c r="AT362" s="328"/>
      <c r="AU362" s="363"/>
      <c r="AV362" s="376"/>
      <c r="AW362" s="328"/>
      <c r="AX362" s="328"/>
      <c r="AY362" s="328"/>
      <c r="AZ362" s="328"/>
      <c r="BA362" s="328"/>
      <c r="BB362" s="328"/>
      <c r="BC362" s="363"/>
    </row>
    <row r="363" spans="1:55" s="17" customFormat="1" ht="15.95" customHeight="1" x14ac:dyDescent="0.25">
      <c r="A363" s="1350"/>
      <c r="B363" s="1351"/>
      <c r="C363" s="75" t="s">
        <v>38</v>
      </c>
      <c r="D363" s="179">
        <f>ROUNDUP((D362/300),W360)</f>
        <v>0</v>
      </c>
      <c r="E363" s="174"/>
      <c r="F363" s="174"/>
      <c r="G363" s="174"/>
      <c r="H363" s="175"/>
      <c r="I363" s="176"/>
      <c r="J363" s="180">
        <f t="shared" si="137"/>
        <v>0</v>
      </c>
      <c r="K363" s="82" t="s">
        <v>202</v>
      </c>
      <c r="L363" s="181"/>
      <c r="M363" s="180">
        <f t="shared" si="138"/>
        <v>0</v>
      </c>
      <c r="N363" s="1225"/>
      <c r="O363" s="180">
        <f t="shared" si="139"/>
        <v>0</v>
      </c>
      <c r="P363" s="1225"/>
      <c r="Q363" s="180">
        <f t="shared" si="140"/>
        <v>0</v>
      </c>
      <c r="R363" s="79">
        <v>325</v>
      </c>
      <c r="S363" s="180">
        <f t="shared" si="141"/>
        <v>0</v>
      </c>
      <c r="T363" s="180">
        <f t="shared" si="142"/>
        <v>0</v>
      </c>
      <c r="U363" s="1318"/>
      <c r="V363" s="1319"/>
      <c r="W363" s="122"/>
      <c r="X363" s="373"/>
      <c r="Y363" s="328"/>
      <c r="Z363" s="328"/>
      <c r="AA363" s="328"/>
      <c r="AB363" s="328"/>
      <c r="AC363" s="328"/>
      <c r="AD363" s="328"/>
      <c r="AE363" s="363"/>
      <c r="AF363" s="376"/>
      <c r="AG363" s="328"/>
      <c r="AH363" s="328"/>
      <c r="AI363" s="328"/>
      <c r="AJ363" s="328"/>
      <c r="AK363" s="328"/>
      <c r="AL363" s="328"/>
      <c r="AM363" s="363"/>
      <c r="AN363" s="376"/>
      <c r="AO363" s="328"/>
      <c r="AP363" s="328"/>
      <c r="AQ363" s="328"/>
      <c r="AR363" s="328"/>
      <c r="AS363" s="328"/>
      <c r="AT363" s="328"/>
      <c r="AU363" s="363"/>
      <c r="AV363" s="376"/>
      <c r="AW363" s="328"/>
      <c r="AX363" s="328"/>
      <c r="AY363" s="328"/>
      <c r="AZ363" s="328"/>
      <c r="BA363" s="328"/>
      <c r="BB363" s="328"/>
      <c r="BC363" s="363"/>
    </row>
    <row r="364" spans="1:55" s="17" customFormat="1" ht="15.95" customHeight="1" x14ac:dyDescent="0.25">
      <c r="A364" s="1350"/>
      <c r="B364" s="1351"/>
      <c r="C364" s="75" t="s">
        <v>29</v>
      </c>
      <c r="D364" s="179">
        <f>D355</f>
        <v>2.0000000000000003E-6</v>
      </c>
      <c r="E364" s="174"/>
      <c r="F364" s="174"/>
      <c r="G364" s="174"/>
      <c r="H364" s="175">
        <v>2</v>
      </c>
      <c r="I364" s="176"/>
      <c r="J364" s="180">
        <f t="shared" si="137"/>
        <v>4.0000000000000007E-6</v>
      </c>
      <c r="K364" s="82" t="s">
        <v>61</v>
      </c>
      <c r="L364" s="181">
        <f>L82</f>
        <v>125</v>
      </c>
      <c r="M364" s="180">
        <f t="shared" si="138"/>
        <v>0</v>
      </c>
      <c r="N364" s="1225"/>
      <c r="O364" s="180">
        <f t="shared" si="139"/>
        <v>0</v>
      </c>
      <c r="P364" s="1225"/>
      <c r="Q364" s="180">
        <f t="shared" si="140"/>
        <v>0</v>
      </c>
      <c r="R364" s="79"/>
      <c r="S364" s="180">
        <f t="shared" si="141"/>
        <v>0</v>
      </c>
      <c r="T364" s="180">
        <f t="shared" si="142"/>
        <v>0</v>
      </c>
      <c r="U364" s="1318"/>
      <c r="V364" s="1319"/>
      <c r="W364" s="122"/>
      <c r="X364" s="373"/>
      <c r="Y364" s="328"/>
      <c r="Z364" s="328"/>
      <c r="AA364" s="328"/>
      <c r="AB364" s="328"/>
      <c r="AC364" s="328"/>
      <c r="AD364" s="328"/>
      <c r="AE364" s="363"/>
      <c r="AF364" s="376"/>
      <c r="AG364" s="328"/>
      <c r="AH364" s="328"/>
      <c r="AI364" s="328"/>
      <c r="AJ364" s="328"/>
      <c r="AK364" s="328"/>
      <c r="AL364" s="328"/>
      <c r="AM364" s="363"/>
      <c r="AN364" s="376"/>
      <c r="AO364" s="328"/>
      <c r="AP364" s="328"/>
      <c r="AQ364" s="328"/>
      <c r="AR364" s="328"/>
      <c r="AS364" s="328"/>
      <c r="AT364" s="328"/>
      <c r="AU364" s="363"/>
      <c r="AV364" s="376"/>
      <c r="AW364" s="328"/>
      <c r="AX364" s="328"/>
      <c r="AY364" s="328"/>
      <c r="AZ364" s="328"/>
      <c r="BA364" s="328"/>
      <c r="BB364" s="328"/>
      <c r="BC364" s="363"/>
    </row>
    <row r="365" spans="1:55" s="17" customFormat="1" ht="15.95" customHeight="1" x14ac:dyDescent="0.25">
      <c r="A365" s="1350"/>
      <c r="B365" s="1351"/>
      <c r="C365" s="75" t="s">
        <v>606</v>
      </c>
      <c r="D365" s="173"/>
      <c r="E365" s="174"/>
      <c r="F365" s="174"/>
      <c r="G365" s="174"/>
      <c r="H365" s="175">
        <v>2</v>
      </c>
      <c r="I365" s="176"/>
      <c r="J365" s="180">
        <f t="shared" si="137"/>
        <v>0</v>
      </c>
      <c r="K365" s="82" t="s">
        <v>196</v>
      </c>
      <c r="L365" s="181"/>
      <c r="M365" s="180">
        <f t="shared" si="138"/>
        <v>0</v>
      </c>
      <c r="N365" s="1225"/>
      <c r="O365" s="180">
        <f t="shared" si="139"/>
        <v>0</v>
      </c>
      <c r="P365" s="1225"/>
      <c r="Q365" s="180">
        <f t="shared" si="140"/>
        <v>0</v>
      </c>
      <c r="R365" s="79">
        <v>20</v>
      </c>
      <c r="S365" s="180">
        <f t="shared" si="141"/>
        <v>0</v>
      </c>
      <c r="T365" s="180">
        <f t="shared" si="142"/>
        <v>0</v>
      </c>
      <c r="U365" s="1318"/>
      <c r="V365" s="1319"/>
      <c r="W365" s="122"/>
      <c r="X365" s="373"/>
      <c r="Y365" s="328"/>
      <c r="Z365" s="328"/>
      <c r="AA365" s="328"/>
      <c r="AB365" s="328"/>
      <c r="AC365" s="328"/>
    </row>
    <row r="366" spans="1:55" s="17" customFormat="1" ht="15" customHeight="1" x14ac:dyDescent="0.25">
      <c r="A366" s="1350"/>
      <c r="B366" s="1351"/>
      <c r="C366" s="75" t="s">
        <v>607</v>
      </c>
      <c r="D366" s="173"/>
      <c r="E366" s="174"/>
      <c r="F366" s="174"/>
      <c r="G366" s="174"/>
      <c r="H366" s="175">
        <v>2</v>
      </c>
      <c r="I366" s="176"/>
      <c r="J366" s="180">
        <f t="shared" si="137"/>
        <v>0</v>
      </c>
      <c r="K366" s="82" t="s">
        <v>196</v>
      </c>
      <c r="L366" s="181"/>
      <c r="M366" s="180">
        <f t="shared" si="138"/>
        <v>0</v>
      </c>
      <c r="N366" s="1225"/>
      <c r="O366" s="180">
        <f t="shared" si="139"/>
        <v>0</v>
      </c>
      <c r="P366" s="1225"/>
      <c r="Q366" s="180">
        <f t="shared" si="140"/>
        <v>0</v>
      </c>
      <c r="R366" s="79">
        <v>20</v>
      </c>
      <c r="S366" s="180">
        <f t="shared" si="141"/>
        <v>0</v>
      </c>
      <c r="T366" s="180">
        <f t="shared" si="142"/>
        <v>0</v>
      </c>
      <c r="U366" s="1318"/>
      <c r="V366" s="1319"/>
      <c r="W366" s="122"/>
      <c r="X366" s="373"/>
      <c r="Y366" s="328"/>
      <c r="Z366" s="328"/>
      <c r="AA366" s="328"/>
      <c r="AB366" s="328"/>
      <c r="AC366" s="328"/>
    </row>
    <row r="367" spans="1:55" s="17" customFormat="1" ht="15" customHeight="1" x14ac:dyDescent="0.25">
      <c r="A367" s="1350"/>
      <c r="B367" s="1351"/>
      <c r="C367" s="75" t="s">
        <v>608</v>
      </c>
      <c r="D367" s="173"/>
      <c r="E367" s="174"/>
      <c r="F367" s="174"/>
      <c r="G367" s="174"/>
      <c r="H367" s="175">
        <v>2</v>
      </c>
      <c r="I367" s="176"/>
      <c r="J367" s="180">
        <f t="shared" si="137"/>
        <v>0</v>
      </c>
      <c r="K367" s="82" t="s">
        <v>196</v>
      </c>
      <c r="L367" s="181"/>
      <c r="M367" s="180">
        <f t="shared" si="138"/>
        <v>0</v>
      </c>
      <c r="N367" s="1225"/>
      <c r="O367" s="180">
        <f t="shared" si="139"/>
        <v>0</v>
      </c>
      <c r="P367" s="1225"/>
      <c r="Q367" s="180">
        <f t="shared" si="140"/>
        <v>0</v>
      </c>
      <c r="R367" s="79">
        <v>20</v>
      </c>
      <c r="S367" s="180">
        <f t="shared" si="141"/>
        <v>0</v>
      </c>
      <c r="T367" s="180">
        <f t="shared" si="142"/>
        <v>0</v>
      </c>
      <c r="U367" s="1318"/>
      <c r="V367" s="1319"/>
      <c r="W367" s="122"/>
      <c r="X367" s="373"/>
      <c r="Y367" s="328"/>
      <c r="Z367" s="328"/>
      <c r="AA367" s="328"/>
      <c r="AB367" s="328"/>
      <c r="AC367" s="328"/>
    </row>
    <row r="368" spans="1:55" ht="15" customHeight="1" x14ac:dyDescent="0.25">
      <c r="A368" s="1350"/>
      <c r="B368" s="1351"/>
      <c r="C368" s="75" t="s">
        <v>127</v>
      </c>
      <c r="D368" s="286">
        <f>$B$86</f>
        <v>0</v>
      </c>
      <c r="E368" s="287">
        <f>ROUNDUP(S354/5,0)</f>
        <v>1</v>
      </c>
      <c r="F368" s="288">
        <v>4</v>
      </c>
      <c r="G368" s="174"/>
      <c r="H368" s="17"/>
      <c r="I368" s="176"/>
      <c r="J368" s="180">
        <f t="shared" si="137"/>
        <v>0</v>
      </c>
      <c r="K368" s="330" t="s">
        <v>61</v>
      </c>
      <c r="L368" s="181">
        <f>L86</f>
        <v>40</v>
      </c>
      <c r="M368" s="180">
        <f t="shared" si="138"/>
        <v>0</v>
      </c>
      <c r="N368" s="1225"/>
      <c r="O368" s="180">
        <f t="shared" si="139"/>
        <v>0</v>
      </c>
      <c r="P368" s="1225"/>
      <c r="Q368" s="180">
        <f t="shared" si="140"/>
        <v>0</v>
      </c>
      <c r="R368" s="79"/>
      <c r="S368" s="180">
        <f t="shared" si="141"/>
        <v>0</v>
      </c>
      <c r="T368" s="180">
        <f t="shared" si="142"/>
        <v>0</v>
      </c>
      <c r="U368" s="1318"/>
      <c r="V368" s="1319"/>
      <c r="W368" s="122"/>
      <c r="X368" s="373"/>
      <c r="AF368" s="376"/>
      <c r="AN368" s="376"/>
      <c r="AV368" s="376"/>
    </row>
    <row r="369" spans="1:48" ht="15" customHeight="1" x14ac:dyDescent="0.25">
      <c r="A369" s="1350"/>
      <c r="B369" s="1351"/>
      <c r="C369" s="75" t="s">
        <v>128</v>
      </c>
      <c r="D369" s="286">
        <f>$B$87</f>
        <v>0</v>
      </c>
      <c r="E369" s="287">
        <f>ROUNDUP(S354,0)</f>
        <v>1</v>
      </c>
      <c r="F369" s="287">
        <f>F368/2</f>
        <v>2</v>
      </c>
      <c r="G369" s="174"/>
      <c r="H369" s="17"/>
      <c r="I369" s="176"/>
      <c r="J369" s="180">
        <f t="shared" si="137"/>
        <v>0</v>
      </c>
      <c r="K369" s="330" t="s">
        <v>204</v>
      </c>
      <c r="L369" s="181">
        <f>L87</f>
        <v>200</v>
      </c>
      <c r="M369" s="180">
        <f t="shared" si="138"/>
        <v>0</v>
      </c>
      <c r="N369" s="1225"/>
      <c r="O369" s="180">
        <f t="shared" si="139"/>
        <v>0</v>
      </c>
      <c r="P369" s="1225"/>
      <c r="Q369" s="180">
        <f t="shared" si="140"/>
        <v>0</v>
      </c>
      <c r="R369" s="79"/>
      <c r="S369" s="180">
        <f t="shared" si="141"/>
        <v>0</v>
      </c>
      <c r="T369" s="180">
        <f t="shared" si="142"/>
        <v>0</v>
      </c>
      <c r="U369" s="1318"/>
      <c r="V369" s="1319"/>
      <c r="W369" s="122"/>
      <c r="X369" s="373"/>
      <c r="AF369" s="376"/>
      <c r="AN369" s="376"/>
      <c r="AV369" s="376"/>
    </row>
    <row r="370" spans="1:48" ht="15" customHeight="1" x14ac:dyDescent="0.25">
      <c r="A370" s="1350"/>
      <c r="B370" s="1351"/>
      <c r="C370" s="75" t="s">
        <v>1182</v>
      </c>
      <c r="D370" s="286">
        <f>$B$87</f>
        <v>0</v>
      </c>
      <c r="E370" s="287">
        <f>ROUNDUP(S354,0)</f>
        <v>1</v>
      </c>
      <c r="F370" s="287">
        <f>F368</f>
        <v>4</v>
      </c>
      <c r="G370" s="174"/>
      <c r="H370" s="17"/>
      <c r="I370" s="176"/>
      <c r="J370" s="180">
        <f t="shared" si="137"/>
        <v>0</v>
      </c>
      <c r="K370" s="330" t="s">
        <v>204</v>
      </c>
      <c r="L370" s="181">
        <f>L88</f>
        <v>70</v>
      </c>
      <c r="M370" s="180">
        <f t="shared" si="138"/>
        <v>0</v>
      </c>
      <c r="N370" s="1225"/>
      <c r="O370" s="180">
        <f t="shared" si="139"/>
        <v>0</v>
      </c>
      <c r="P370" s="1225"/>
      <c r="Q370" s="180">
        <f t="shared" si="140"/>
        <v>0</v>
      </c>
      <c r="R370" s="79"/>
      <c r="S370" s="180">
        <f t="shared" si="141"/>
        <v>0</v>
      </c>
      <c r="T370" s="180">
        <f t="shared" si="142"/>
        <v>0</v>
      </c>
      <c r="U370" s="1318"/>
      <c r="V370" s="1319"/>
      <c r="W370" s="122"/>
      <c r="X370" s="373"/>
      <c r="AF370" s="376"/>
      <c r="AN370" s="376"/>
      <c r="AV370" s="376"/>
    </row>
    <row r="371" spans="1:48" ht="15" customHeight="1" x14ac:dyDescent="0.25">
      <c r="A371" s="1350"/>
      <c r="B371" s="1351"/>
      <c r="C371" s="1128"/>
      <c r="D371" s="1129"/>
      <c r="E371" s="1129"/>
      <c r="F371" s="1129"/>
      <c r="G371" s="1129"/>
      <c r="H371" s="1129"/>
      <c r="I371" s="1129"/>
      <c r="J371" s="1129"/>
      <c r="K371" s="1129"/>
      <c r="L371" s="1129"/>
      <c r="M371" s="1129"/>
      <c r="N371" s="1129"/>
      <c r="O371" s="1129"/>
      <c r="P371" s="1129"/>
      <c r="Q371" s="1129"/>
      <c r="R371" s="1129"/>
      <c r="S371" s="1129"/>
      <c r="T371" s="1130"/>
      <c r="U371" s="1124"/>
      <c r="V371" s="1125"/>
      <c r="W371" s="122"/>
      <c r="X371" s="373"/>
      <c r="AF371" s="376"/>
      <c r="AN371" s="376"/>
      <c r="AV371" s="376"/>
    </row>
    <row r="372" spans="1:48" ht="15" customHeight="1" x14ac:dyDescent="0.25">
      <c r="A372" s="1350"/>
      <c r="B372" s="1351"/>
      <c r="C372" s="75" t="s">
        <v>80</v>
      </c>
      <c r="D372" s="981">
        <f>D90</f>
        <v>0.04</v>
      </c>
      <c r="E372" s="982"/>
      <c r="F372" s="982"/>
      <c r="G372" s="982"/>
      <c r="H372" s="982"/>
      <c r="I372" s="982"/>
      <c r="J372" s="982"/>
      <c r="K372" s="982"/>
      <c r="L372" s="982"/>
      <c r="M372" s="982"/>
      <c r="N372" s="982"/>
      <c r="O372" s="982"/>
      <c r="P372" s="982"/>
      <c r="Q372" s="982"/>
      <c r="R372" s="982"/>
      <c r="S372" s="983"/>
      <c r="T372" s="320">
        <f>SUM(U308+U332+U354)*D372</f>
        <v>0</v>
      </c>
      <c r="U372" s="390">
        <f>T372</f>
        <v>0</v>
      </c>
      <c r="V372" s="299">
        <f>U372/D353</f>
        <v>0</v>
      </c>
      <c r="W372" s="122"/>
      <c r="X372" s="373">
        <f>U376*0.01</f>
        <v>0</v>
      </c>
      <c r="Y372" s="328" t="s">
        <v>1134</v>
      </c>
      <c r="AF372" s="376"/>
      <c r="AN372" s="376"/>
      <c r="AV372" s="376"/>
    </row>
    <row r="373" spans="1:48" ht="15" customHeight="1" x14ac:dyDescent="0.25">
      <c r="A373" s="1350"/>
      <c r="B373" s="1351"/>
      <c r="C373" s="1128"/>
      <c r="D373" s="1129"/>
      <c r="E373" s="1129"/>
      <c r="F373" s="1129"/>
      <c r="G373" s="1129"/>
      <c r="H373" s="1129"/>
      <c r="I373" s="1129"/>
      <c r="J373" s="1129"/>
      <c r="K373" s="1129"/>
      <c r="L373" s="1129"/>
      <c r="M373" s="1129"/>
      <c r="N373" s="1129"/>
      <c r="O373" s="1129"/>
      <c r="P373" s="1129"/>
      <c r="Q373" s="1129"/>
      <c r="R373" s="1129"/>
      <c r="S373" s="1129"/>
      <c r="T373" s="1130"/>
      <c r="U373" s="1124"/>
      <c r="V373" s="1125"/>
      <c r="W373" s="122"/>
      <c r="X373" s="391" t="s">
        <v>1096</v>
      </c>
      <c r="AF373" s="376"/>
      <c r="AN373" s="376"/>
      <c r="AV373" s="376"/>
    </row>
    <row r="374" spans="1:48" ht="15" customHeight="1" x14ac:dyDescent="0.25">
      <c r="A374" s="1350"/>
      <c r="B374" s="1351"/>
      <c r="C374" s="75" t="s">
        <v>30</v>
      </c>
      <c r="D374" s="1235"/>
      <c r="E374" s="1236"/>
      <c r="F374" s="1236"/>
      <c r="G374" s="1236"/>
      <c r="H374" s="1236"/>
      <c r="I374" s="1236"/>
      <c r="J374" s="1236"/>
      <c r="K374" s="1236"/>
      <c r="L374" s="1236"/>
      <c r="M374" s="1236"/>
      <c r="N374" s="1236"/>
      <c r="O374" s="1236"/>
      <c r="P374" s="1236"/>
      <c r="Q374" s="1236"/>
      <c r="R374" s="1236"/>
      <c r="S374" s="1237"/>
      <c r="T374" s="320">
        <f>SUM(U308+U332+U354)+T372</f>
        <v>0</v>
      </c>
      <c r="U374" s="1235"/>
      <c r="V374" s="1237"/>
      <c r="W374" s="122"/>
      <c r="X374" s="369" t="s">
        <v>1100</v>
      </c>
      <c r="Y374" s="939">
        <f>U377-U376</f>
        <v>0</v>
      </c>
      <c r="Z374" s="939"/>
      <c r="AF374" s="376"/>
      <c r="AN374" s="376"/>
      <c r="AV374" s="376"/>
    </row>
    <row r="375" spans="1:48" ht="15" customHeight="1" x14ac:dyDescent="0.25">
      <c r="A375" s="1350"/>
      <c r="B375" s="1351"/>
      <c r="C375" s="75" t="s">
        <v>81</v>
      </c>
      <c r="D375" s="981">
        <f>D93</f>
        <v>0.22</v>
      </c>
      <c r="E375" s="982"/>
      <c r="F375" s="982"/>
      <c r="G375" s="982"/>
      <c r="H375" s="982"/>
      <c r="I375" s="982"/>
      <c r="J375" s="982"/>
      <c r="K375" s="982"/>
      <c r="L375" s="982"/>
      <c r="M375" s="982"/>
      <c r="N375" s="982"/>
      <c r="O375" s="982"/>
      <c r="P375" s="982"/>
      <c r="Q375" s="982"/>
      <c r="R375" s="982"/>
      <c r="S375" s="983"/>
      <c r="T375" s="320">
        <f>T374*D375</f>
        <v>0</v>
      </c>
      <c r="U375" s="1320"/>
      <c r="V375" s="1321"/>
      <c r="X375" s="407">
        <f>SUM(U378*0.012)</f>
        <v>7.6128</v>
      </c>
      <c r="AF375" s="363"/>
      <c r="AN375" s="376"/>
      <c r="AV375" s="376"/>
    </row>
    <row r="376" spans="1:48" ht="15" customHeight="1" x14ac:dyDescent="0.25">
      <c r="A376" s="1352"/>
      <c r="B376" s="1353"/>
      <c r="C376" s="75" t="s">
        <v>31</v>
      </c>
      <c r="D376" s="1235"/>
      <c r="E376" s="1236"/>
      <c r="F376" s="1236"/>
      <c r="G376" s="1236"/>
      <c r="H376" s="1236"/>
      <c r="I376" s="1236"/>
      <c r="J376" s="1236"/>
      <c r="K376" s="1236"/>
      <c r="L376" s="1236"/>
      <c r="M376" s="1236"/>
      <c r="N376" s="1236"/>
      <c r="O376" s="1236"/>
      <c r="P376" s="1236"/>
      <c r="Q376" s="1236"/>
      <c r="R376" s="1236"/>
      <c r="S376" s="1237"/>
      <c r="T376" s="320">
        <f>SUM(T374:T375)</f>
        <v>0</v>
      </c>
      <c r="U376" s="386">
        <f>T376</f>
        <v>0</v>
      </c>
      <c r="V376" s="299">
        <f>U376/D353</f>
        <v>0</v>
      </c>
      <c r="X376" s="407">
        <f t="shared" ref="X376:X379" si="143">SUM(U379*0.012)</f>
        <v>0</v>
      </c>
    </row>
    <row r="377" spans="1:48" ht="15" customHeight="1" x14ac:dyDescent="0.25">
      <c r="A377" s="778">
        <f>T364</f>
        <v>0</v>
      </c>
      <c r="B377" s="772">
        <v>0.04</v>
      </c>
      <c r="C377" s="773">
        <f>(T375)*B377</f>
        <v>0</v>
      </c>
      <c r="D377" s="664" t="s">
        <v>19</v>
      </c>
      <c r="E377" s="665"/>
      <c r="F377" s="665"/>
      <c r="G377" s="877" t="s">
        <v>1080</v>
      </c>
      <c r="H377" s="878"/>
      <c r="I377" s="879">
        <f>U308</f>
        <v>0</v>
      </c>
      <c r="J377" s="880"/>
      <c r="K377" s="880"/>
      <c r="L377" s="881"/>
      <c r="M377" s="346" t="s">
        <v>1081</v>
      </c>
      <c r="N377" s="879">
        <f>U332</f>
        <v>0</v>
      </c>
      <c r="O377" s="881"/>
      <c r="P377" s="346" t="s">
        <v>279</v>
      </c>
      <c r="Q377" s="347" t="e">
        <f>SUM(U354/U376)</f>
        <v>#DIV/0!</v>
      </c>
      <c r="R377" s="879">
        <f>U354</f>
        <v>0</v>
      </c>
      <c r="S377" s="881"/>
      <c r="T377" s="348">
        <f>T375</f>
        <v>0</v>
      </c>
      <c r="U377" s="1233">
        <f>SUM(U376*0.012)+U376</f>
        <v>0</v>
      </c>
      <c r="V377" s="1234"/>
      <c r="X377" s="407">
        <f t="shared" si="143"/>
        <v>0</v>
      </c>
    </row>
    <row r="378" spans="1:48" ht="21" customHeight="1" x14ac:dyDescent="0.25">
      <c r="A378" s="1295" t="s">
        <v>18</v>
      </c>
      <c r="B378" s="1295"/>
      <c r="C378" s="1295"/>
      <c r="D378" s="1295"/>
      <c r="E378" s="1295"/>
      <c r="F378" s="1295"/>
      <c r="G378" s="1295"/>
      <c r="H378" s="1295"/>
      <c r="I378" s="1295"/>
      <c r="J378" s="1295"/>
      <c r="K378" s="1295"/>
      <c r="L378" s="1295"/>
      <c r="M378" s="1295"/>
      <c r="N378" s="1295"/>
      <c r="O378" s="1295"/>
      <c r="P378" s="1295"/>
      <c r="Q378" s="1295"/>
      <c r="R378" s="1295"/>
      <c r="S378" s="1295"/>
      <c r="T378" s="1295"/>
      <c r="U378" s="1204">
        <f>U94</f>
        <v>634.4</v>
      </c>
      <c r="V378" s="1204"/>
      <c r="X378" s="407">
        <f t="shared" si="143"/>
        <v>7.5148800000000007</v>
      </c>
    </row>
    <row r="379" spans="1:48" ht="21" customHeight="1" x14ac:dyDescent="0.25">
      <c r="A379" s="1296" t="s">
        <v>171</v>
      </c>
      <c r="B379" s="1296"/>
      <c r="C379" s="1296"/>
      <c r="D379" s="1296"/>
      <c r="E379" s="1296"/>
      <c r="F379" s="1296"/>
      <c r="G379" s="1296"/>
      <c r="H379" s="1296"/>
      <c r="I379" s="1296"/>
      <c r="J379" s="1296"/>
      <c r="K379" s="1296"/>
      <c r="L379" s="1296"/>
      <c r="M379" s="1296"/>
      <c r="N379" s="1296"/>
      <c r="O379" s="1296"/>
      <c r="P379" s="1296"/>
      <c r="Q379" s="1296"/>
      <c r="R379" s="1296"/>
      <c r="S379" s="1296"/>
      <c r="T379" s="1296"/>
      <c r="U379" s="1204">
        <f>U171</f>
        <v>0</v>
      </c>
      <c r="V379" s="1204"/>
      <c r="X379" s="407">
        <f t="shared" si="143"/>
        <v>0</v>
      </c>
    </row>
    <row r="380" spans="1:48" ht="21" customHeight="1" x14ac:dyDescent="0.25">
      <c r="A380" s="1297" t="s">
        <v>290</v>
      </c>
      <c r="B380" s="1297"/>
      <c r="C380" s="1297"/>
      <c r="D380" s="1297"/>
      <c r="E380" s="1297"/>
      <c r="F380" s="1297"/>
      <c r="G380" s="1297"/>
      <c r="H380" s="1297"/>
      <c r="I380" s="1297"/>
      <c r="J380" s="1297"/>
      <c r="K380" s="1297"/>
      <c r="L380" s="1297"/>
      <c r="M380" s="1297"/>
      <c r="N380" s="1297"/>
      <c r="O380" s="1297"/>
      <c r="P380" s="1297"/>
      <c r="Q380" s="1297"/>
      <c r="R380" s="1297"/>
      <c r="S380" s="1297"/>
      <c r="T380" s="1297"/>
      <c r="U380" s="1204">
        <f>U230</f>
        <v>0</v>
      </c>
      <c r="V380" s="1204"/>
      <c r="X380" s="408">
        <f>SUM(X375:X379)</f>
        <v>15.127680000000002</v>
      </c>
    </row>
    <row r="381" spans="1:48" ht="21" customHeight="1" x14ac:dyDescent="0.25">
      <c r="A381" s="1298" t="s">
        <v>297</v>
      </c>
      <c r="B381" s="1298"/>
      <c r="C381" s="1298"/>
      <c r="D381" s="1298"/>
      <c r="E381" s="1298"/>
      <c r="F381" s="1298"/>
      <c r="G381" s="1298"/>
      <c r="H381" s="1298"/>
      <c r="I381" s="1298"/>
      <c r="J381" s="1298"/>
      <c r="K381" s="1298"/>
      <c r="L381" s="1298"/>
      <c r="M381" s="1298"/>
      <c r="N381" s="1298"/>
      <c r="O381" s="1298"/>
      <c r="P381" s="1298"/>
      <c r="Q381" s="1298"/>
      <c r="R381" s="1298"/>
      <c r="S381" s="1298"/>
      <c r="T381" s="1298"/>
      <c r="U381" s="1204">
        <f>U302</f>
        <v>626.24</v>
      </c>
      <c r="V381" s="1204"/>
    </row>
    <row r="382" spans="1:48" ht="21" customHeight="1" x14ac:dyDescent="0.25">
      <c r="A382" s="1299" t="s">
        <v>1175</v>
      </c>
      <c r="B382" s="1299"/>
      <c r="C382" s="1299"/>
      <c r="D382" s="1299"/>
      <c r="E382" s="1299"/>
      <c r="F382" s="1299"/>
      <c r="G382" s="1299"/>
      <c r="H382" s="1299"/>
      <c r="I382" s="1299"/>
      <c r="J382" s="1299"/>
      <c r="K382" s="1299"/>
      <c r="L382" s="1299"/>
      <c r="M382" s="1299"/>
      <c r="N382" s="1299"/>
      <c r="O382" s="1299"/>
      <c r="P382" s="1299"/>
      <c r="Q382" s="1299"/>
      <c r="R382" s="1299"/>
      <c r="S382" s="1299"/>
      <c r="T382" s="1299"/>
      <c r="U382" s="1204">
        <f>U376</f>
        <v>0</v>
      </c>
      <c r="V382" s="1204"/>
      <c r="X382" s="409" t="e" cm="1">
        <f t="array" aca="1" ref="X382" ca="1">SpellNumber(U383)</f>
        <v>#NAME?</v>
      </c>
      <c r="Y382" s="410"/>
      <c r="Z382" s="410" t="s">
        <v>957</v>
      </c>
    </row>
    <row r="383" spans="1:48" ht="21" customHeight="1" x14ac:dyDescent="0.25">
      <c r="C383" s="780">
        <f>C377+C303+C231+C172+C96</f>
        <v>10.055600000000002</v>
      </c>
      <c r="T383" s="413" t="s">
        <v>199</v>
      </c>
      <c r="U383" s="1294">
        <f>SUM(U378:U382)</f>
        <v>1260.6399999999999</v>
      </c>
      <c r="V383" s="1294"/>
    </row>
    <row r="386" spans="1:55" s="17" customFormat="1" ht="12" customHeight="1" x14ac:dyDescent="0.25">
      <c r="A386" s="328"/>
      <c r="B386" s="411"/>
      <c r="C386" s="328"/>
      <c r="D386" s="202"/>
      <c r="E386" s="412"/>
      <c r="F386" s="412"/>
      <c r="G386" s="412"/>
      <c r="H386" s="383">
        <f>M387-H387</f>
        <v>12</v>
      </c>
      <c r="I386" s="328"/>
      <c r="J386" s="382">
        <f>M386/H386</f>
        <v>3.4166666666666665</v>
      </c>
      <c r="K386" s="202"/>
      <c r="L386" s="381"/>
      <c r="M386" s="383">
        <f>Q387-M387</f>
        <v>41</v>
      </c>
      <c r="N386" s="381"/>
      <c r="O386" s="382">
        <f>Q386/M386</f>
        <v>1.2926829268292683</v>
      </c>
      <c r="P386" s="381"/>
      <c r="Q386" s="383">
        <f>T387-Q387</f>
        <v>53</v>
      </c>
      <c r="R386" s="381"/>
      <c r="S386" s="383"/>
      <c r="T386" s="383"/>
      <c r="U386" s="384"/>
      <c r="V386" s="328" t="s">
        <v>10240</v>
      </c>
      <c r="W386" s="363"/>
      <c r="X386" s="328"/>
      <c r="Y386" s="328"/>
      <c r="Z386" s="328"/>
      <c r="AA386" s="328"/>
      <c r="AB386" s="328"/>
      <c r="AC386" s="328"/>
      <c r="AD386" s="328"/>
      <c r="AE386" s="363"/>
      <c r="AF386" s="328"/>
      <c r="AG386" s="328"/>
      <c r="AH386" s="328"/>
      <c r="AI386" s="328"/>
      <c r="AJ386" s="328"/>
      <c r="AK386" s="328"/>
      <c r="AL386" s="328"/>
      <c r="AM386" s="363"/>
      <c r="AN386" s="328"/>
      <c r="AO386" s="328"/>
      <c r="AP386" s="328"/>
      <c r="AQ386" s="328"/>
      <c r="AR386" s="328"/>
      <c r="AS386" s="328"/>
      <c r="AT386" s="328"/>
      <c r="AU386" s="363"/>
      <c r="AV386" s="328"/>
      <c r="AW386" s="328"/>
      <c r="AX386" s="328"/>
      <c r="AY386" s="328"/>
      <c r="AZ386" s="328"/>
      <c r="BA386" s="328"/>
      <c r="BB386" s="328"/>
      <c r="BC386" s="363"/>
    </row>
    <row r="387" spans="1:55" s="17" customFormat="1" ht="12" customHeight="1" x14ac:dyDescent="0.25">
      <c r="A387" s="847" t="str">
        <f>Input!A134</f>
        <v>Window Screens</v>
      </c>
      <c r="B387" s="848"/>
      <c r="C387" s="479">
        <f>Input!C134</f>
        <v>0</v>
      </c>
      <c r="D387" s="844" t="s">
        <v>10173</v>
      </c>
      <c r="E387" s="845"/>
      <c r="F387" s="845"/>
      <c r="G387" s="846"/>
      <c r="H387" s="634">
        <v>43</v>
      </c>
      <c r="I387" s="844" t="s">
        <v>10174</v>
      </c>
      <c r="J387" s="845"/>
      <c r="K387" s="845"/>
      <c r="L387" s="846"/>
      <c r="M387" s="634">
        <v>55</v>
      </c>
      <c r="N387" s="844" t="s">
        <v>10175</v>
      </c>
      <c r="O387" s="845"/>
      <c r="P387" s="846"/>
      <c r="Q387" s="634">
        <v>96</v>
      </c>
      <c r="R387" s="844" t="s">
        <v>10176</v>
      </c>
      <c r="S387" s="846"/>
      <c r="T387" s="634">
        <v>149</v>
      </c>
      <c r="U387" s="703">
        <f>C387*T387</f>
        <v>0</v>
      </c>
      <c r="V387" s="703">
        <f>U387+U391</f>
        <v>0</v>
      </c>
      <c r="W387" s="363"/>
      <c r="X387" s="328"/>
      <c r="Y387" s="328"/>
      <c r="Z387" s="328"/>
      <c r="AA387" s="328"/>
      <c r="AB387" s="328"/>
      <c r="AC387" s="328"/>
      <c r="AD387" s="328"/>
      <c r="AE387" s="363"/>
      <c r="AF387" s="328"/>
      <c r="AG387" s="328"/>
      <c r="AH387" s="328"/>
      <c r="AI387" s="328"/>
      <c r="AJ387" s="328"/>
      <c r="AK387" s="328"/>
      <c r="AL387" s="328"/>
      <c r="AM387" s="363"/>
      <c r="AN387" s="328"/>
      <c r="AO387" s="328"/>
      <c r="AP387" s="328"/>
      <c r="AQ387" s="328"/>
      <c r="AR387" s="328"/>
      <c r="AS387" s="328"/>
      <c r="AT387" s="328"/>
      <c r="AU387" s="363"/>
      <c r="AV387" s="328"/>
      <c r="AW387" s="328"/>
      <c r="AX387" s="328"/>
      <c r="AY387" s="328"/>
      <c r="AZ387" s="328"/>
      <c r="BA387" s="328"/>
      <c r="BB387" s="328"/>
      <c r="BC387" s="363"/>
    </row>
    <row r="388" spans="1:55" s="17" customFormat="1" ht="12" customHeight="1" x14ac:dyDescent="0.25">
      <c r="A388" s="847" t="str">
        <f>Input!A135</f>
        <v>Window Hits</v>
      </c>
      <c r="B388" s="848"/>
      <c r="C388" s="479">
        <f>Input!C135</f>
        <v>0</v>
      </c>
      <c r="D388" s="844" t="s">
        <v>10169</v>
      </c>
      <c r="E388" s="845"/>
      <c r="F388" s="845"/>
      <c r="G388" s="846"/>
      <c r="H388" s="849">
        <v>450</v>
      </c>
      <c r="I388" s="849"/>
      <c r="J388" s="373" t="s">
        <v>10170</v>
      </c>
      <c r="K388" s="382"/>
      <c r="L388" s="381"/>
      <c r="M388" s="634">
        <v>175</v>
      </c>
      <c r="N388" s="373" t="s">
        <v>10171</v>
      </c>
      <c r="Q388" s="636">
        <v>1.4</v>
      </c>
      <c r="S388" s="383"/>
      <c r="T388" s="634">
        <f>M388</f>
        <v>175</v>
      </c>
      <c r="U388" s="703">
        <f>(C388*T388+H388)*Q388</f>
        <v>630</v>
      </c>
      <c r="V388" s="328"/>
      <c r="W388" s="363"/>
      <c r="X388" s="328"/>
      <c r="Y388" s="328"/>
      <c r="Z388" s="328"/>
      <c r="AA388" s="328"/>
      <c r="AB388" s="328"/>
      <c r="AC388" s="328"/>
      <c r="AD388" s="328"/>
      <c r="AE388" s="363"/>
      <c r="AF388" s="328"/>
      <c r="AG388" s="328"/>
      <c r="AH388" s="328"/>
      <c r="AI388" s="328"/>
      <c r="AJ388" s="328"/>
      <c r="AK388" s="328"/>
      <c r="AL388" s="328"/>
      <c r="AM388" s="363"/>
      <c r="AN388" s="328"/>
      <c r="AO388" s="328"/>
      <c r="AP388" s="328"/>
      <c r="AQ388" s="328"/>
      <c r="AR388" s="328"/>
      <c r="AS388" s="328"/>
      <c r="AT388" s="328"/>
      <c r="AU388" s="363"/>
      <c r="AV388" s="328"/>
      <c r="AW388" s="328"/>
      <c r="AX388" s="328"/>
      <c r="AY388" s="328"/>
      <c r="AZ388" s="328"/>
      <c r="BA388" s="328"/>
      <c r="BB388" s="328"/>
      <c r="BC388" s="363"/>
    </row>
    <row r="389" spans="1:55" s="17" customFormat="1" ht="12" customHeight="1" x14ac:dyDescent="0.25">
      <c r="A389" s="847" t="str">
        <f>Input!A136</f>
        <v>Window Well Cover</v>
      </c>
      <c r="B389" s="848"/>
      <c r="C389" s="479">
        <f>Input!C136</f>
        <v>0</v>
      </c>
      <c r="D389" s="844" t="s">
        <v>9159</v>
      </c>
      <c r="E389" s="845"/>
      <c r="F389" s="845"/>
      <c r="G389" s="846"/>
      <c r="H389" s="849">
        <v>100</v>
      </c>
      <c r="I389" s="849"/>
      <c r="T389" s="704">
        <v>109</v>
      </c>
      <c r="U389" s="703">
        <f>(H389+C389)*T389</f>
        <v>10900</v>
      </c>
      <c r="V389" s="328"/>
      <c r="W389" s="363"/>
      <c r="X389" s="328"/>
      <c r="Y389" s="328"/>
      <c r="Z389" s="328"/>
      <c r="AA389" s="328"/>
      <c r="AB389" s="328"/>
      <c r="AC389" s="328"/>
      <c r="AD389" s="328"/>
      <c r="AE389" s="363"/>
      <c r="AF389" s="328"/>
      <c r="AG389" s="328"/>
      <c r="AH389" s="328"/>
      <c r="AI389" s="328"/>
      <c r="AJ389" s="328"/>
      <c r="AK389" s="328"/>
      <c r="AL389" s="328"/>
      <c r="AM389" s="363"/>
      <c r="AN389" s="328"/>
      <c r="AO389" s="328"/>
      <c r="AP389" s="328"/>
      <c r="AQ389" s="328"/>
      <c r="AR389" s="328"/>
      <c r="AS389" s="328"/>
      <c r="AT389" s="328"/>
      <c r="AU389" s="363"/>
      <c r="AV389" s="328"/>
      <c r="AW389" s="328"/>
      <c r="AX389" s="328"/>
      <c r="AY389" s="328"/>
      <c r="AZ389" s="328"/>
      <c r="BA389" s="328"/>
      <c r="BB389" s="328"/>
      <c r="BC389" s="363"/>
    </row>
    <row r="390" spans="1:55" s="17" customFormat="1" ht="12" customHeight="1" x14ac:dyDescent="0.25">
      <c r="A390" s="847" t="str">
        <f>Input!A137</f>
        <v>Light Fixture</v>
      </c>
      <c r="B390" s="848"/>
      <c r="C390" s="479">
        <f>Input!C137</f>
        <v>0</v>
      </c>
      <c r="D390" s="844" t="s">
        <v>10241</v>
      </c>
      <c r="E390" s="845"/>
      <c r="F390" s="845"/>
      <c r="G390" s="846"/>
      <c r="Q390" s="636">
        <v>1.4</v>
      </c>
      <c r="S390" s="634">
        <v>100</v>
      </c>
      <c r="T390" s="634">
        <v>150</v>
      </c>
      <c r="U390" s="703">
        <f>(C390*S390+T390)*Q390</f>
        <v>210</v>
      </c>
      <c r="V390" s="328"/>
      <c r="W390" s="363"/>
      <c r="X390" s="328"/>
      <c r="Y390" s="328"/>
      <c r="Z390" s="328"/>
      <c r="AA390" s="328"/>
      <c r="AB390" s="328"/>
      <c r="AC390" s="328"/>
      <c r="AD390" s="328"/>
      <c r="AE390" s="363"/>
      <c r="AF390" s="328"/>
      <c r="AG390" s="328"/>
      <c r="AH390" s="328"/>
      <c r="AI390" s="328"/>
      <c r="AJ390" s="328"/>
      <c r="AK390" s="328"/>
      <c r="AL390" s="328"/>
      <c r="AM390" s="363"/>
      <c r="AN390" s="328"/>
      <c r="AO390" s="328"/>
      <c r="AP390" s="328"/>
      <c r="AQ390" s="328"/>
      <c r="AR390" s="328"/>
      <c r="AS390" s="328"/>
      <c r="AT390" s="328"/>
      <c r="AU390" s="363"/>
      <c r="AV390" s="328"/>
      <c r="AW390" s="328"/>
      <c r="AX390" s="328"/>
      <c r="AY390" s="328"/>
      <c r="AZ390" s="328"/>
      <c r="BA390" s="328"/>
      <c r="BB390" s="328"/>
      <c r="BC390" s="363"/>
    </row>
    <row r="391" spans="1:55" ht="12" customHeight="1" x14ac:dyDescent="0.25">
      <c r="A391" s="847" t="str">
        <f>Input!A138</f>
        <v>Patio Screen door</v>
      </c>
      <c r="B391" s="848"/>
      <c r="C391" s="479">
        <f>Input!C138</f>
        <v>0</v>
      </c>
      <c r="D391" s="844"/>
      <c r="E391" s="845"/>
      <c r="F391" s="845"/>
      <c r="G391" s="846"/>
      <c r="H391" s="17"/>
      <c r="I391" s="17"/>
      <c r="J391" s="17"/>
      <c r="K391" s="17"/>
      <c r="L391" s="17"/>
      <c r="M391" s="17"/>
      <c r="N391" s="17"/>
      <c r="O391" s="17"/>
      <c r="P391" s="17"/>
      <c r="Q391" s="636">
        <v>1.4</v>
      </c>
      <c r="R391" s="17"/>
      <c r="S391" s="17"/>
      <c r="T391" s="634">
        <f>T387*O386</f>
        <v>192.60975609756099</v>
      </c>
      <c r="U391" s="703">
        <f>C391*T391*Q391</f>
        <v>0</v>
      </c>
    </row>
    <row r="392" spans="1:55" ht="12" customHeight="1" x14ac:dyDescent="0.25">
      <c r="A392" s="847" t="str">
        <f>Input!A139</f>
        <v>Pillar Cap</v>
      </c>
      <c r="B392" s="848"/>
      <c r="C392" s="479">
        <f>Input!C139</f>
        <v>0</v>
      </c>
      <c r="D392" s="844" t="s">
        <v>10241</v>
      </c>
      <c r="E392" s="845"/>
      <c r="F392" s="845"/>
      <c r="G392" s="846"/>
      <c r="H392" s="844" t="s">
        <v>10242</v>
      </c>
      <c r="I392" s="845"/>
      <c r="J392" s="845"/>
      <c r="K392" s="846"/>
      <c r="L392" s="17"/>
      <c r="M392" s="17"/>
      <c r="N392" s="17"/>
      <c r="O392" s="17"/>
      <c r="P392" s="17"/>
      <c r="Q392" s="636">
        <v>1.4</v>
      </c>
      <c r="R392" s="17"/>
      <c r="S392" s="17">
        <v>50</v>
      </c>
      <c r="T392" s="634">
        <v>75</v>
      </c>
      <c r="U392" s="703">
        <f>(C392*S392+T392)*Q392</f>
        <v>105</v>
      </c>
    </row>
    <row r="393" spans="1:55" ht="12" customHeight="1" x14ac:dyDescent="0.25">
      <c r="A393" s="847" t="str">
        <f>Input!A140</f>
        <v>Masonry Cap</v>
      </c>
      <c r="B393" s="848"/>
      <c r="C393" s="479">
        <f>Input!C140</f>
        <v>0</v>
      </c>
      <c r="D393" s="844" t="s">
        <v>10241</v>
      </c>
      <c r="E393" s="845"/>
      <c r="F393" s="845"/>
      <c r="G393" s="846"/>
      <c r="H393" s="844" t="s">
        <v>10242</v>
      </c>
      <c r="I393" s="845"/>
      <c r="J393" s="845"/>
      <c r="K393" s="846"/>
      <c r="L393" s="17"/>
      <c r="M393" s="17"/>
      <c r="N393" s="17"/>
      <c r="O393" s="17"/>
      <c r="P393" s="17"/>
      <c r="Q393" s="636">
        <v>1.4</v>
      </c>
      <c r="R393" s="17"/>
      <c r="S393" s="17">
        <v>22</v>
      </c>
      <c r="T393" s="634">
        <v>50</v>
      </c>
      <c r="U393" s="703">
        <f>(C393*S393+T393)*Q393</f>
        <v>70</v>
      </c>
    </row>
  </sheetData>
  <mergeCells count="416">
    <mergeCell ref="Z111:AA111"/>
    <mergeCell ref="X109:Y109"/>
    <mergeCell ref="Z109:AB109"/>
    <mergeCell ref="Z115:AA115"/>
    <mergeCell ref="Z112:AA112"/>
    <mergeCell ref="Z113:AA113"/>
    <mergeCell ref="Y237:Z237"/>
    <mergeCell ref="Y240:Z240"/>
    <mergeCell ref="Y228:Z228"/>
    <mergeCell ref="Y222:Z222"/>
    <mergeCell ref="Y236:Z236"/>
    <mergeCell ref="Z118:AA118"/>
    <mergeCell ref="Z119:AA119"/>
    <mergeCell ref="Z114:AA114"/>
    <mergeCell ref="Z116:AA116"/>
    <mergeCell ref="Z117:AA117"/>
    <mergeCell ref="Z110:AA110"/>
    <mergeCell ref="Y223:Z223"/>
    <mergeCell ref="Y294:Z294"/>
    <mergeCell ref="Y295:Z295"/>
    <mergeCell ref="Y163:Z163"/>
    <mergeCell ref="Y164:Z164"/>
    <mergeCell ref="Y241:Z241"/>
    <mergeCell ref="U169:V170"/>
    <mergeCell ref="U172:V172"/>
    <mergeCell ref="C299:T299"/>
    <mergeCell ref="U150:V165"/>
    <mergeCell ref="N150:N165"/>
    <mergeCell ref="P150:P165"/>
    <mergeCell ref="C225:T225"/>
    <mergeCell ref="P236:S270"/>
    <mergeCell ref="U236:V270"/>
    <mergeCell ref="L272:L278"/>
    <mergeCell ref="P272:P278"/>
    <mergeCell ref="R272:R278"/>
    <mergeCell ref="D228:S228"/>
    <mergeCell ref="D229:S229"/>
    <mergeCell ref="D230:S230"/>
    <mergeCell ref="D235:F235"/>
    <mergeCell ref="U233:V233"/>
    <mergeCell ref="O208:P208"/>
    <mergeCell ref="U177:V200"/>
    <mergeCell ref="X302:AD302"/>
    <mergeCell ref="U333:V353"/>
    <mergeCell ref="A305:V305"/>
    <mergeCell ref="A304:V304"/>
    <mergeCell ref="A272:B302"/>
    <mergeCell ref="C280:N280"/>
    <mergeCell ref="O280:P280"/>
    <mergeCell ref="D302:S302"/>
    <mergeCell ref="U303:V303"/>
    <mergeCell ref="U300:V301"/>
    <mergeCell ref="A332:B332"/>
    <mergeCell ref="G306:T308"/>
    <mergeCell ref="C332:T332"/>
    <mergeCell ref="U306:V306"/>
    <mergeCell ref="D307:F307"/>
    <mergeCell ref="D308:F308"/>
    <mergeCell ref="J279:T279"/>
    <mergeCell ref="E272:I279"/>
    <mergeCell ref="Y299:Z299"/>
    <mergeCell ref="G303:H303"/>
    <mergeCell ref="A333:B376"/>
    <mergeCell ref="O354:P354"/>
    <mergeCell ref="I303:L303"/>
    <mergeCell ref="P333:P352"/>
    <mergeCell ref="Y374:Z374"/>
    <mergeCell ref="L309:M331"/>
    <mergeCell ref="U309:V331"/>
    <mergeCell ref="P309:S331"/>
    <mergeCell ref="P355:P370"/>
    <mergeCell ref="U355:V370"/>
    <mergeCell ref="C371:T371"/>
    <mergeCell ref="D375:S375"/>
    <mergeCell ref="D374:S374"/>
    <mergeCell ref="U374:V375"/>
    <mergeCell ref="U371:V371"/>
    <mergeCell ref="D372:S372"/>
    <mergeCell ref="C373:T373"/>
    <mergeCell ref="J353:T353"/>
    <mergeCell ref="L333:L352"/>
    <mergeCell ref="R333:R352"/>
    <mergeCell ref="U383:V383"/>
    <mergeCell ref="A378:T378"/>
    <mergeCell ref="A379:T379"/>
    <mergeCell ref="A380:T380"/>
    <mergeCell ref="A381:T381"/>
    <mergeCell ref="A382:T382"/>
    <mergeCell ref="U379:V379"/>
    <mergeCell ref="U380:V380"/>
    <mergeCell ref="U381:V381"/>
    <mergeCell ref="U378:V378"/>
    <mergeCell ref="A201:B201"/>
    <mergeCell ref="L236:M270"/>
    <mergeCell ref="G102:I102"/>
    <mergeCell ref="B100:B102"/>
    <mergeCell ref="G104:I104"/>
    <mergeCell ref="D226:S226"/>
    <mergeCell ref="D234:F234"/>
    <mergeCell ref="C201:T201"/>
    <mergeCell ref="C227:T227"/>
    <mergeCell ref="R202:R206"/>
    <mergeCell ref="P202:P206"/>
    <mergeCell ref="L202:L206"/>
    <mergeCell ref="C208:N208"/>
    <mergeCell ref="G172:H172"/>
    <mergeCell ref="A143:B171"/>
    <mergeCell ref="D167:S167"/>
    <mergeCell ref="D169:S169"/>
    <mergeCell ref="A232:V232"/>
    <mergeCell ref="A233:B235"/>
    <mergeCell ref="U202:V207"/>
    <mergeCell ref="U225:V225"/>
    <mergeCell ref="C168:T168"/>
    <mergeCell ref="U121:V121"/>
    <mergeCell ref="U143:U148"/>
    <mergeCell ref="C149:N149"/>
    <mergeCell ref="O149:P149"/>
    <mergeCell ref="A108:V108"/>
    <mergeCell ref="A121:B123"/>
    <mergeCell ref="U124:V141"/>
    <mergeCell ref="A142:B142"/>
    <mergeCell ref="C142:T142"/>
    <mergeCell ref="P124:S141"/>
    <mergeCell ref="D123:F123"/>
    <mergeCell ref="D122:F122"/>
    <mergeCell ref="D121:F121"/>
    <mergeCell ref="G121:T123"/>
    <mergeCell ref="L124:M141"/>
    <mergeCell ref="U174:V174"/>
    <mergeCell ref="U209:V224"/>
    <mergeCell ref="D170:S170"/>
    <mergeCell ref="D174:F174"/>
    <mergeCell ref="G174:T176"/>
    <mergeCell ref="D171:S171"/>
    <mergeCell ref="U228:V229"/>
    <mergeCell ref="U231:V231"/>
    <mergeCell ref="I172:L172"/>
    <mergeCell ref="N172:O172"/>
    <mergeCell ref="R172:S172"/>
    <mergeCell ref="R231:S231"/>
    <mergeCell ref="A271:B271"/>
    <mergeCell ref="C271:T271"/>
    <mergeCell ref="U382:V382"/>
    <mergeCell ref="A306:B308"/>
    <mergeCell ref="D306:F306"/>
    <mergeCell ref="U299:V299"/>
    <mergeCell ref="U281:V296"/>
    <mergeCell ref="U373:V373"/>
    <mergeCell ref="U272:V279"/>
    <mergeCell ref="N355:N370"/>
    <mergeCell ref="C354:N354"/>
    <mergeCell ref="U297:V297"/>
    <mergeCell ref="N303:O303"/>
    <mergeCell ref="R303:S303"/>
    <mergeCell ref="D300:S300"/>
    <mergeCell ref="D301:S301"/>
    <mergeCell ref="G377:H377"/>
    <mergeCell ref="I377:L377"/>
    <mergeCell ref="N377:O377"/>
    <mergeCell ref="R377:S377"/>
    <mergeCell ref="U377:V377"/>
    <mergeCell ref="D376:S376"/>
    <mergeCell ref="C297:T297"/>
    <mergeCell ref="D298:S298"/>
    <mergeCell ref="AC109:AD109"/>
    <mergeCell ref="U41:V69"/>
    <mergeCell ref="N72:N88"/>
    <mergeCell ref="P72:P88"/>
    <mergeCell ref="T41:T42"/>
    <mergeCell ref="J41:M42"/>
    <mergeCell ref="N41:S69"/>
    <mergeCell ref="A41:C42"/>
    <mergeCell ref="C71:N71"/>
    <mergeCell ref="AC98:AD98"/>
    <mergeCell ref="N99:P99"/>
    <mergeCell ref="G100:I100"/>
    <mergeCell ref="G99:I99"/>
    <mergeCell ref="N102:P102"/>
    <mergeCell ref="N105:P105"/>
    <mergeCell ref="N106:P106"/>
    <mergeCell ref="N104:P104"/>
    <mergeCell ref="Q104:T104"/>
    <mergeCell ref="AA100:AB100"/>
    <mergeCell ref="A98:F98"/>
    <mergeCell ref="B104:B107"/>
    <mergeCell ref="Y99:Z99"/>
    <mergeCell ref="N107:S107"/>
    <mergeCell ref="N103:P103"/>
    <mergeCell ref="AN1:AT7"/>
    <mergeCell ref="AN9:AR9"/>
    <mergeCell ref="AN11:AR11"/>
    <mergeCell ref="AS12:AT39"/>
    <mergeCell ref="X9:AB9"/>
    <mergeCell ref="AO23:AQ26"/>
    <mergeCell ref="AO28:AQ39"/>
    <mergeCell ref="X11:AB11"/>
    <mergeCell ref="AF1:AL7"/>
    <mergeCell ref="AF9:AJ9"/>
    <mergeCell ref="AF11:AJ11"/>
    <mergeCell ref="AG23:AI26"/>
    <mergeCell ref="X8:AL8"/>
    <mergeCell ref="X10:AL10"/>
    <mergeCell ref="X1:AD7"/>
    <mergeCell ref="AK12:AL39"/>
    <mergeCell ref="AC12:AD39"/>
    <mergeCell ref="AG28:AI39"/>
    <mergeCell ref="Y23:AA26"/>
    <mergeCell ref="Y28:AA39"/>
    <mergeCell ref="X108:AD108"/>
    <mergeCell ref="Y238:Z238"/>
    <mergeCell ref="Y239:Z239"/>
    <mergeCell ref="A202:B230"/>
    <mergeCell ref="U227:V227"/>
    <mergeCell ref="E202:I207"/>
    <mergeCell ref="J207:T207"/>
    <mergeCell ref="C166:T166"/>
    <mergeCell ref="A173:V173"/>
    <mergeCell ref="A174:B176"/>
    <mergeCell ref="L177:M200"/>
    <mergeCell ref="P177:S200"/>
    <mergeCell ref="D175:F175"/>
    <mergeCell ref="D176:F176"/>
    <mergeCell ref="Y169:Z169"/>
    <mergeCell ref="U166:V166"/>
    <mergeCell ref="U168:V168"/>
    <mergeCell ref="X120:AD120"/>
    <mergeCell ref="A110:B110"/>
    <mergeCell ref="A109:T109"/>
    <mergeCell ref="A120:V120"/>
    <mergeCell ref="P111:S119"/>
    <mergeCell ref="C110:T110"/>
    <mergeCell ref="U111:V119"/>
    <mergeCell ref="B1:C1"/>
    <mergeCell ref="J6:J7"/>
    <mergeCell ref="S4:T4"/>
    <mergeCell ref="S5:T5"/>
    <mergeCell ref="S2:T2"/>
    <mergeCell ref="Q4:R4"/>
    <mergeCell ref="Q5:R5"/>
    <mergeCell ref="C11:T11"/>
    <mergeCell ref="R6:S6"/>
    <mergeCell ref="A8:T8"/>
    <mergeCell ref="G1:P1"/>
    <mergeCell ref="C6:I6"/>
    <mergeCell ref="Q2:R2"/>
    <mergeCell ref="B6:B7"/>
    <mergeCell ref="K6:K7"/>
    <mergeCell ref="T6:T7"/>
    <mergeCell ref="A9:P9"/>
    <mergeCell ref="Q9:S9"/>
    <mergeCell ref="N6:O6"/>
    <mergeCell ref="D3:P3"/>
    <mergeCell ref="Q3:R3"/>
    <mergeCell ref="A91:V91"/>
    <mergeCell ref="A33:A35"/>
    <mergeCell ref="P12:S39"/>
    <mergeCell ref="AO40:AQ40"/>
    <mergeCell ref="AV1:BB7"/>
    <mergeCell ref="AV9:AZ9"/>
    <mergeCell ref="AV11:AZ11"/>
    <mergeCell ref="BA12:BB39"/>
    <mergeCell ref="AW23:AY26"/>
    <mergeCell ref="AW28:AY39"/>
    <mergeCell ref="AW40:AY40"/>
    <mergeCell ref="S3:T3"/>
    <mergeCell ref="U1:V8"/>
    <mergeCell ref="A10:V10"/>
    <mergeCell ref="P6:Q6"/>
    <mergeCell ref="Y40:AA40"/>
    <mergeCell ref="AG40:AI40"/>
    <mergeCell ref="B33:B35"/>
    <mergeCell ref="D5:P5"/>
    <mergeCell ref="L6:M6"/>
    <mergeCell ref="A11:B11"/>
    <mergeCell ref="A1:A7"/>
    <mergeCell ref="D1:F1"/>
    <mergeCell ref="L12:M39"/>
    <mergeCell ref="AF41:AF42"/>
    <mergeCell ref="AF71:AJ71"/>
    <mergeCell ref="X70:AL70"/>
    <mergeCell ref="X89:AL89"/>
    <mergeCell ref="X91:AL91"/>
    <mergeCell ref="AN70:AT70"/>
    <mergeCell ref="AC96:AD96"/>
    <mergeCell ref="AG41:AL69"/>
    <mergeCell ref="Y41:AD69"/>
    <mergeCell ref="Y90:AA90"/>
    <mergeCell ref="Y92:AA96"/>
    <mergeCell ref="Y72:AD88"/>
    <mergeCell ref="AN89:AT89"/>
    <mergeCell ref="AN91:AT91"/>
    <mergeCell ref="AO72:AT88"/>
    <mergeCell ref="AG72:AL88"/>
    <mergeCell ref="AN41:AN42"/>
    <mergeCell ref="AO41:AT69"/>
    <mergeCell ref="AN71:AR71"/>
    <mergeCell ref="AF96:AF98"/>
    <mergeCell ref="AG90:AI90"/>
    <mergeCell ref="AS92:AT93"/>
    <mergeCell ref="X71:AB71"/>
    <mergeCell ref="X41:X42"/>
    <mergeCell ref="A30:A32"/>
    <mergeCell ref="B64:B65"/>
    <mergeCell ref="B87:B88"/>
    <mergeCell ref="A89:V89"/>
    <mergeCell ref="D90:S90"/>
    <mergeCell ref="E43:I69"/>
    <mergeCell ref="A70:V70"/>
    <mergeCell ref="O71:P71"/>
    <mergeCell ref="A86:A88"/>
    <mergeCell ref="A71:B85"/>
    <mergeCell ref="U72:V88"/>
    <mergeCell ref="C40:T40"/>
    <mergeCell ref="A40:B40"/>
    <mergeCell ref="U12:V39"/>
    <mergeCell ref="A60:A69"/>
    <mergeCell ref="AG98:AJ98"/>
    <mergeCell ref="AG97:AL97"/>
    <mergeCell ref="BA96:BB96"/>
    <mergeCell ref="AK96:AL96"/>
    <mergeCell ref="AK98:AL98"/>
    <mergeCell ref="AW97:BB97"/>
    <mergeCell ref="AW98:AZ98"/>
    <mergeCell ref="BA98:BB98"/>
    <mergeCell ref="AN96:AN98"/>
    <mergeCell ref="AS96:AT96"/>
    <mergeCell ref="AO97:AT97"/>
    <mergeCell ref="AO98:AR98"/>
    <mergeCell ref="AS98:AT98"/>
    <mergeCell ref="G98:M98"/>
    <mergeCell ref="Y100:Z100"/>
    <mergeCell ref="Y102:Z102"/>
    <mergeCell ref="Y103:Z103"/>
    <mergeCell ref="Y101:Z101"/>
    <mergeCell ref="BD11:BP11"/>
    <mergeCell ref="BH12:BJ12"/>
    <mergeCell ref="BK12:BM12"/>
    <mergeCell ref="BN12:BP12"/>
    <mergeCell ref="BE12:BG12"/>
    <mergeCell ref="AV70:BB70"/>
    <mergeCell ref="AV71:AZ71"/>
    <mergeCell ref="AW72:BB88"/>
    <mergeCell ref="AV89:BB89"/>
    <mergeCell ref="AV41:AV42"/>
    <mergeCell ref="AW41:BB69"/>
    <mergeCell ref="AW90:AY90"/>
    <mergeCell ref="AV91:BB91"/>
    <mergeCell ref="AW92:AY96"/>
    <mergeCell ref="BA92:BB93"/>
    <mergeCell ref="AO90:AQ90"/>
    <mergeCell ref="AO92:AQ96"/>
    <mergeCell ref="AV96:AV98"/>
    <mergeCell ref="AK92:AL93"/>
    <mergeCell ref="A92:B94"/>
    <mergeCell ref="U92:V93"/>
    <mergeCell ref="D93:S93"/>
    <mergeCell ref="U96:V96"/>
    <mergeCell ref="N96:O96"/>
    <mergeCell ref="AG92:AI96"/>
    <mergeCell ref="AC92:AD93"/>
    <mergeCell ref="D92:S92"/>
    <mergeCell ref="D99:F99"/>
    <mergeCell ref="Y97:AD97"/>
    <mergeCell ref="X96:X98"/>
    <mergeCell ref="Y98:AB98"/>
    <mergeCell ref="A99:A107"/>
    <mergeCell ref="D100:F100"/>
    <mergeCell ref="A97:V97"/>
    <mergeCell ref="N100:P100"/>
    <mergeCell ref="N101:P101"/>
    <mergeCell ref="G105:I105"/>
    <mergeCell ref="G106:I106"/>
    <mergeCell ref="G103:I103"/>
    <mergeCell ref="U98:V107"/>
    <mergeCell ref="G96:H96"/>
    <mergeCell ref="I96:L96"/>
    <mergeCell ref="R96:S96"/>
    <mergeCell ref="N387:P387"/>
    <mergeCell ref="R387:S387"/>
    <mergeCell ref="D388:G388"/>
    <mergeCell ref="H388:I388"/>
    <mergeCell ref="D389:G389"/>
    <mergeCell ref="H389:I389"/>
    <mergeCell ref="D390:G390"/>
    <mergeCell ref="D94:I94"/>
    <mergeCell ref="K94:L94"/>
    <mergeCell ref="Q94:S94"/>
    <mergeCell ref="D101:F103"/>
    <mergeCell ref="D105:F106"/>
    <mergeCell ref="G101:I101"/>
    <mergeCell ref="L111:M119"/>
    <mergeCell ref="G107:L107"/>
    <mergeCell ref="J106:L106"/>
    <mergeCell ref="D104:F104"/>
    <mergeCell ref="D107:F107"/>
    <mergeCell ref="G231:H231"/>
    <mergeCell ref="I231:L231"/>
    <mergeCell ref="N231:O231"/>
    <mergeCell ref="D233:F233"/>
    <mergeCell ref="G233:T235"/>
    <mergeCell ref="N98:T98"/>
    <mergeCell ref="D391:G391"/>
    <mergeCell ref="A392:B392"/>
    <mergeCell ref="D392:G392"/>
    <mergeCell ref="H392:K392"/>
    <mergeCell ref="D393:G393"/>
    <mergeCell ref="H393:K393"/>
    <mergeCell ref="A387:B387"/>
    <mergeCell ref="A388:B388"/>
    <mergeCell ref="A389:B389"/>
    <mergeCell ref="A390:B390"/>
    <mergeCell ref="A391:B391"/>
    <mergeCell ref="A393:B393"/>
    <mergeCell ref="D387:G387"/>
    <mergeCell ref="I387:L387"/>
  </mergeCells>
  <phoneticPr fontId="57" type="noConversion"/>
  <conditionalFormatting sqref="L43:L44 L59">
    <cfRule type="colorScale" priority="35">
      <colorScale>
        <cfvo type="min"/>
        <cfvo type="max"/>
        <color rgb="FFFCFCFF"/>
        <color rgb="FF63BE7B"/>
      </colorScale>
    </cfRule>
  </conditionalFormatting>
  <conditionalFormatting sqref="D43:D59">
    <cfRule type="colorScale" priority="9">
      <colorScale>
        <cfvo type="min"/>
        <cfvo type="max"/>
        <color rgb="FFF8696B"/>
        <color rgb="FFFCFCFF"/>
      </colorScale>
    </cfRule>
  </conditionalFormatting>
  <conditionalFormatting sqref="L44:L59">
    <cfRule type="colorScale" priority="18">
      <colorScale>
        <cfvo type="min"/>
        <cfvo type="max"/>
        <color rgb="FFFCFCFF"/>
        <color rgb="FF63BE7B"/>
      </colorScale>
    </cfRule>
  </conditionalFormatting>
  <conditionalFormatting sqref="L43:L59">
    <cfRule type="colorScale" priority="16">
      <colorScale>
        <cfvo type="min"/>
        <cfvo type="max"/>
        <color rgb="FFFCFCFF"/>
        <color rgb="FF63BE7B"/>
      </colorScale>
    </cfRule>
  </conditionalFormatting>
  <conditionalFormatting sqref="Y41">
    <cfRule type="colorScale" priority="15">
      <colorScale>
        <cfvo type="min"/>
        <cfvo type="max"/>
        <color rgb="FFFCFCFF"/>
        <color rgb="FF63BE7B"/>
      </colorScale>
    </cfRule>
  </conditionalFormatting>
  <conditionalFormatting sqref="L43:L59">
    <cfRule type="colorScale" priority="11">
      <colorScale>
        <cfvo type="min"/>
        <cfvo type="max"/>
        <color rgb="FFFCFCFF"/>
        <color rgb="FFF8696B"/>
      </colorScale>
    </cfRule>
  </conditionalFormatting>
  <conditionalFormatting sqref="AG41">
    <cfRule type="colorScale" priority="3">
      <colorScale>
        <cfvo type="min"/>
        <cfvo type="max"/>
        <color rgb="FFFCFCFF"/>
        <color rgb="FF63BE7B"/>
      </colorScale>
    </cfRule>
  </conditionalFormatting>
  <conditionalFormatting sqref="AO41">
    <cfRule type="colorScale" priority="2">
      <colorScale>
        <cfvo type="min"/>
        <cfvo type="max"/>
        <color rgb="FFFCFCFF"/>
        <color rgb="FF63BE7B"/>
      </colorScale>
    </cfRule>
  </conditionalFormatting>
  <conditionalFormatting sqref="AW41">
    <cfRule type="colorScale" priority="1">
      <colorScale>
        <cfvo type="min"/>
        <cfvo type="max"/>
        <color rgb="FFFCFCFF"/>
        <color rgb="FF63BE7B"/>
      </colorScale>
    </cfRule>
  </conditionalFormatting>
  <conditionalFormatting sqref="BE20:BP20">
    <cfRule type="colorScale" priority="37">
      <colorScale>
        <cfvo type="min"/>
        <cfvo type="max"/>
        <color rgb="FF63BE7B"/>
        <color rgb="FFFCFCFF"/>
      </colorScale>
    </cfRule>
  </conditionalFormatting>
  <dataValidations count="4">
    <dataValidation type="list" allowBlank="1" showInputMessage="1" showErrorMessage="1" promptTitle="Estimator" prompt="Pick your name" sqref="S3:T3" xr:uid="{6137931F-B373-404E-9FE3-972EB1B35B4E}">
      <formula1>$W$1:$W$6</formula1>
    </dataValidation>
    <dataValidation type="list" allowBlank="1" showInputMessage="1" showErrorMessage="1" sqref="C112" xr:uid="{CB9DD8AF-005A-46F4-8B82-903A635714FF}">
      <formula1>$X$109:$X$119</formula1>
    </dataValidation>
    <dataValidation type="list" allowBlank="1" showInputMessage="1" showErrorMessage="1" sqref="C116" xr:uid="{0511A6A9-F8ED-439F-95AB-A44E286638C0}">
      <formula1>$AC$109:$AC$115</formula1>
    </dataValidation>
    <dataValidation type="list" allowBlank="1" showInputMessage="1" showErrorMessage="1" sqref="B237" xr:uid="{B186C520-965C-483D-A104-B34C1F719C34}">
      <formula1>$W$237:$W$238</formula1>
    </dataValidation>
  </dataValidations>
  <hyperlinks>
    <hyperlink ref="K87" r:id="rId1" xr:uid="{1DD88B09-584D-4BDA-A4F1-C3D8757F74F5}"/>
    <hyperlink ref="K86" r:id="rId2" xr:uid="{161F3A84-4F81-4008-B89C-ECA2BE1AE844}"/>
    <hyperlink ref="J99" r:id="rId3" xr:uid="{6F9532EA-1381-40FF-B859-ECEBCAF3FFBB}"/>
    <hyperlink ref="K88" r:id="rId4" xr:uid="{31294D47-337F-4BD9-BC4F-6D05A57F4427}"/>
    <hyperlink ref="K164" r:id="rId5" xr:uid="{DD5135EA-031E-454B-80BC-9AEFBEBC40F4}"/>
    <hyperlink ref="K163" r:id="rId6" xr:uid="{87E4C7BB-297E-4A4B-AB69-3D3EF3E687EF}"/>
    <hyperlink ref="K165" r:id="rId7" xr:uid="{54A26463-5F83-4904-A052-69932AC3B14A}"/>
    <hyperlink ref="K223" r:id="rId8" xr:uid="{EB0ACDA8-E00E-4B8E-824E-9240F0CFD537}"/>
    <hyperlink ref="K222" r:id="rId9" xr:uid="{906819B0-4AE1-4E67-9365-9697F3B67CBD}"/>
    <hyperlink ref="K224" r:id="rId10" xr:uid="{AF02506A-47D8-43B2-A3B9-411ECBDB3F10}"/>
    <hyperlink ref="K295" r:id="rId11" xr:uid="{88D66280-AA3C-4218-9254-B5CA8B8F861B}"/>
    <hyperlink ref="K294" r:id="rId12" xr:uid="{A04B9314-123B-4B67-8FA3-CCE25A42664E}"/>
    <hyperlink ref="K296" r:id="rId13" xr:uid="{E36B66D9-F1C9-40D1-A10A-C989F03DA439}"/>
    <hyperlink ref="K369" r:id="rId14" xr:uid="{E614F7B0-4F48-4130-BA96-421887EDA320}"/>
    <hyperlink ref="K368" r:id="rId15" xr:uid="{D402EB04-C213-4842-808A-FA2A9737C609}"/>
    <hyperlink ref="K370" r:id="rId16" xr:uid="{17D7C555-96A4-4984-B882-772A58E4696B}"/>
  </hyperlinks>
  <printOptions horizontalCentered="1" gridLines="1"/>
  <pageMargins left="0.19685039370078741" right="0.23622047244094491" top="0.23622047244094491" bottom="0.47244094488188981" header="0.23622047244094491" footer="0.19685039370078741"/>
  <pageSetup scale="89" fitToHeight="0" orientation="landscape" r:id="rId17"/>
  <headerFooter alignWithMargins="0">
    <oddFooter>&amp;L&amp;"Arial,Bold"&amp;8Printed &amp;D&amp;R&amp;"Arial,Bold"&amp;8Page &amp;P of &amp;N</oddFooter>
  </headerFooter>
  <rowBreaks count="1" manualBreakCount="1">
    <brk id="94" max="16383" man="1"/>
  </rowBreaks>
  <drawing r:id="rId18"/>
  <legacyDrawing r:id="rId19"/>
  <picture r:id="rId20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89" r:id="rId21" name="Drop Down 41">
              <controlPr defaultSize="0" autoLine="0" autoPict="0">
                <anchor moveWithCells="1">
                  <from>
                    <xdr:col>3</xdr:col>
                    <xdr:colOff>0</xdr:colOff>
                    <xdr:row>1</xdr:row>
                    <xdr:rowOff>152400</xdr:rowOff>
                  </from>
                  <to>
                    <xdr:col>15</xdr:col>
                    <xdr:colOff>295275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0" r:id="rId22" name="Drop Down 42">
              <controlPr defaultSize="0" autoLine="0" autoPict="0">
                <anchor moveWithCells="1">
                  <from>
                    <xdr:col>3</xdr:col>
                    <xdr:colOff>295275</xdr:colOff>
                    <xdr:row>17</xdr:row>
                    <xdr:rowOff>28575</xdr:rowOff>
                  </from>
                  <to>
                    <xdr:col>5</xdr:col>
                    <xdr:colOff>57150</xdr:colOff>
                    <xdr:row>18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1" r:id="rId23" name="Drop Down 93">
              <controlPr defaultSize="0" autoLine="0" autoPict="0">
                <anchor moveWithCells="1">
                  <from>
                    <xdr:col>5</xdr:col>
                    <xdr:colOff>66675</xdr:colOff>
                    <xdr:row>17</xdr:row>
                    <xdr:rowOff>28575</xdr:rowOff>
                  </from>
                  <to>
                    <xdr:col>7</xdr:col>
                    <xdr:colOff>85725</xdr:colOff>
                    <xdr:row>18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3" r:id="rId24" name="Drop Down 95">
              <controlPr defaultSize="0" autoLine="0" autoPict="0">
                <anchor moveWithCells="1">
                  <from>
                    <xdr:col>3</xdr:col>
                    <xdr:colOff>295275</xdr:colOff>
                    <xdr:row>18</xdr:row>
                    <xdr:rowOff>19050</xdr:rowOff>
                  </from>
                  <to>
                    <xdr:col>7</xdr:col>
                    <xdr:colOff>0</xdr:colOff>
                    <xdr:row>19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9">
        <x14:dataValidation type="list" allowBlank="1" showInputMessage="1" showErrorMessage="1" xr:uid="{5B4ED3D6-007A-4AB7-9FA8-081E5D833B92}">
          <x14:formula1>
            <xm:f>'R Data'!$A$8:$A$41</xm:f>
          </x14:formula1>
          <xm:sqref>D122 D175 D234 D307</xm:sqref>
        </x14:dataValidation>
        <x14:dataValidation type="list" allowBlank="1" showInputMessage="1" showErrorMessage="1" xr:uid="{1A901ECE-8FF8-4355-92E2-403404116C8E}">
          <x14:formula1>
            <xm:f>'R Data'!$A$10:$A$11</xm:f>
          </x14:formula1>
          <xm:sqref>B266:B269 R106 B38:B39 B66:B69 B163:B165 B222:B224 B294:B296 B368:B370 B30:B33 A28 D74 B139 B60:B64 B86:B87</xm:sqref>
        </x14:dataValidation>
        <x14:dataValidation type="list" allowBlank="1" showInputMessage="1" showErrorMessage="1" xr:uid="{916E6A84-7725-4BF5-9A45-3C3047808BA9}">
          <x14:formula1>
            <xm:f>'R Data'!$A$10:$A$15</xm:f>
          </x14:formula1>
          <xm:sqref>L100 L103</xm:sqref>
        </x14:dataValidation>
        <x14:dataValidation type="list" allowBlank="1" showInputMessage="1" showErrorMessage="1" xr:uid="{FCFF537B-7333-4AA1-BF4C-D80B4AD05721}">
          <x14:formula1>
            <xm:f>Input!$BD$37:$BD$41</xm:f>
          </x14:formula1>
          <xm:sqref>C124</xm:sqref>
        </x14:dataValidation>
        <x14:dataValidation type="list" allowBlank="1" showInputMessage="1" showErrorMessage="1" xr:uid="{64631328-B7F6-4518-BAC9-C0F58FBCE1B0}">
          <x14:formula1>
            <xm:f>Input!$BD$42:$BD$45</xm:f>
          </x14:formula1>
          <xm:sqref>C126</xm:sqref>
        </x14:dataValidation>
        <x14:dataValidation type="list" allowBlank="1" showInputMessage="1" showErrorMessage="1" xr:uid="{632B62D4-1137-4C98-8DA9-495FB5179B5C}">
          <x14:formula1>
            <xm:f>Input!$BD$46:$BD$52</xm:f>
          </x14:formula1>
          <xm:sqref>C133</xm:sqref>
        </x14:dataValidation>
        <x14:dataValidation type="list" allowBlank="1" showInputMessage="1" showErrorMessage="1" xr:uid="{ED0D89EB-F7B7-45E0-A5E1-042AC8D49002}">
          <x14:formula1>
            <xm:f>'R Data'!$W$81:$W$96</xm:f>
          </x14:formula1>
          <xm:sqref>I103 I100 G100 G103</xm:sqref>
        </x14:dataValidation>
        <x14:dataValidation type="list" allowBlank="1" showInputMessage="1" showErrorMessage="1" xr:uid="{9B1DE003-BFDB-4E56-9EAE-6EFD9A095206}">
          <x14:formula1>
            <xm:f>'R Data'!$AA$81:$AA$83</xm:f>
          </x14:formula1>
          <xm:sqref>J106:L106</xm:sqref>
        </x14:dataValidation>
        <x14:dataValidation type="list" allowBlank="1" showInputMessage="1" showErrorMessage="1" xr:uid="{BBE39F81-2DA2-4996-81D7-825299174FEB}">
          <x14:formula1>
            <xm:f>'R Data'!$S$40:$S$79</xm:f>
          </x14:formula1>
          <xm:sqref>C19 AV19 AN19 AF19 X19</xm:sqref>
        </x14:dataValidation>
        <x14:dataValidation type="list" allowBlank="1" showInputMessage="1" showErrorMessage="1" xr:uid="{22A0A51D-5C02-475A-A2C7-E227B9F6D334}">
          <x14:formula1>
            <xm:f>'R Data'!$K$40:$K$49</xm:f>
          </x14:formula1>
          <xm:sqref>AN15 AF15 C15 X15 AV15</xm:sqref>
        </x14:dataValidation>
        <x14:dataValidation type="list" allowBlank="1" showInputMessage="1" showErrorMessage="1" xr:uid="{3FFB4B37-3002-47DB-91DA-D35548FD641B}">
          <x14:formula1>
            <xm:f>'R Data'!$K$50:$K$59</xm:f>
          </x14:formula1>
          <xm:sqref>AN16 AF16 C16 X16 AV16</xm:sqref>
        </x14:dataValidation>
        <x14:dataValidation type="list" allowBlank="1" showInputMessage="1" showErrorMessage="1" xr:uid="{607235E1-3A86-4231-95A0-914E3FA44903}">
          <x14:formula1>
            <xm:f>'R Data'!$K$60:$K$79</xm:f>
          </x14:formula1>
          <xm:sqref>AN17 AF17 C17 X17 AV17</xm:sqref>
        </x14:dataValidation>
        <x14:dataValidation type="list" allowBlank="1" showInputMessage="1" showErrorMessage="1" xr:uid="{BE30C7C4-C900-4EC3-950D-D5B0EB22A435}">
          <x14:formula1>
            <xm:f>'R Data'!$K$2:$K$39</xm:f>
          </x14:formula1>
          <xm:sqref>AV13 AN13 AF13 C13 X13</xm:sqref>
        </x14:dataValidation>
        <x14:dataValidation type="list" allowBlank="1" showInputMessage="1" showErrorMessage="1" xr:uid="{F148981F-485E-4DEF-8EAD-40862BFC92D8}">
          <x14:formula1>
            <xm:f>'R Data'!$O$40:$O$49</xm:f>
          </x14:formula1>
          <xm:sqref>C20 AN20 X20 AF20 AV20</xm:sqref>
        </x14:dataValidation>
        <x14:dataValidation type="list" allowBlank="1" showInputMessage="1" showErrorMessage="1" xr:uid="{C59DD3D1-ED39-410B-BCB8-D67CA6068C33}">
          <x14:formula1>
            <xm:f>'R Data'!$O$50:$O$59</xm:f>
          </x14:formula1>
          <xm:sqref>C21 AN21 X21 AF21 AV21</xm:sqref>
        </x14:dataValidation>
        <x14:dataValidation type="list" allowBlank="1" showInputMessage="1" showErrorMessage="1" xr:uid="{C2182F6C-D677-4F27-B087-5C7687A17C7B}">
          <x14:formula1>
            <xm:f>'R Data'!$O$60:$O$69</xm:f>
          </x14:formula1>
          <xm:sqref>C22 AN22 X22 AF22 AV22</xm:sqref>
        </x14:dataValidation>
        <x14:dataValidation type="list" allowBlank="1" showInputMessage="1" showErrorMessage="1" xr:uid="{1BC90794-2EF9-4B58-B38A-B11CB26CAA10}">
          <x14:formula1>
            <xm:f>'R Data'!$K$80:$K$149</xm:f>
          </x14:formula1>
          <xm:sqref>AV28</xm:sqref>
        </x14:dataValidation>
        <x14:dataValidation type="list" allowBlank="1" showInputMessage="1" showErrorMessage="1" xr:uid="{EE6C048C-1824-45FE-8BD6-DBDDD268E6F0}">
          <x14:formula1>
            <xm:f>'R Data'!$K$80:$K$211</xm:f>
          </x14:formula1>
          <xm:sqref>C27:C28 X27:X28 AF27:AF28 AN27:AN28</xm:sqref>
        </x14:dataValidation>
        <x14:dataValidation type="list" allowBlank="1" showInputMessage="1" showErrorMessage="1" xr:uid="{044786DD-8B56-4C75-ABB2-A9E96E8DD2B9}">
          <x14:formula1>
            <xm:f>'R Data'!$K$80:$K$139</xm:f>
          </x14:formula1>
          <xm:sqref>AV27</xm:sqref>
        </x14:dataValidation>
        <x14:dataValidation type="list" allowBlank="1" showInputMessage="1" showErrorMessage="1" xr:uid="{7B01471A-FAFD-4414-BBB4-B10E92B66132}">
          <x14:formula1>
            <xm:f>'R Data'!$O$2:$O$28</xm:f>
          </x14:formula1>
          <xm:sqref>AN14</xm:sqref>
        </x14:dataValidation>
        <x14:dataValidation type="list" allowBlank="1" showInputMessage="1" showErrorMessage="1" xr:uid="{2BE28E41-94C0-4A51-8E7E-4192FBD7278A}">
          <x14:formula1>
            <xm:f>'R Data'!$O$2:$O$39</xm:f>
          </x14:formula1>
          <xm:sqref>AV14 X14 AF14 C14</xm:sqref>
        </x14:dataValidation>
        <x14:dataValidation type="list" allowBlank="1" showInputMessage="1" showErrorMessage="1" xr:uid="{EF7A8B3E-46DD-4C8E-88A3-16768A475070}">
          <x14:formula1>
            <xm:f>'R Data'!$S$2:$S$39</xm:f>
          </x14:formula1>
          <xm:sqref>AN18 AV18 X18 C18 AF18</xm:sqref>
        </x14:dataValidation>
        <x14:dataValidation type="list" allowBlank="1" showInputMessage="1" showErrorMessage="1" xr:uid="{584B284E-647A-4485-98E5-D865BCA900EF}">
          <x14:formula1>
            <xm:f>'R Data'!$F$2:$F$50</xm:f>
          </x14:formula1>
          <xm:sqref>AV12 AF12 AN12</xm:sqref>
        </x14:dataValidation>
        <x14:dataValidation type="list" allowBlank="1" showInputMessage="1" showErrorMessage="1" xr:uid="{47EF7438-9202-4DC6-B3D6-1A34105E24F9}">
          <x14:formula1>
            <xm:f>'R Data'!$F$2:$F$79</xm:f>
          </x14:formula1>
          <xm:sqref>C12 X12</xm:sqref>
        </x14:dataValidation>
        <x14:dataValidation type="list" allowBlank="1" showInputMessage="1" showErrorMessage="1" xr:uid="{44979E4D-E76D-4006-B039-37753E3D94D2}">
          <x14:formula1>
            <xm:f>'R Data'!$B$10:$B$11</xm:f>
          </x14:formula1>
          <xm:sqref>D203</xm:sqref>
        </x14:dataValidation>
        <x14:dataValidation type="list" allowBlank="1" showInputMessage="1" showErrorMessage="1" xr:uid="{21E1EDE6-1041-48A7-9FC4-02181A068012}">
          <x14:formula1>
            <xm:f>'R Data'!$A$10:$A$41</xm:f>
          </x14:formula1>
          <xm:sqref>D158</xm:sqref>
        </x14:dataValidation>
        <x14:dataValidation type="list" allowBlank="1" showInputMessage="1" showErrorMessage="1" xr:uid="{B07BC46F-A891-4C28-BB52-72D5E9C8236A}">
          <x14:formula1>
            <xm:f>'R Data'!$A$10:$A$42</xm:f>
          </x14:formula1>
          <xm:sqref>D152 D156</xm:sqref>
        </x14:dataValidation>
        <x14:dataValidation type="list" allowBlank="1" showInputMessage="1" showErrorMessage="1" xr:uid="{E9EDAF4B-81F2-43F1-9512-783234CC5989}">
          <x14:formula1>
            <xm:f>'R Data'!$C$8:$C$26</xm:f>
          </x14:formula1>
          <xm:sqref>D121 D306 D233 D174</xm:sqref>
        </x14:dataValidation>
        <x14:dataValidation type="list" allowBlank="1" showInputMessage="1" showErrorMessage="1" xr:uid="{98B99B34-CF0A-4C15-8AEF-C54F7A5EF2B9}">
          <x14:formula1>
            <xm:f>'R Data'!$B$8:$B$12</xm:f>
          </x14:formula1>
          <xm:sqref>D123 D308 D235 D176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A0A696-FC97-45F8-A355-0F62B03892DC}">
  <sheetPr codeName="Sheet6">
    <tabColor theme="2" tint="-0.249977111117893"/>
    <pageSetUpPr fitToPage="1"/>
  </sheetPr>
  <dimension ref="A1:O71"/>
  <sheetViews>
    <sheetView workbookViewId="0">
      <selection activeCell="K20" sqref="K20"/>
    </sheetView>
  </sheetViews>
  <sheetFormatPr defaultRowHeight="15" outlineLevelRow="1" x14ac:dyDescent="0.25"/>
  <cols>
    <col min="1" max="1" width="7.5703125" style="359" customWidth="1"/>
    <col min="2" max="2" width="11.42578125" style="359" customWidth="1"/>
    <col min="3" max="4" width="9.140625" style="359"/>
    <col min="5" max="5" width="15.28515625" style="359" customWidth="1"/>
    <col min="6" max="6" width="8.42578125" style="359" customWidth="1"/>
    <col min="7" max="8" width="10.28515625" style="359" customWidth="1"/>
    <col min="9" max="9" width="14.28515625" style="47" customWidth="1"/>
    <col min="10" max="16384" width="9.140625" style="359"/>
  </cols>
  <sheetData>
    <row r="1" spans="1:9" ht="17.25" x14ac:dyDescent="0.25">
      <c r="A1" s="1463"/>
      <c r="B1" s="1463"/>
      <c r="C1" s="1463"/>
      <c r="D1" s="1463"/>
      <c r="E1" s="682" t="s">
        <v>781</v>
      </c>
      <c r="F1" s="682"/>
      <c r="G1" s="1642" t="s">
        <v>1248</v>
      </c>
      <c r="H1" s="1642"/>
      <c r="I1" s="1642"/>
    </row>
    <row r="2" spans="1:9" x14ac:dyDescent="0.25">
      <c r="A2" s="1463"/>
      <c r="B2" s="1463"/>
      <c r="C2" s="1463"/>
      <c r="D2" s="1463"/>
      <c r="E2" s="682" t="s">
        <v>1236</v>
      </c>
      <c r="F2" s="682"/>
      <c r="G2" s="601"/>
      <c r="H2" s="601"/>
      <c r="I2" s="678" t="s">
        <v>776</v>
      </c>
    </row>
    <row r="3" spans="1:9" x14ac:dyDescent="0.25">
      <c r="A3" s="1463"/>
      <c r="B3" s="1463"/>
      <c r="C3" s="1463"/>
      <c r="D3" s="1463"/>
      <c r="E3" s="1639" t="s">
        <v>777</v>
      </c>
      <c r="F3" s="1639"/>
      <c r="G3" s="1639"/>
      <c r="H3" s="1639"/>
      <c r="I3" s="1639"/>
    </row>
    <row r="4" spans="1:9" x14ac:dyDescent="0.25">
      <c r="A4" s="1463"/>
      <c r="B4" s="1463"/>
      <c r="C4" s="1463"/>
      <c r="D4" s="1463"/>
      <c r="E4" s="1640" t="s">
        <v>1253</v>
      </c>
      <c r="F4" s="1640"/>
      <c r="G4" s="1640"/>
      <c r="H4" s="1640"/>
      <c r="I4" s="1640"/>
    </row>
    <row r="5" spans="1:9" ht="15" customHeight="1" x14ac:dyDescent="0.25">
      <c r="A5" s="1463"/>
      <c r="B5" s="1463"/>
      <c r="C5" s="1463"/>
      <c r="D5" s="1463"/>
      <c r="E5" s="1641" t="s">
        <v>10087</v>
      </c>
      <c r="F5" s="1641" t="str">
        <f>'B 1'!R1</f>
        <v>RFP -</v>
      </c>
      <c r="G5" s="1641"/>
      <c r="H5" s="1641"/>
      <c r="I5" s="1641" t="s">
        <v>10238</v>
      </c>
    </row>
    <row r="6" spans="1:9" ht="15" customHeight="1" x14ac:dyDescent="0.25">
      <c r="A6" s="1463"/>
      <c r="B6" s="1463"/>
      <c r="C6" s="1463"/>
      <c r="D6" s="1463"/>
      <c r="E6" s="1641"/>
      <c r="F6" s="1641"/>
      <c r="G6" s="1641"/>
      <c r="H6" s="1641"/>
      <c r="I6" s="1641"/>
    </row>
    <row r="7" spans="1:9" ht="15" customHeight="1" x14ac:dyDescent="0.25">
      <c r="A7" s="1463"/>
      <c r="B7" s="1463"/>
      <c r="C7" s="1463"/>
      <c r="D7" s="1463"/>
      <c r="E7" s="1641"/>
      <c r="F7" s="1641"/>
      <c r="G7" s="1641"/>
      <c r="H7" s="1641"/>
      <c r="I7" s="1641"/>
    </row>
    <row r="8" spans="1:9" ht="18.75" x14ac:dyDescent="0.25">
      <c r="A8" s="1643" t="str" cm="1">
        <f t="array" aca="1" ref="A8" ca="1">MID(CELL("filename",A1),FIND("]",CELL("filename",A1))+1,255)</f>
        <v>Roofing RFP - PO</v>
      </c>
      <c r="B8" s="1643"/>
      <c r="C8" s="1643"/>
      <c r="D8" s="1643"/>
      <c r="F8" s="1643" t="s">
        <v>781</v>
      </c>
      <c r="G8" s="1643"/>
      <c r="H8" s="1643"/>
      <c r="I8" s="1643"/>
    </row>
    <row r="9" spans="1:9" ht="3" customHeight="1" x14ac:dyDescent="0.25">
      <c r="A9" s="1580"/>
      <c r="B9" s="1581"/>
      <c r="C9" s="1581"/>
      <c r="D9" s="1581"/>
      <c r="E9" s="1581"/>
      <c r="F9" s="1581"/>
      <c r="G9" s="1581"/>
      <c r="H9" s="1581"/>
      <c r="I9" s="1583"/>
    </row>
    <row r="10" spans="1:9" x14ac:dyDescent="0.25">
      <c r="A10" s="1578" t="s">
        <v>305</v>
      </c>
      <c r="B10" s="1579"/>
      <c r="C10" s="1635" t="str">
        <f>'B 1'!S3</f>
        <v>Dwight Cameron 403-492-9351 dwight@megaroofing.ca</v>
      </c>
      <c r="D10" s="1635"/>
      <c r="E10" s="1636"/>
      <c r="F10" s="1578" t="s">
        <v>230</v>
      </c>
      <c r="G10" s="1579"/>
      <c r="H10" s="1644">
        <f ca="1">TODAY()</f>
        <v>46240</v>
      </c>
      <c r="I10" s="1645"/>
    </row>
    <row r="11" spans="1:9" ht="15" customHeight="1" x14ac:dyDescent="0.25">
      <c r="A11" s="1633"/>
      <c r="B11" s="1634"/>
      <c r="C11" s="1637"/>
      <c r="D11" s="1637"/>
      <c r="E11" s="1638"/>
      <c r="F11" s="591" t="s">
        <v>994</v>
      </c>
      <c r="G11" s="592"/>
      <c r="H11" s="1631" t="str">
        <f>'B 1'!D2</f>
        <v>Company Name</v>
      </c>
      <c r="I11" s="1632"/>
    </row>
    <row r="12" spans="1:9" ht="15" customHeight="1" x14ac:dyDescent="0.25">
      <c r="A12" s="1589"/>
      <c r="B12" s="1590"/>
      <c r="C12" s="1590"/>
      <c r="D12" s="1590"/>
      <c r="E12" s="1591"/>
      <c r="F12" s="1578" t="s">
        <v>991</v>
      </c>
      <c r="G12" s="1579"/>
      <c r="H12" s="1579"/>
      <c r="I12" s="1584"/>
    </row>
    <row r="13" spans="1:9" ht="15" customHeight="1" x14ac:dyDescent="0.25">
      <c r="A13" s="1592"/>
      <c r="B13" s="1593"/>
      <c r="C13" s="1593"/>
      <c r="D13" s="1593"/>
      <c r="E13" s="1594"/>
      <c r="F13" s="1585" t="str">
        <f>'B 1'!D4</f>
        <v>ADDRESS</v>
      </c>
      <c r="G13" s="1586"/>
      <c r="H13" s="1586"/>
      <c r="I13" s="593" t="s">
        <v>993</v>
      </c>
    </row>
    <row r="14" spans="1:9" ht="3" customHeight="1" x14ac:dyDescent="0.25">
      <c r="A14" s="1580"/>
      <c r="B14" s="1581"/>
      <c r="C14" s="1581"/>
      <c r="D14" s="1581"/>
      <c r="E14" s="1581"/>
      <c r="F14" s="1582"/>
      <c r="G14" s="1581"/>
      <c r="H14" s="1581"/>
      <c r="I14" s="1583"/>
    </row>
    <row r="15" spans="1:9" ht="15.75" x14ac:dyDescent="0.25">
      <c r="A15" s="1578" t="s">
        <v>794</v>
      </c>
      <c r="B15" s="1579"/>
      <c r="C15" s="701" t="str">
        <f>F5</f>
        <v>RFP -</v>
      </c>
      <c r="D15" s="701" t="str">
        <f>I5</f>
        <v xml:space="preserve"> A</v>
      </c>
      <c r="E15" s="702" t="s">
        <v>7621</v>
      </c>
      <c r="F15" s="1587" t="s">
        <v>307</v>
      </c>
      <c r="G15" s="1588"/>
      <c r="H15" s="1588"/>
      <c r="I15" s="1588"/>
    </row>
    <row r="16" spans="1:9" ht="17.25" customHeight="1" outlineLevel="1" x14ac:dyDescent="0.25">
      <c r="A16" s="1626" t="s">
        <v>1251</v>
      </c>
      <c r="B16" s="1627"/>
      <c r="C16" s="570"/>
      <c r="D16" s="570"/>
      <c r="E16" s="573">
        <v>45917</v>
      </c>
      <c r="F16" s="1614" t="s">
        <v>778</v>
      </c>
      <c r="G16" s="1615"/>
      <c r="H16" s="1615"/>
      <c r="I16" s="1615"/>
    </row>
    <row r="17" spans="1:15" outlineLevel="1" x14ac:dyDescent="0.25">
      <c r="A17" s="1626" t="s">
        <v>1249</v>
      </c>
      <c r="B17" s="1627"/>
      <c r="C17" s="1623" t="s">
        <v>1250</v>
      </c>
      <c r="D17" s="1624"/>
      <c r="E17" s="1625"/>
      <c r="F17" s="585">
        <f>'B 1'!J12</f>
        <v>3.2399999999999999E-8</v>
      </c>
      <c r="G17" s="1616" t="str">
        <f>'B 1'!C12</f>
        <v>GAF Timberline HDZ</v>
      </c>
      <c r="H17" s="1617"/>
      <c r="I17" s="571" t="s">
        <v>310</v>
      </c>
    </row>
    <row r="18" spans="1:15" ht="15" customHeight="1" outlineLevel="1" x14ac:dyDescent="0.25">
      <c r="A18" s="1626" t="s">
        <v>1252</v>
      </c>
      <c r="B18" s="1627"/>
      <c r="C18" s="570"/>
      <c r="D18" s="572"/>
      <c r="E18" s="573">
        <v>45917</v>
      </c>
      <c r="F18" s="585">
        <f>'B 1'!J13</f>
        <v>0</v>
      </c>
      <c r="G18" s="1621" t="str">
        <f>'B 1'!C13</f>
        <v>GAF Weatherblocker Starter Strip</v>
      </c>
      <c r="H18" s="1617"/>
      <c r="I18" s="1622"/>
    </row>
    <row r="19" spans="1:15" outlineLevel="1" x14ac:dyDescent="0.25">
      <c r="A19" s="1628" t="s">
        <v>345</v>
      </c>
      <c r="B19" s="1629"/>
      <c r="C19" s="1629"/>
      <c r="D19" s="1629"/>
      <c r="E19" s="1630"/>
      <c r="F19" s="585">
        <f>'B 1'!J14</f>
        <v>0</v>
      </c>
      <c r="G19" s="580" t="str">
        <f>'B 1'!C14</f>
        <v>GAF Seal-A-Ridge</v>
      </c>
      <c r="H19" s="580"/>
      <c r="I19" s="46" t="str">
        <f>I17</f>
        <v>Midnight Black</v>
      </c>
    </row>
    <row r="20" spans="1:15" ht="15" customHeight="1" outlineLevel="1" x14ac:dyDescent="0.25">
      <c r="A20" s="1562" t="str">
        <f>VLOOKUP(A19,'R Data'!W2:X19,2,FALSE)</f>
        <v>calgary@convoy-supply.com</v>
      </c>
      <c r="B20" s="1563"/>
      <c r="C20" s="1563"/>
      <c r="D20" s="1563"/>
      <c r="E20" s="1564"/>
      <c r="F20" s="585">
        <f>'B 1'!J18</f>
        <v>0</v>
      </c>
      <c r="G20" s="1621" t="str">
        <f>'B 1'!C18</f>
        <v xml:space="preserve">Resisto LB1236 36" </v>
      </c>
      <c r="H20" s="1617"/>
      <c r="I20" s="1622"/>
      <c r="O20" s="594"/>
    </row>
    <row r="21" spans="1:15" ht="15" customHeight="1" outlineLevel="1" x14ac:dyDescent="0.25">
      <c r="A21" s="1562" t="str">
        <f>VLOOKUP(A20,'R Data'!X2:Y19,2,FALSE)</f>
        <v>3716 64 Ave SE</v>
      </c>
      <c r="B21" s="1563"/>
      <c r="C21" s="1563"/>
      <c r="D21" s="1563"/>
      <c r="E21" s="1564"/>
      <c r="F21" s="585">
        <f>'B 1'!J19</f>
        <v>1.0999999999999999E-9</v>
      </c>
      <c r="G21" s="1621" t="str">
        <f>'B 1'!C19</f>
        <v>TriBuilt Synthetic</v>
      </c>
      <c r="H21" s="1617"/>
      <c r="I21" s="1622"/>
    </row>
    <row r="22" spans="1:15" ht="15" customHeight="1" x14ac:dyDescent="0.25">
      <c r="A22" s="1618" t="s">
        <v>306</v>
      </c>
      <c r="B22" s="1619"/>
      <c r="C22" s="1619"/>
      <c r="D22" s="1619"/>
      <c r="E22" s="1620"/>
      <c r="F22" s="597">
        <f>'B 1'!J26</f>
        <v>0</v>
      </c>
      <c r="G22" s="580" t="str">
        <f>'B 1'!C26</f>
        <v>Primex Gooseneck</v>
      </c>
      <c r="H22" s="580"/>
      <c r="I22" s="571" t="s">
        <v>364</v>
      </c>
    </row>
    <row r="23" spans="1:15" ht="15" customHeight="1" x14ac:dyDescent="0.25">
      <c r="A23" s="1562" t="str">
        <f>VLOOKUP(A21,'R Data'!Y2:Z19,2,FALSE)</f>
        <v>T2C 2B4</v>
      </c>
      <c r="B23" s="1563"/>
      <c r="C23" s="1563"/>
      <c r="D23" s="1563"/>
      <c r="E23" s="1564"/>
      <c r="F23" s="597">
        <f>'B 1'!J29</f>
        <v>0</v>
      </c>
      <c r="G23" s="1621" t="str">
        <f>'B 1'!C29</f>
        <v>4" Oatley</v>
      </c>
      <c r="H23" s="1617"/>
      <c r="I23" s="1622"/>
    </row>
    <row r="24" spans="1:15" ht="15" customHeight="1" x14ac:dyDescent="0.25">
      <c r="A24" s="1562" t="str">
        <f>VLOOKUP(A23,'R Data'!Z2:AA19,2,FALSE)</f>
        <v>403-207-3400</v>
      </c>
      <c r="B24" s="1563"/>
      <c r="C24" s="1563"/>
      <c r="D24" s="1563"/>
      <c r="E24" s="1564"/>
      <c r="F24" s="597">
        <f>'B 1'!J27</f>
        <v>5.0000000000000001E-9</v>
      </c>
      <c r="G24" s="580" t="str">
        <f>'B 1'!C27</f>
        <v>WeatherPRO50</v>
      </c>
      <c r="H24" s="580"/>
      <c r="I24" s="46" t="str">
        <f>$I$22</f>
        <v>Vent Colours</v>
      </c>
    </row>
    <row r="25" spans="1:15" ht="15" customHeight="1" x14ac:dyDescent="0.25">
      <c r="A25" s="1573" t="s">
        <v>746</v>
      </c>
      <c r="B25" s="1574"/>
      <c r="C25" s="1574"/>
      <c r="D25" s="1574"/>
      <c r="E25" s="569"/>
      <c r="F25" s="597">
        <f>'B 1'!J28</f>
        <v>0</v>
      </c>
      <c r="G25" s="580" t="str">
        <f>'B 1'!C28</f>
        <v>WeatherPRO50</v>
      </c>
      <c r="H25" s="580"/>
      <c r="I25" s="46" t="str">
        <f>$I$22</f>
        <v>Vent Colours</v>
      </c>
    </row>
    <row r="26" spans="1:15" x14ac:dyDescent="0.25">
      <c r="A26" s="1565" t="s">
        <v>1040</v>
      </c>
      <c r="B26" s="1566"/>
      <c r="C26" s="1566"/>
      <c r="D26" s="1566"/>
      <c r="E26" s="1567"/>
      <c r="F26" s="597">
        <f>'B 1'!J30</f>
        <v>0</v>
      </c>
      <c r="G26" s="580" t="str">
        <f>'B 1'!C30</f>
        <v>"B" Vent - Chimney Rain Caps &amp; S/C</v>
      </c>
      <c r="H26" s="580"/>
      <c r="I26" s="46"/>
    </row>
    <row r="27" spans="1:15" x14ac:dyDescent="0.25">
      <c r="A27" s="1568"/>
      <c r="B27" s="1569"/>
      <c r="C27" s="1569"/>
      <c r="D27" s="1569"/>
      <c r="E27" s="1570"/>
      <c r="F27" s="597">
        <f>'B 1'!J32</f>
        <v>0</v>
      </c>
      <c r="G27" s="580" t="str">
        <f>'B 1'!C32</f>
        <v>"B" Vent - Coller Flange</v>
      </c>
      <c r="H27" s="580"/>
      <c r="I27" s="46"/>
      <c r="L27" s="594"/>
    </row>
    <row r="28" spans="1:15" ht="15" customHeight="1" x14ac:dyDescent="0.25">
      <c r="A28" s="1571" t="s">
        <v>1044</v>
      </c>
      <c r="B28" s="1572"/>
      <c r="C28" s="170" t="s">
        <v>1042</v>
      </c>
      <c r="D28" s="170" t="s">
        <v>1041</v>
      </c>
      <c r="E28" s="171" t="s">
        <v>1043</v>
      </c>
      <c r="F28" s="680" t="s">
        <v>779</v>
      </c>
      <c r="G28" s="681"/>
      <c r="H28" s="681"/>
      <c r="I28" s="679"/>
    </row>
    <row r="29" spans="1:15" x14ac:dyDescent="0.25">
      <c r="A29" s="1575" t="s">
        <v>344</v>
      </c>
      <c r="B29" s="1576"/>
      <c r="C29" s="1576"/>
      <c r="D29" s="1576"/>
      <c r="E29" s="1577"/>
      <c r="F29" s="597">
        <f>'B 1'!J20</f>
        <v>0</v>
      </c>
      <c r="G29" s="580" t="str">
        <f>'B 1'!C20</f>
        <v xml:space="preserve">Drip Edge - 26ga - 1.5" </v>
      </c>
      <c r="H29" s="313"/>
      <c r="I29" s="46" t="str">
        <f t="shared" ref="I29:I32" si="0">$I$22</f>
        <v>Vent Colours</v>
      </c>
    </row>
    <row r="30" spans="1:15" ht="15" customHeight="1" x14ac:dyDescent="0.25">
      <c r="A30" s="1598"/>
      <c r="B30" s="1599"/>
      <c r="C30" s="1599"/>
      <c r="D30" s="1599"/>
      <c r="E30" s="1600"/>
      <c r="F30" s="597">
        <f>'B 1'!J21</f>
        <v>0</v>
      </c>
      <c r="G30" s="580" t="str">
        <f>'B 1'!C21</f>
        <v xml:space="preserve">Rake Edge - 26ga - 1" </v>
      </c>
      <c r="H30" s="313"/>
      <c r="I30" s="46" t="str">
        <f t="shared" si="0"/>
        <v>Vent Colours</v>
      </c>
    </row>
    <row r="31" spans="1:15" x14ac:dyDescent="0.25">
      <c r="A31" s="1462"/>
      <c r="B31" s="1463"/>
      <c r="C31" s="1463"/>
      <c r="D31" s="1463"/>
      <c r="E31" s="1601"/>
      <c r="F31" s="597">
        <f>'B 1'!J22</f>
        <v>0</v>
      </c>
      <c r="G31" s="580" t="str">
        <f>'B 1'!C22</f>
        <v xml:space="preserve">Valley Flashing - 28ga </v>
      </c>
      <c r="H31" s="313"/>
      <c r="I31" s="46" t="str">
        <f t="shared" si="0"/>
        <v>Vent Colours</v>
      </c>
    </row>
    <row r="32" spans="1:15" x14ac:dyDescent="0.25">
      <c r="A32" s="1462"/>
      <c r="B32" s="1463"/>
      <c r="C32" s="1463"/>
      <c r="D32" s="1463"/>
      <c r="E32" s="1601"/>
      <c r="F32" s="597">
        <f>'B 1'!J23</f>
        <v>0</v>
      </c>
      <c r="G32" s="580" t="str">
        <f>'B 1'!C23</f>
        <v>Transition Flashing</v>
      </c>
      <c r="H32" s="313"/>
      <c r="I32" s="46" t="str">
        <f t="shared" si="0"/>
        <v>Vent Colours</v>
      </c>
      <c r="N32" s="594"/>
    </row>
    <row r="33" spans="1:9" ht="15" customHeight="1" x14ac:dyDescent="0.25">
      <c r="A33" s="1462"/>
      <c r="B33" s="1463"/>
      <c r="C33" s="1463"/>
      <c r="D33" s="1463"/>
      <c r="E33" s="1601"/>
      <c r="F33" s="597">
        <f>'B 1'!J24</f>
        <v>0</v>
      </c>
      <c r="G33" s="595" t="str">
        <f>'B 1'!C24</f>
        <v>Step Flashing - 30 ga</v>
      </c>
      <c r="H33" s="596"/>
      <c r="I33" s="46" t="str">
        <f>$I$22</f>
        <v>Vent Colours</v>
      </c>
    </row>
    <row r="34" spans="1:9" x14ac:dyDescent="0.25">
      <c r="A34" s="1462"/>
      <c r="B34" s="1463"/>
      <c r="C34" s="1463"/>
      <c r="D34" s="1463"/>
      <c r="E34" s="1601"/>
      <c r="F34" s="683">
        <f>'B 1'!J25</f>
        <v>0</v>
      </c>
      <c r="G34" s="1595" t="str">
        <f>'B 1'!C25</f>
        <v>Wall Flashing - 30ga</v>
      </c>
      <c r="H34" s="1596"/>
      <c r="I34" s="684" t="str">
        <f>$I$22</f>
        <v>Vent Colours</v>
      </c>
    </row>
    <row r="35" spans="1:9" x14ac:dyDescent="0.25">
      <c r="A35" s="1462"/>
      <c r="B35" s="1463"/>
      <c r="C35" s="1463"/>
      <c r="D35" s="1463"/>
      <c r="E35" s="1601"/>
      <c r="F35" s="1605" t="s">
        <v>1236</v>
      </c>
      <c r="G35" s="1606"/>
      <c r="H35" s="1606"/>
      <c r="I35" s="1607"/>
    </row>
    <row r="36" spans="1:9" ht="15" customHeight="1" x14ac:dyDescent="0.25">
      <c r="A36" s="1462"/>
      <c r="B36" s="1463"/>
      <c r="C36" s="1463"/>
      <c r="D36" s="1463"/>
      <c r="E36" s="1601"/>
      <c r="F36" s="1608"/>
      <c r="G36" s="1609"/>
      <c r="H36" s="1609"/>
      <c r="I36" s="1610"/>
    </row>
    <row r="37" spans="1:9" x14ac:dyDescent="0.25">
      <c r="A37" s="1462"/>
      <c r="B37" s="1463"/>
      <c r="C37" s="1463"/>
      <c r="D37" s="1463"/>
      <c r="E37" s="1601"/>
      <c r="F37" s="1608"/>
      <c r="G37" s="1609"/>
      <c r="H37" s="1609"/>
      <c r="I37" s="1610"/>
    </row>
    <row r="38" spans="1:9" x14ac:dyDescent="0.25">
      <c r="A38" s="1462"/>
      <c r="B38" s="1463"/>
      <c r="C38" s="1463"/>
      <c r="D38" s="1463"/>
      <c r="E38" s="1601"/>
      <c r="F38" s="1608"/>
      <c r="G38" s="1609"/>
      <c r="H38" s="1609"/>
      <c r="I38" s="1610"/>
    </row>
    <row r="39" spans="1:9" ht="15" customHeight="1" x14ac:dyDescent="0.25">
      <c r="A39" s="1462"/>
      <c r="B39" s="1463"/>
      <c r="C39" s="1463"/>
      <c r="D39" s="1463"/>
      <c r="E39" s="1601"/>
      <c r="F39" s="1608"/>
      <c r="G39" s="1609"/>
      <c r="H39" s="1609"/>
      <c r="I39" s="1610"/>
    </row>
    <row r="40" spans="1:9" x14ac:dyDescent="0.25">
      <c r="A40" s="1462"/>
      <c r="B40" s="1463"/>
      <c r="C40" s="1463"/>
      <c r="D40" s="1463"/>
      <c r="E40" s="1601"/>
      <c r="F40" s="1608"/>
      <c r="G40" s="1609"/>
      <c r="H40" s="1609"/>
      <c r="I40" s="1610"/>
    </row>
    <row r="41" spans="1:9" x14ac:dyDescent="0.25">
      <c r="A41" s="1462"/>
      <c r="B41" s="1463"/>
      <c r="C41" s="1463"/>
      <c r="D41" s="1463"/>
      <c r="E41" s="1601"/>
      <c r="F41" s="1608"/>
      <c r="G41" s="1609"/>
      <c r="H41" s="1609"/>
      <c r="I41" s="1610"/>
    </row>
    <row r="42" spans="1:9" x14ac:dyDescent="0.25">
      <c r="A42" s="1462"/>
      <c r="B42" s="1463"/>
      <c r="C42" s="1463"/>
      <c r="D42" s="1463"/>
      <c r="E42" s="1601"/>
      <c r="F42" s="1608"/>
      <c r="G42" s="1609"/>
      <c r="H42" s="1609"/>
      <c r="I42" s="1610"/>
    </row>
    <row r="43" spans="1:9" x14ac:dyDescent="0.25">
      <c r="A43" s="1462"/>
      <c r="B43" s="1463"/>
      <c r="C43" s="1463"/>
      <c r="D43" s="1463"/>
      <c r="E43" s="1601"/>
      <c r="F43" s="1608"/>
      <c r="G43" s="1609"/>
      <c r="H43" s="1609"/>
      <c r="I43" s="1610"/>
    </row>
    <row r="44" spans="1:9" x14ac:dyDescent="0.25">
      <c r="A44" s="1462"/>
      <c r="B44" s="1463"/>
      <c r="C44" s="1463"/>
      <c r="D44" s="1463"/>
      <c r="E44" s="1601"/>
      <c r="F44" s="1608"/>
      <c r="G44" s="1609"/>
      <c r="H44" s="1609"/>
      <c r="I44" s="1610"/>
    </row>
    <row r="45" spans="1:9" x14ac:dyDescent="0.25">
      <c r="A45" s="1462"/>
      <c r="B45" s="1463"/>
      <c r="C45" s="1463"/>
      <c r="D45" s="1463"/>
      <c r="E45" s="1601"/>
      <c r="F45" s="1608"/>
      <c r="G45" s="1609"/>
      <c r="H45" s="1609"/>
      <c r="I45" s="1610"/>
    </row>
    <row r="46" spans="1:9" x14ac:dyDescent="0.25">
      <c r="A46" s="1462"/>
      <c r="B46" s="1463"/>
      <c r="C46" s="1463"/>
      <c r="D46" s="1463"/>
      <c r="E46" s="1601"/>
      <c r="F46" s="1608"/>
      <c r="G46" s="1609"/>
      <c r="H46" s="1609"/>
      <c r="I46" s="1610"/>
    </row>
    <row r="47" spans="1:9" x14ac:dyDescent="0.25">
      <c r="A47" s="1462"/>
      <c r="B47" s="1463"/>
      <c r="C47" s="1463"/>
      <c r="D47" s="1463"/>
      <c r="E47" s="1601"/>
      <c r="F47" s="1608"/>
      <c r="G47" s="1609"/>
      <c r="H47" s="1609"/>
      <c r="I47" s="1610"/>
    </row>
    <row r="48" spans="1:9" x14ac:dyDescent="0.25">
      <c r="A48" s="1602"/>
      <c r="B48" s="1603"/>
      <c r="C48" s="1603"/>
      <c r="D48" s="1603"/>
      <c r="E48" s="1604"/>
      <c r="F48" s="1608"/>
      <c r="G48" s="1609"/>
      <c r="H48" s="1609"/>
      <c r="I48" s="1610"/>
    </row>
    <row r="49" spans="1:9" ht="15" customHeight="1" x14ac:dyDescent="0.25">
      <c r="A49" s="1575" t="s">
        <v>1247</v>
      </c>
      <c r="B49" s="1576"/>
      <c r="C49" s="1576"/>
      <c r="D49" s="1576"/>
      <c r="E49" s="1577"/>
      <c r="F49" s="1608"/>
      <c r="G49" s="1609"/>
      <c r="H49" s="1609"/>
      <c r="I49" s="1610"/>
    </row>
    <row r="50" spans="1:9" ht="15" customHeight="1" x14ac:dyDescent="0.25">
      <c r="A50" s="598">
        <f>SUM('B 1'!J44:J48)</f>
        <v>0</v>
      </c>
      <c r="B50" s="598">
        <f>'B 1'!J49</f>
        <v>0</v>
      </c>
      <c r="C50" s="598">
        <f>'B 1'!J50</f>
        <v>0</v>
      </c>
      <c r="D50" s="598">
        <f>'B 1'!J51</f>
        <v>0</v>
      </c>
      <c r="E50" s="598">
        <f>'B 1'!J52</f>
        <v>0</v>
      </c>
      <c r="F50" s="1611"/>
      <c r="G50" s="1612"/>
      <c r="H50" s="1612"/>
      <c r="I50" s="1613"/>
    </row>
    <row r="51" spans="1:9" x14ac:dyDescent="0.25">
      <c r="A51" s="599">
        <f>'B 1'!J53</f>
        <v>0</v>
      </c>
      <c r="B51" s="598">
        <f>'B 1'!J54</f>
        <v>0</v>
      </c>
      <c r="C51" s="598">
        <f>'B 1'!J55</f>
        <v>0</v>
      </c>
      <c r="D51" s="598">
        <f>'B 1'!J56</f>
        <v>0</v>
      </c>
      <c r="E51" s="598">
        <f>SUM('B 1'!J57:J59)</f>
        <v>0</v>
      </c>
      <c r="F51" s="1597" t="s">
        <v>780</v>
      </c>
      <c r="G51" s="1597"/>
      <c r="H51" s="1597"/>
      <c r="I51" s="1597"/>
    </row>
    <row r="52" spans="1:9" ht="3" customHeight="1" x14ac:dyDescent="0.25">
      <c r="A52" s="1580"/>
      <c r="B52" s="1581"/>
      <c r="C52" s="1581"/>
      <c r="D52" s="1581"/>
      <c r="E52" s="1581"/>
      <c r="F52" s="1581"/>
      <c r="G52" s="1581"/>
      <c r="H52" s="1581"/>
      <c r="I52" s="1583"/>
    </row>
    <row r="55" spans="1:9" x14ac:dyDescent="0.25">
      <c r="H55" s="589"/>
      <c r="I55" s="48"/>
    </row>
    <row r="56" spans="1:9" x14ac:dyDescent="0.25">
      <c r="H56" s="590"/>
      <c r="I56" s="49"/>
    </row>
    <row r="57" spans="1:9" x14ac:dyDescent="0.25">
      <c r="H57" s="590"/>
      <c r="I57" s="49"/>
    </row>
    <row r="58" spans="1:9" x14ac:dyDescent="0.25">
      <c r="H58" s="590"/>
      <c r="I58" s="49"/>
    </row>
    <row r="59" spans="1:9" x14ac:dyDescent="0.25">
      <c r="H59" s="590"/>
      <c r="I59" s="49"/>
    </row>
    <row r="62" spans="1:9" x14ac:dyDescent="0.25">
      <c r="A62" s="590"/>
      <c r="B62" s="590"/>
      <c r="C62" s="590"/>
      <c r="D62" s="590"/>
      <c r="E62" s="590"/>
      <c r="F62" s="590"/>
      <c r="G62" s="590"/>
      <c r="H62" s="590"/>
      <c r="I62" s="49"/>
    </row>
    <row r="64" spans="1:9" x14ac:dyDescent="0.25">
      <c r="A64" s="590"/>
      <c r="F64" s="590"/>
    </row>
    <row r="65" spans="1:9" x14ac:dyDescent="0.25">
      <c r="A65" s="590"/>
      <c r="F65" s="590"/>
    </row>
    <row r="66" spans="1:9" x14ac:dyDescent="0.25">
      <c r="A66" s="590"/>
      <c r="F66" s="590"/>
    </row>
    <row r="67" spans="1:9" x14ac:dyDescent="0.25">
      <c r="A67" s="590"/>
      <c r="F67" s="590"/>
    </row>
    <row r="68" spans="1:9" x14ac:dyDescent="0.25">
      <c r="A68" s="590"/>
      <c r="D68" s="47"/>
      <c r="E68" s="47"/>
      <c r="F68" s="590"/>
      <c r="G68" s="47"/>
      <c r="H68" s="47"/>
    </row>
    <row r="69" spans="1:9" x14ac:dyDescent="0.25">
      <c r="A69" s="590"/>
      <c r="B69" s="590"/>
      <c r="C69" s="590"/>
      <c r="D69" s="590"/>
      <c r="E69" s="590"/>
      <c r="F69" s="590"/>
      <c r="G69" s="590"/>
      <c r="H69" s="590"/>
      <c r="I69" s="49"/>
    </row>
    <row r="71" spans="1:9" x14ac:dyDescent="0.25">
      <c r="A71" s="590"/>
      <c r="B71" s="590"/>
      <c r="C71" s="590"/>
      <c r="D71" s="590"/>
      <c r="E71" s="49"/>
      <c r="F71" s="590"/>
      <c r="G71" s="590"/>
      <c r="H71" s="590"/>
      <c r="I71" s="49"/>
    </row>
  </sheetData>
  <mergeCells count="47">
    <mergeCell ref="H11:I11"/>
    <mergeCell ref="A10:B11"/>
    <mergeCell ref="C10:E11"/>
    <mergeCell ref="A1:D7"/>
    <mergeCell ref="E3:I3"/>
    <mergeCell ref="E4:I4"/>
    <mergeCell ref="E5:E7"/>
    <mergeCell ref="G1:I1"/>
    <mergeCell ref="F5:H7"/>
    <mergeCell ref="I5:I7"/>
    <mergeCell ref="A8:D8"/>
    <mergeCell ref="F8:I8"/>
    <mergeCell ref="A9:I9"/>
    <mergeCell ref="F10:G10"/>
    <mergeCell ref="H10:I10"/>
    <mergeCell ref="F16:I16"/>
    <mergeCell ref="G17:H17"/>
    <mergeCell ref="A23:E23"/>
    <mergeCell ref="A20:E20"/>
    <mergeCell ref="A21:E21"/>
    <mergeCell ref="A22:E22"/>
    <mergeCell ref="G20:I20"/>
    <mergeCell ref="G18:I18"/>
    <mergeCell ref="C17:E17"/>
    <mergeCell ref="A18:B18"/>
    <mergeCell ref="A17:B17"/>
    <mergeCell ref="A16:B16"/>
    <mergeCell ref="G21:I21"/>
    <mergeCell ref="G23:I23"/>
    <mergeCell ref="A19:E19"/>
    <mergeCell ref="G34:H34"/>
    <mergeCell ref="A52:I52"/>
    <mergeCell ref="F51:I51"/>
    <mergeCell ref="A49:E49"/>
    <mergeCell ref="A30:E48"/>
    <mergeCell ref="F35:I50"/>
    <mergeCell ref="A15:B15"/>
    <mergeCell ref="A14:I14"/>
    <mergeCell ref="F12:I12"/>
    <mergeCell ref="F13:H13"/>
    <mergeCell ref="F15:I15"/>
    <mergeCell ref="A12:E13"/>
    <mergeCell ref="A24:E24"/>
    <mergeCell ref="A26:E27"/>
    <mergeCell ref="A28:B28"/>
    <mergeCell ref="A25:D25"/>
    <mergeCell ref="A29:E29"/>
  </mergeCells>
  <dataValidations count="1">
    <dataValidation type="list" allowBlank="1" showInputMessage="1" showErrorMessage="1" sqref="F8" xr:uid="{31BE0D1D-9E6F-40A5-B76A-9BECF281376B}">
      <formula1>$E$1:$E$2</formula1>
    </dataValidation>
  </dataValidations>
  <hyperlinks>
    <hyperlink ref="C17" r:id="rId1" xr:uid="{CDF156AA-10D2-4618-8CF8-1118A5685AF4}"/>
  </hyperlinks>
  <pageMargins left="0.7" right="0.7" top="0.75" bottom="0.75" header="0.3" footer="0.3"/>
  <pageSetup scale="92" orientation="portrait" r:id="rId2"/>
  <drawing r:id="rId3"/>
  <legacyDrawing r:id="rId4"/>
  <picture r:id="rId5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AF6614D-B3B1-4032-8F46-4036E5EF6497}">
          <x14:formula1>
            <xm:f>'R Data'!$C$36:$C$41</xm:f>
          </x14:formula1>
          <xm:sqref>I22</xm:sqref>
        </x14:dataValidation>
        <x14:dataValidation type="list" allowBlank="1" showInputMessage="1" showErrorMessage="1" xr:uid="{82FB785A-3C52-403C-9474-64557223AE69}">
          <x14:formula1>
            <xm:f>'R Data'!$W$2:$W$19</xm:f>
          </x14:formula1>
          <xm:sqref>A19:E19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3324C6-D0C9-42BB-9497-C1D296056692}">
  <sheetPr codeName="Sheet7">
    <tabColor theme="2" tint="-0.499984740745262"/>
    <pageSetUpPr fitToPage="1"/>
  </sheetPr>
  <dimension ref="A1:Q167"/>
  <sheetViews>
    <sheetView topLeftCell="A91" workbookViewId="0">
      <selection activeCell="L73" sqref="L73"/>
    </sheetView>
  </sheetViews>
  <sheetFormatPr defaultRowHeight="15" x14ac:dyDescent="0.25"/>
  <cols>
    <col min="1" max="1" width="8" style="359" customWidth="1"/>
    <col min="2" max="2" width="1.85546875" style="359" customWidth="1"/>
    <col min="3" max="3" width="11.42578125" style="359" customWidth="1"/>
    <col min="4" max="4" width="10.42578125" style="359" bestFit="1" customWidth="1"/>
    <col min="5" max="5" width="9.140625" style="359"/>
    <col min="6" max="6" width="15.28515625" style="359" customWidth="1"/>
    <col min="7" max="7" width="8.42578125" style="359" customWidth="1"/>
    <col min="8" max="9" width="10.28515625" style="359" customWidth="1"/>
    <col min="10" max="10" width="15.7109375" style="47" customWidth="1"/>
    <col min="11" max="16384" width="9.140625" style="359"/>
  </cols>
  <sheetData>
    <row r="1" spans="1:10" x14ac:dyDescent="0.25">
      <c r="A1" s="1463"/>
      <c r="B1" s="1463"/>
      <c r="C1" s="1463"/>
      <c r="D1" s="1463"/>
      <c r="E1" s="1463"/>
      <c r="F1" s="1463"/>
      <c r="G1" s="1463"/>
      <c r="H1" s="1463"/>
      <c r="I1" s="1463"/>
      <c r="J1" s="1463"/>
    </row>
    <row r="2" spans="1:10" x14ac:dyDescent="0.25">
      <c r="A2" s="1463"/>
      <c r="B2" s="1463"/>
      <c r="C2" s="1463"/>
      <c r="D2" s="1463"/>
      <c r="E2" s="1463"/>
      <c r="F2" s="1640" t="s">
        <v>776</v>
      </c>
      <c r="G2" s="1640"/>
      <c r="H2" s="1640"/>
      <c r="I2" s="1640"/>
      <c r="J2" s="1640"/>
    </row>
    <row r="3" spans="1:10" x14ac:dyDescent="0.25">
      <c r="A3" s="1463"/>
      <c r="B3" s="1463"/>
      <c r="C3" s="1463"/>
      <c r="D3" s="1463"/>
      <c r="E3" s="1463"/>
      <c r="F3" s="1639" t="s">
        <v>777</v>
      </c>
      <c r="G3" s="1639"/>
      <c r="H3" s="1639"/>
      <c r="I3" s="1639"/>
      <c r="J3" s="1639"/>
    </row>
    <row r="4" spans="1:10" x14ac:dyDescent="0.25">
      <c r="A4" s="1463"/>
      <c r="B4" s="1463"/>
      <c r="C4" s="1463"/>
      <c r="D4" s="1463"/>
      <c r="E4" s="1463"/>
      <c r="F4" s="1640" t="s">
        <v>228</v>
      </c>
      <c r="G4" s="1640"/>
      <c r="H4" s="1640"/>
      <c r="I4" s="1640"/>
      <c r="J4" s="1640"/>
    </row>
    <row r="5" spans="1:10" ht="15" customHeight="1" x14ac:dyDescent="0.25">
      <c r="A5" s="1463"/>
      <c r="B5" s="1463"/>
      <c r="C5" s="1463"/>
      <c r="D5" s="1463"/>
      <c r="E5" s="1463"/>
      <c r="F5" s="1641" t="s">
        <v>10088</v>
      </c>
      <c r="G5" s="1641" t="str">
        <f>'B 1'!R1</f>
        <v>RFP -</v>
      </c>
      <c r="H5" s="1641"/>
      <c r="I5" s="1641"/>
      <c r="J5" s="1641"/>
    </row>
    <row r="6" spans="1:10" ht="15" customHeight="1" x14ac:dyDescent="0.25">
      <c r="A6" s="1463"/>
      <c r="B6" s="1463"/>
      <c r="C6" s="1463"/>
      <c r="D6" s="1463"/>
      <c r="E6" s="1463"/>
      <c r="F6" s="1641"/>
      <c r="G6" s="1641"/>
      <c r="H6" s="1641"/>
      <c r="I6" s="1641"/>
      <c r="J6" s="1641"/>
    </row>
    <row r="7" spans="1:10" ht="15" customHeight="1" x14ac:dyDescent="0.25">
      <c r="A7" s="1463"/>
      <c r="B7" s="1463"/>
      <c r="C7" s="1463"/>
      <c r="D7" s="1463"/>
      <c r="E7" s="1463"/>
      <c r="F7" s="1641"/>
      <c r="G7" s="1641"/>
      <c r="H7" s="1641"/>
      <c r="I7" s="1641"/>
      <c r="J7" s="1641"/>
    </row>
    <row r="8" spans="1:10" ht="18.75" x14ac:dyDescent="0.25">
      <c r="B8" s="841"/>
      <c r="C8" s="841"/>
      <c r="D8" s="841"/>
      <c r="E8" s="841"/>
      <c r="F8" s="841"/>
      <c r="G8" s="1643" t="s">
        <v>782</v>
      </c>
      <c r="H8" s="1643"/>
      <c r="I8" s="1643"/>
      <c r="J8" s="1643"/>
    </row>
    <row r="9" spans="1:10" ht="3" customHeight="1" x14ac:dyDescent="0.25">
      <c r="A9" s="1580"/>
      <c r="B9" s="1581"/>
      <c r="C9" s="1581"/>
      <c r="D9" s="1581"/>
      <c r="E9" s="1581"/>
      <c r="F9" s="1581"/>
      <c r="G9" s="1581"/>
      <c r="H9" s="1581"/>
      <c r="I9" s="1581"/>
      <c r="J9" s="1583"/>
    </row>
    <row r="10" spans="1:10" x14ac:dyDescent="0.25">
      <c r="A10" s="1578" t="s">
        <v>784</v>
      </c>
      <c r="B10" s="1579"/>
      <c r="C10" s="1579"/>
      <c r="D10" s="1693" t="s">
        <v>286</v>
      </c>
      <c r="E10" s="1693"/>
      <c r="F10" s="578" t="str">
        <f>VLOOKUP(D10,'R Data'!W60:AA70,5,FALSE)</f>
        <v>403-919-7217</v>
      </c>
      <c r="G10" s="1578" t="s">
        <v>230</v>
      </c>
      <c r="H10" s="1579"/>
      <c r="I10" s="1644">
        <f ca="1">TODAY()</f>
        <v>46240</v>
      </c>
      <c r="J10" s="1645"/>
    </row>
    <row r="11" spans="1:10" x14ac:dyDescent="0.25">
      <c r="A11" s="1633"/>
      <c r="B11" s="1634"/>
      <c r="C11" s="1634"/>
      <c r="D11" s="1694" t="str">
        <f>VLOOKUP(D10,'R Data'!W60:X70,2,FALSE)</f>
        <v>nikozervo@yahoo.com</v>
      </c>
      <c r="E11" s="1694"/>
      <c r="F11" s="1695"/>
      <c r="G11" s="579" t="s">
        <v>994</v>
      </c>
      <c r="H11" s="580"/>
      <c r="I11" s="1696" t="str">
        <f>'B 1'!D2</f>
        <v>Company Name</v>
      </c>
      <c r="J11" s="1697"/>
    </row>
    <row r="12" spans="1:10" x14ac:dyDescent="0.25">
      <c r="A12" s="579" t="s">
        <v>1011</v>
      </c>
      <c r="B12" s="1687" t="str">
        <f>'B 1'!S3</f>
        <v>Dwight Cameron 403-492-9351 dwight@megaroofing.ca</v>
      </c>
      <c r="C12" s="1687"/>
      <c r="D12" s="1687"/>
      <c r="E12" s="1687"/>
      <c r="F12" s="1688"/>
      <c r="G12" s="1578" t="s">
        <v>991</v>
      </c>
      <c r="H12" s="1579"/>
      <c r="I12" s="1579"/>
      <c r="J12" s="1584"/>
    </row>
    <row r="13" spans="1:10" ht="15" customHeight="1" x14ac:dyDescent="0.25">
      <c r="A13" s="1685"/>
      <c r="B13" s="1686"/>
      <c r="C13" s="1686"/>
      <c r="D13" s="582" t="s">
        <v>252</v>
      </c>
      <c r="E13" s="582"/>
      <c r="F13" s="583"/>
      <c r="G13" s="672"/>
      <c r="J13" s="477"/>
    </row>
    <row r="14" spans="1:10" x14ac:dyDescent="0.25">
      <c r="A14" s="686"/>
      <c r="B14" s="687"/>
      <c r="C14" s="687"/>
      <c r="D14" s="689">
        <v>45917</v>
      </c>
      <c r="E14" s="687"/>
      <c r="F14" s="688"/>
      <c r="G14" s="1690" t="str">
        <f>'B 1'!D4</f>
        <v>ADDRESS</v>
      </c>
      <c r="H14" s="1691"/>
      <c r="I14" s="1691"/>
      <c r="J14" s="1692"/>
    </row>
    <row r="15" spans="1:10" x14ac:dyDescent="0.25">
      <c r="A15" s="631" t="s">
        <v>1000</v>
      </c>
      <c r="B15" s="1689" t="s">
        <v>280</v>
      </c>
      <c r="C15" s="1689"/>
      <c r="D15" s="1689"/>
      <c r="E15" s="1683" t="str">
        <f>G5</f>
        <v>RFP -</v>
      </c>
      <c r="F15" s="1684"/>
      <c r="G15" s="1681" t="s">
        <v>993</v>
      </c>
      <c r="H15" s="1586"/>
      <c r="I15" s="1586"/>
      <c r="J15" s="1682"/>
    </row>
    <row r="16" spans="1:10" ht="3" customHeight="1" x14ac:dyDescent="0.25">
      <c r="A16" s="1580"/>
      <c r="B16" s="1581"/>
      <c r="C16" s="1581"/>
      <c r="D16" s="1581"/>
      <c r="E16" s="1581"/>
      <c r="F16" s="1581"/>
      <c r="G16" s="1581"/>
      <c r="H16" s="1581"/>
      <c r="I16" s="1581"/>
      <c r="J16" s="1583"/>
    </row>
    <row r="17" spans="1:17" ht="15" customHeight="1" x14ac:dyDescent="0.25">
      <c r="A17" s="1671" t="s">
        <v>232</v>
      </c>
      <c r="B17" s="1672"/>
      <c r="C17" s="1672"/>
      <c r="D17" s="1672"/>
      <c r="E17" s="1672"/>
      <c r="F17" s="1673"/>
      <c r="G17" s="1674" t="s">
        <v>783</v>
      </c>
      <c r="H17" s="1674"/>
      <c r="I17" s="1674"/>
      <c r="J17" s="1674"/>
    </row>
    <row r="18" spans="1:17" ht="17.25" customHeight="1" x14ac:dyDescent="0.25">
      <c r="A18" s="1675" t="s">
        <v>308</v>
      </c>
      <c r="B18" s="1676"/>
      <c r="C18" s="1635"/>
      <c r="D18" s="1635"/>
      <c r="E18" s="1635"/>
      <c r="F18" s="1636"/>
      <c r="G18" s="1614" t="s">
        <v>309</v>
      </c>
      <c r="H18" s="1615"/>
      <c r="I18" s="1615"/>
      <c r="J18" s="1615"/>
    </row>
    <row r="19" spans="1:17" x14ac:dyDescent="0.25">
      <c r="A19" s="1677"/>
      <c r="B19" s="1678"/>
      <c r="C19" s="1678"/>
      <c r="D19" s="1678"/>
      <c r="E19" s="1678"/>
      <c r="F19" s="1679"/>
      <c r="G19" s="585">
        <f>'B 1'!J12</f>
        <v>3.2399999999999999E-8</v>
      </c>
      <c r="H19" s="1616" t="str">
        <f>'B 1'!C12</f>
        <v>GAF Timberline HDZ</v>
      </c>
      <c r="I19" s="1617"/>
      <c r="J19" s="46" t="str">
        <f>'Roofing RFP - PO'!I17</f>
        <v>Midnight Black</v>
      </c>
    </row>
    <row r="20" spans="1:17" ht="15" customHeight="1" x14ac:dyDescent="0.25">
      <c r="A20" s="1653" t="s">
        <v>1037</v>
      </c>
      <c r="B20" s="1654"/>
      <c r="C20" s="1654"/>
      <c r="D20" s="1654"/>
      <c r="E20" s="1654"/>
      <c r="F20" s="1655"/>
      <c r="G20" s="585">
        <f>'B 1'!J13</f>
        <v>0</v>
      </c>
      <c r="H20" s="1680" t="str">
        <f>'B 1'!C13</f>
        <v>GAF Weatherblocker Starter Strip</v>
      </c>
      <c r="I20" s="1617"/>
      <c r="J20" s="1622"/>
    </row>
    <row r="21" spans="1:17" ht="15" customHeight="1" x14ac:dyDescent="0.25">
      <c r="A21" s="1653"/>
      <c r="B21" s="1654"/>
      <c r="C21" s="1654"/>
      <c r="D21" s="1654"/>
      <c r="E21" s="1654"/>
      <c r="F21" s="1655"/>
      <c r="G21" s="585">
        <f>'B 1'!J14</f>
        <v>0</v>
      </c>
      <c r="H21" s="580" t="str">
        <f>'B 1'!C14</f>
        <v>GAF Seal-A-Ridge</v>
      </c>
      <c r="I21" s="580"/>
      <c r="J21" s="46" t="str">
        <f>J19</f>
        <v>Midnight Black</v>
      </c>
    </row>
    <row r="22" spans="1:17" ht="15" customHeight="1" x14ac:dyDescent="0.25">
      <c r="A22" s="576" t="s">
        <v>1034</v>
      </c>
      <c r="B22" s="575">
        <f>'B 1'!E18</f>
        <v>1</v>
      </c>
      <c r="C22" s="1654" t="s">
        <v>1035</v>
      </c>
      <c r="D22" s="1654"/>
      <c r="E22" s="1654"/>
      <c r="F22" s="1655"/>
      <c r="G22" s="585">
        <f>'B 1'!J18</f>
        <v>0</v>
      </c>
      <c r="H22" s="1621" t="str">
        <f>'B 1'!C18</f>
        <v xml:space="preserve">Resisto LB1236 36" </v>
      </c>
      <c r="I22" s="1617"/>
      <c r="J22" s="1622"/>
    </row>
    <row r="23" spans="1:17" x14ac:dyDescent="0.25">
      <c r="A23" s="1653" t="s">
        <v>1036</v>
      </c>
      <c r="B23" s="1654"/>
      <c r="C23" s="1654"/>
      <c r="D23" s="1654"/>
      <c r="E23" s="1654"/>
      <c r="F23" s="1655"/>
      <c r="G23" s="585">
        <f>'B 1'!J19</f>
        <v>1.0999999999999999E-9</v>
      </c>
      <c r="H23" s="1621" t="str">
        <f>'B 1'!C19</f>
        <v>TriBuilt Synthetic</v>
      </c>
      <c r="I23" s="1617"/>
      <c r="J23" s="1622"/>
    </row>
    <row r="24" spans="1:17" ht="15" customHeight="1" x14ac:dyDescent="0.25">
      <c r="A24" s="1653" t="s">
        <v>311</v>
      </c>
      <c r="B24" s="1654"/>
      <c r="C24" s="1654"/>
      <c r="D24" s="1654"/>
      <c r="E24" s="1654"/>
      <c r="F24" s="1655"/>
      <c r="G24" s="585">
        <f>'B 1'!J26</f>
        <v>0</v>
      </c>
      <c r="H24" s="580" t="str">
        <f>'B 1'!C26</f>
        <v>Primex Gooseneck</v>
      </c>
      <c r="I24" s="580"/>
      <c r="J24" s="46" t="str">
        <f>'Roofing RFP - PO'!I22</f>
        <v>Vent Colours</v>
      </c>
      <c r="O24" s="600"/>
      <c r="P24" s="600"/>
      <c r="Q24" s="600"/>
    </row>
    <row r="25" spans="1:17" x14ac:dyDescent="0.25">
      <c r="A25" s="1653" t="s">
        <v>997</v>
      </c>
      <c r="B25" s="1654"/>
      <c r="C25" s="1654"/>
      <c r="D25" s="1654"/>
      <c r="E25" s="1654"/>
      <c r="F25" s="1655"/>
      <c r="G25" s="585">
        <f>'B 1'!J29</f>
        <v>0</v>
      </c>
      <c r="H25" s="1621" t="str">
        <f>'B 1'!C29</f>
        <v>4" Oatley</v>
      </c>
      <c r="I25" s="1617"/>
      <c r="J25" s="1622"/>
      <c r="O25" s="600"/>
      <c r="P25" s="600"/>
      <c r="Q25" s="600"/>
    </row>
    <row r="26" spans="1:17" x14ac:dyDescent="0.25">
      <c r="A26" s="1653" t="s">
        <v>313</v>
      </c>
      <c r="B26" s="1654"/>
      <c r="C26" s="1654"/>
      <c r="D26" s="1654"/>
      <c r="E26" s="1654"/>
      <c r="F26" s="1655"/>
      <c r="G26" s="585">
        <f>'B 1'!J27</f>
        <v>5.0000000000000001E-9</v>
      </c>
      <c r="H26" s="580" t="str">
        <f>'B 1'!C27</f>
        <v>WeatherPRO50</v>
      </c>
      <c r="I26" s="580"/>
      <c r="J26" s="46" t="str">
        <f>$J$24</f>
        <v>Vent Colours</v>
      </c>
      <c r="O26" s="600"/>
      <c r="P26" s="600"/>
      <c r="Q26" s="600"/>
    </row>
    <row r="27" spans="1:17" x14ac:dyDescent="0.25">
      <c r="A27" s="1653"/>
      <c r="B27" s="1654"/>
      <c r="C27" s="1654"/>
      <c r="D27" s="1654"/>
      <c r="E27" s="1654"/>
      <c r="F27" s="1655"/>
      <c r="G27" s="585">
        <f>'B 1'!J28</f>
        <v>0</v>
      </c>
      <c r="H27" s="1621" t="str">
        <f>'B 1'!C28</f>
        <v>WeatherPRO50</v>
      </c>
      <c r="I27" s="1622"/>
      <c r="J27" s="46" t="str">
        <f>$J$24</f>
        <v>Vent Colours</v>
      </c>
      <c r="O27" s="600"/>
      <c r="P27" s="600"/>
      <c r="Q27" s="600"/>
    </row>
    <row r="28" spans="1:17" x14ac:dyDescent="0.25">
      <c r="A28" s="1653" t="s">
        <v>995</v>
      </c>
      <c r="B28" s="1654"/>
      <c r="C28" s="1654"/>
      <c r="D28" s="1654"/>
      <c r="E28" s="1654"/>
      <c r="F28" s="1655"/>
      <c r="G28" s="585">
        <f>'B 1'!J30</f>
        <v>0</v>
      </c>
      <c r="H28" s="1621" t="s">
        <v>45</v>
      </c>
      <c r="I28" s="1617"/>
      <c r="J28" s="1622"/>
      <c r="O28" s="600"/>
      <c r="P28" s="600"/>
      <c r="Q28" s="600"/>
    </row>
    <row r="29" spans="1:17" x14ac:dyDescent="0.25">
      <c r="A29" s="1653"/>
      <c r="B29" s="1654"/>
      <c r="C29" s="1654"/>
      <c r="D29" s="1654"/>
      <c r="E29" s="1654"/>
      <c r="F29" s="1655"/>
      <c r="G29" s="585">
        <f>'B 1'!J32</f>
        <v>0</v>
      </c>
      <c r="H29" s="1621" t="s">
        <v>44</v>
      </c>
      <c r="I29" s="1617"/>
      <c r="J29" s="1622"/>
      <c r="M29" s="594"/>
      <c r="O29" s="600"/>
      <c r="P29" s="600"/>
      <c r="Q29" s="600"/>
    </row>
    <row r="30" spans="1:17" ht="15" customHeight="1" x14ac:dyDescent="0.25">
      <c r="A30" s="1653" t="s">
        <v>314</v>
      </c>
      <c r="B30" s="1654"/>
      <c r="C30" s="1654"/>
      <c r="D30" s="1654"/>
      <c r="E30" s="1654"/>
      <c r="F30" s="1655"/>
      <c r="G30" s="1646" t="s">
        <v>316</v>
      </c>
      <c r="H30" s="1646"/>
      <c r="I30" s="1646"/>
      <c r="J30" s="1614"/>
      <c r="O30" s="600"/>
      <c r="P30" s="600"/>
      <c r="Q30" s="600"/>
    </row>
    <row r="31" spans="1:17" x14ac:dyDescent="0.25">
      <c r="A31" s="1653" t="s">
        <v>315</v>
      </c>
      <c r="B31" s="1654"/>
      <c r="C31" s="1654"/>
      <c r="D31" s="1654"/>
      <c r="E31" s="1654"/>
      <c r="F31" s="1655"/>
      <c r="G31" s="585">
        <f>'B 1'!J20</f>
        <v>0</v>
      </c>
      <c r="H31" s="313" t="s">
        <v>317</v>
      </c>
      <c r="I31" s="313"/>
      <c r="J31" s="46" t="str">
        <f t="shared" ref="J31:J36" si="0">$J$24</f>
        <v>Vent Colours</v>
      </c>
      <c r="O31" s="600"/>
      <c r="P31" s="600"/>
      <c r="Q31" s="600"/>
    </row>
    <row r="32" spans="1:17" ht="15" customHeight="1" x14ac:dyDescent="0.25">
      <c r="A32" s="1653"/>
      <c r="B32" s="1654"/>
      <c r="C32" s="1654"/>
      <c r="D32" s="1654"/>
      <c r="E32" s="1654"/>
      <c r="F32" s="1655"/>
      <c r="G32" s="585">
        <f>'B 1'!J21</f>
        <v>0</v>
      </c>
      <c r="H32" s="313" t="s">
        <v>319</v>
      </c>
      <c r="I32" s="313"/>
      <c r="J32" s="46" t="str">
        <f t="shared" si="0"/>
        <v>Vent Colours</v>
      </c>
      <c r="O32" s="600"/>
      <c r="P32" s="600"/>
      <c r="Q32" s="600"/>
    </row>
    <row r="33" spans="1:17" ht="15" customHeight="1" x14ac:dyDescent="0.25">
      <c r="A33" s="1653" t="s">
        <v>1038</v>
      </c>
      <c r="B33" s="1654"/>
      <c r="C33" s="1654"/>
      <c r="D33" s="1654"/>
      <c r="E33" s="1654"/>
      <c r="F33" s="1655"/>
      <c r="G33" s="585">
        <f>'B 1'!J22</f>
        <v>0</v>
      </c>
      <c r="H33" s="313" t="s">
        <v>320</v>
      </c>
      <c r="I33" s="313"/>
      <c r="J33" s="46" t="str">
        <f t="shared" si="0"/>
        <v>Vent Colours</v>
      </c>
      <c r="O33" s="600"/>
      <c r="P33" s="600"/>
      <c r="Q33" s="600"/>
    </row>
    <row r="34" spans="1:17" ht="15" customHeight="1" x14ac:dyDescent="0.25">
      <c r="A34" s="1653"/>
      <c r="B34" s="1654"/>
      <c r="C34" s="1654"/>
      <c r="D34" s="1654"/>
      <c r="E34" s="1654"/>
      <c r="F34" s="1655"/>
      <c r="G34" s="585">
        <f>'B 1'!J22</f>
        <v>0</v>
      </c>
      <c r="H34" s="313" t="s">
        <v>329</v>
      </c>
      <c r="I34" s="313"/>
      <c r="J34" s="46" t="str">
        <f t="shared" si="0"/>
        <v>Vent Colours</v>
      </c>
      <c r="O34" s="600"/>
      <c r="P34" s="600"/>
      <c r="Q34" s="600"/>
    </row>
    <row r="35" spans="1:17" ht="15" customHeight="1" x14ac:dyDescent="0.25">
      <c r="A35" s="1653" t="s">
        <v>1039</v>
      </c>
      <c r="B35" s="1654"/>
      <c r="C35" s="1654"/>
      <c r="D35" s="1654"/>
      <c r="E35" s="1654"/>
      <c r="F35" s="1655"/>
      <c r="G35" s="585">
        <f>'B 1'!J23</f>
        <v>0</v>
      </c>
      <c r="H35" s="313" t="s">
        <v>328</v>
      </c>
      <c r="I35" s="313"/>
      <c r="J35" s="46" t="str">
        <f t="shared" si="0"/>
        <v>Vent Colours</v>
      </c>
      <c r="O35" s="600"/>
      <c r="P35" s="600"/>
      <c r="Q35" s="600"/>
    </row>
    <row r="36" spans="1:17" ht="15" customHeight="1" x14ac:dyDescent="0.25">
      <c r="A36" s="1653" t="s">
        <v>318</v>
      </c>
      <c r="B36" s="1654"/>
      <c r="C36" s="1654"/>
      <c r="D36" s="1654"/>
      <c r="E36" s="1654"/>
      <c r="F36" s="1655"/>
      <c r="G36" s="585">
        <f>'B 1'!J25</f>
        <v>0</v>
      </c>
      <c r="H36" s="313" t="s">
        <v>47</v>
      </c>
      <c r="I36" s="313"/>
      <c r="J36" s="46" t="str">
        <f t="shared" si="0"/>
        <v>Vent Colours</v>
      </c>
      <c r="O36" s="600"/>
      <c r="P36" s="600"/>
      <c r="Q36" s="600"/>
    </row>
    <row r="37" spans="1:17" x14ac:dyDescent="0.25">
      <c r="A37" s="1653"/>
      <c r="B37" s="1654"/>
      <c r="C37" s="1654"/>
      <c r="D37" s="1654"/>
      <c r="E37" s="1654"/>
      <c r="F37" s="1655"/>
      <c r="G37" s="585">
        <f>'B 1'!J24</f>
        <v>0</v>
      </c>
      <c r="H37" s="1621" t="s">
        <v>41</v>
      </c>
      <c r="I37" s="1617"/>
      <c r="J37" s="1622"/>
      <c r="O37" s="600"/>
      <c r="P37" s="600"/>
      <c r="Q37" s="600"/>
    </row>
    <row r="38" spans="1:17" ht="15" customHeight="1" x14ac:dyDescent="0.25">
      <c r="A38" s="1653"/>
      <c r="B38" s="1654"/>
      <c r="C38" s="1654"/>
      <c r="D38" s="1654"/>
      <c r="E38" s="1654"/>
      <c r="F38" s="1655"/>
      <c r="G38" s="1599"/>
      <c r="H38" s="1599"/>
      <c r="I38" s="1599"/>
      <c r="J38" s="1600"/>
      <c r="O38" s="601"/>
      <c r="P38" s="601"/>
      <c r="Q38" s="601"/>
    </row>
    <row r="39" spans="1:17" x14ac:dyDescent="0.25">
      <c r="A39" s="576"/>
      <c r="B39" s="574"/>
      <c r="C39" s="574"/>
      <c r="D39" s="574"/>
      <c r="E39" s="574"/>
      <c r="F39" s="577"/>
      <c r="G39" s="1463"/>
      <c r="H39" s="1463"/>
      <c r="I39" s="1463"/>
      <c r="J39" s="1601"/>
      <c r="O39" s="601"/>
      <c r="P39" s="601"/>
      <c r="Q39" s="601"/>
    </row>
    <row r="40" spans="1:17" x14ac:dyDescent="0.25">
      <c r="A40" s="576"/>
      <c r="B40" s="574"/>
      <c r="C40" s="574"/>
      <c r="D40" s="574"/>
      <c r="E40" s="574"/>
      <c r="F40" s="577"/>
      <c r="G40" s="1463"/>
      <c r="H40" s="1463"/>
      <c r="I40" s="1463"/>
      <c r="J40" s="1601"/>
      <c r="O40" s="600"/>
      <c r="P40" s="600"/>
      <c r="Q40" s="600"/>
    </row>
    <row r="41" spans="1:17" ht="15" customHeight="1" x14ac:dyDescent="0.25">
      <c r="A41" s="1647" t="s">
        <v>321</v>
      </c>
      <c r="B41" s="1648"/>
      <c r="C41" s="1648"/>
      <c r="D41" s="1648"/>
      <c r="E41" s="1648"/>
      <c r="F41" s="1649"/>
      <c r="G41" s="1463"/>
      <c r="H41" s="1463"/>
      <c r="I41" s="1463"/>
      <c r="J41" s="1601"/>
    </row>
    <row r="42" spans="1:17" x14ac:dyDescent="0.25">
      <c r="A42" s="1647"/>
      <c r="B42" s="1648"/>
      <c r="C42" s="1648"/>
      <c r="D42" s="1648"/>
      <c r="E42" s="1648"/>
      <c r="F42" s="1649"/>
      <c r="G42" s="1463"/>
      <c r="H42" s="1463"/>
      <c r="I42" s="1463"/>
      <c r="J42" s="1601"/>
    </row>
    <row r="43" spans="1:17" x14ac:dyDescent="0.25">
      <c r="A43" s="1650"/>
      <c r="B43" s="1651"/>
      <c r="C43" s="1651"/>
      <c r="D43" s="1651"/>
      <c r="E43" s="1651"/>
      <c r="F43" s="1652"/>
      <c r="G43" s="1463"/>
      <c r="H43" s="1463"/>
      <c r="I43" s="1463"/>
      <c r="J43" s="1601"/>
    </row>
    <row r="44" spans="1:17" x14ac:dyDescent="0.25">
      <c r="A44" s="1656" t="s">
        <v>322</v>
      </c>
      <c r="B44" s="1657"/>
      <c r="C44" s="1657"/>
      <c r="D44" s="1657"/>
      <c r="E44" s="1657"/>
      <c r="F44" s="1658"/>
      <c r="G44" s="1462"/>
      <c r="H44" s="1463"/>
      <c r="I44" s="1463"/>
      <c r="J44" s="1601"/>
    </row>
    <row r="45" spans="1:17" ht="15" customHeight="1" x14ac:dyDescent="0.25">
      <c r="A45" s="1659" t="s">
        <v>323</v>
      </c>
      <c r="B45" s="1660"/>
      <c r="C45" s="1661"/>
      <c r="D45" s="1661"/>
      <c r="E45" s="1661"/>
      <c r="F45" s="1662"/>
      <c r="G45" s="1462"/>
      <c r="H45" s="1463"/>
      <c r="I45" s="1463"/>
      <c r="J45" s="1601"/>
    </row>
    <row r="46" spans="1:17" ht="15" customHeight="1" x14ac:dyDescent="0.25">
      <c r="A46" s="1663"/>
      <c r="B46" s="1664"/>
      <c r="C46" s="1664"/>
      <c r="D46" s="1664"/>
      <c r="E46" s="1664"/>
      <c r="F46" s="1665"/>
      <c r="G46" s="1462"/>
      <c r="H46" s="1463"/>
      <c r="I46" s="1463"/>
      <c r="J46" s="1601"/>
    </row>
    <row r="47" spans="1:17" ht="15" customHeight="1" x14ac:dyDescent="0.25">
      <c r="A47" s="1666" t="s">
        <v>996</v>
      </c>
      <c r="B47" s="1667"/>
      <c r="C47" s="1667"/>
      <c r="D47" s="1667"/>
      <c r="E47" s="1667"/>
      <c r="F47" s="1668"/>
      <c r="G47" s="1462"/>
      <c r="H47" s="1463"/>
      <c r="I47" s="1463"/>
      <c r="J47" s="1601"/>
    </row>
    <row r="48" spans="1:17" x14ac:dyDescent="0.25">
      <c r="A48" s="1647"/>
      <c r="B48" s="1648"/>
      <c r="C48" s="1648"/>
      <c r="D48" s="1648"/>
      <c r="E48" s="1648"/>
      <c r="F48" s="1649"/>
      <c r="G48" s="1462"/>
      <c r="H48" s="1463"/>
      <c r="I48" s="1463"/>
      <c r="J48" s="1601"/>
    </row>
    <row r="49" spans="1:10" x14ac:dyDescent="0.25">
      <c r="A49" s="1650"/>
      <c r="B49" s="1651"/>
      <c r="C49" s="1651"/>
      <c r="D49" s="1651"/>
      <c r="E49" s="1651"/>
      <c r="F49" s="1652"/>
      <c r="G49" s="1462"/>
      <c r="H49" s="1463"/>
      <c r="I49" s="1463"/>
      <c r="J49" s="1601"/>
    </row>
    <row r="50" spans="1:10" ht="15" customHeight="1" x14ac:dyDescent="0.25">
      <c r="A50" s="1669">
        <f>SUM('B 1'!J44:J48)</f>
        <v>0</v>
      </c>
      <c r="B50" s="1670"/>
      <c r="C50" s="598">
        <f>'B 1'!J49</f>
        <v>0</v>
      </c>
      <c r="D50" s="598">
        <f>'B 1'!J50</f>
        <v>0</v>
      </c>
      <c r="E50" s="598">
        <f>'B 1'!J51</f>
        <v>0</v>
      </c>
      <c r="F50" s="598">
        <f>'B 1'!J52</f>
        <v>0</v>
      </c>
      <c r="G50" s="1602"/>
      <c r="H50" s="1603"/>
      <c r="I50" s="1603"/>
      <c r="J50" s="1604"/>
    </row>
    <row r="51" spans="1:10" x14ac:dyDescent="0.25">
      <c r="A51" s="1669">
        <f>'B 1'!J53</f>
        <v>0</v>
      </c>
      <c r="B51" s="1670"/>
      <c r="C51" s="598">
        <f>'B 1'!J54</f>
        <v>0</v>
      </c>
      <c r="D51" s="598">
        <f>'B 1'!J55</f>
        <v>0</v>
      </c>
      <c r="E51" s="598">
        <f>'B 1'!J56</f>
        <v>0</v>
      </c>
      <c r="F51" s="598">
        <f>SUM('B 1'!J57:J59)</f>
        <v>0</v>
      </c>
      <c r="G51" s="1588" t="s">
        <v>780</v>
      </c>
      <c r="H51" s="1588"/>
      <c r="I51" s="1588"/>
      <c r="J51" s="1588"/>
    </row>
    <row r="52" spans="1:10" ht="3" customHeight="1" x14ac:dyDescent="0.25">
      <c r="A52" s="1580"/>
      <c r="B52" s="1581"/>
      <c r="C52" s="1581"/>
      <c r="D52" s="1581"/>
      <c r="E52" s="1581"/>
      <c r="F52" s="1581"/>
      <c r="G52" s="1581"/>
      <c r="H52" s="1581"/>
      <c r="I52" s="1581"/>
      <c r="J52" s="1583"/>
    </row>
    <row r="54" spans="1:10" ht="89.25" customHeight="1" x14ac:dyDescent="0.25"/>
    <row r="55" spans="1:10" x14ac:dyDescent="0.25">
      <c r="B55" s="590"/>
    </row>
    <row r="56" spans="1:10" ht="18.75" x14ac:dyDescent="0.25">
      <c r="J56" s="713" t="s">
        <v>10263</v>
      </c>
    </row>
    <row r="57" spans="1:10" x14ac:dyDescent="0.25">
      <c r="B57" s="590"/>
      <c r="C57" s="590"/>
      <c r="D57" s="590"/>
      <c r="E57" s="590"/>
      <c r="F57" s="590"/>
      <c r="G57" s="590"/>
      <c r="H57" s="590"/>
      <c r="I57" s="590"/>
      <c r="J57" s="710" t="s">
        <v>10264</v>
      </c>
    </row>
    <row r="58" spans="1:10" x14ac:dyDescent="0.25">
      <c r="A58" s="711" t="s">
        <v>10266</v>
      </c>
      <c r="B58" s="590"/>
      <c r="J58" s="710" t="s">
        <v>10265</v>
      </c>
    </row>
    <row r="59" spans="1:10" ht="15.75" x14ac:dyDescent="0.25">
      <c r="A59" s="712"/>
      <c r="B59" s="590"/>
      <c r="G59" s="590"/>
    </row>
    <row r="60" spans="1:10" x14ac:dyDescent="0.25">
      <c r="A60" s="590"/>
      <c r="B60" s="590"/>
      <c r="G60" s="590"/>
    </row>
    <row r="61" spans="1:10" ht="21.75" customHeight="1" x14ac:dyDescent="0.25">
      <c r="A61" s="1717" t="s">
        <v>10281</v>
      </c>
      <c r="B61" s="1718"/>
      <c r="C61" s="1718"/>
      <c r="D61" s="1718"/>
      <c r="E61" s="1718"/>
      <c r="F61" s="1718"/>
      <c r="G61" s="1718"/>
      <c r="H61" s="1718"/>
      <c r="I61" s="1718"/>
      <c r="J61" s="1719"/>
    </row>
    <row r="62" spans="1:10" x14ac:dyDescent="0.25">
      <c r="E62" s="47"/>
      <c r="F62" s="47"/>
      <c r="G62" s="590"/>
      <c r="H62" s="47"/>
      <c r="I62" s="47"/>
    </row>
    <row r="63" spans="1:10" ht="21" customHeight="1" x14ac:dyDescent="0.25">
      <c r="A63" s="1714" t="s">
        <v>10286</v>
      </c>
      <c r="B63" s="1715"/>
      <c r="C63" s="1716"/>
      <c r="D63" s="1712">
        <f ca="1">I10</f>
        <v>46240</v>
      </c>
      <c r="E63" s="1713"/>
      <c r="F63" s="1707" t="s">
        <v>10255</v>
      </c>
      <c r="G63" s="1707"/>
      <c r="H63" s="1707"/>
      <c r="I63" s="1707"/>
      <c r="J63" s="1707"/>
    </row>
    <row r="64" spans="1:10" ht="21" customHeight="1" x14ac:dyDescent="0.25">
      <c r="A64" s="1707" t="s">
        <v>10256</v>
      </c>
      <c r="B64" s="1707"/>
      <c r="C64" s="1707"/>
      <c r="D64" s="1707"/>
      <c r="E64" s="1707"/>
      <c r="F64" s="1708" t="str">
        <f>I11</f>
        <v>Company Name</v>
      </c>
      <c r="G64" s="1709"/>
      <c r="H64" s="1709"/>
      <c r="I64" s="1709"/>
      <c r="J64" s="1709"/>
    </row>
    <row r="65" spans="1:10" ht="21" customHeight="1" x14ac:dyDescent="0.25">
      <c r="A65" s="1710" t="s">
        <v>10257</v>
      </c>
      <c r="B65" s="1710"/>
      <c r="C65" s="1710"/>
      <c r="D65" s="1710"/>
      <c r="E65" s="1710"/>
      <c r="F65" s="1710"/>
      <c r="G65" s="1710"/>
      <c r="H65" s="1710"/>
      <c r="I65" s="1710"/>
      <c r="J65" s="1710"/>
    </row>
    <row r="66" spans="1:10" x14ac:dyDescent="0.2">
      <c r="A66" s="714" t="s">
        <v>10267</v>
      </c>
      <c r="B66" s="675"/>
      <c r="C66" s="675"/>
      <c r="D66" s="1711" t="str">
        <f>G14</f>
        <v>ADDRESS</v>
      </c>
      <c r="E66" s="1711"/>
      <c r="F66" s="1711"/>
      <c r="G66" s="1711"/>
      <c r="H66" s="1694" t="str">
        <f>G15</f>
        <v>Calgary, Alberta.</v>
      </c>
      <c r="I66" s="1694"/>
      <c r="J66" s="1694"/>
    </row>
    <row r="67" spans="1:10" x14ac:dyDescent="0.2">
      <c r="A67" s="715" t="s">
        <v>10268</v>
      </c>
      <c r="B67" s="580"/>
      <c r="C67" s="580"/>
      <c r="D67" s="580"/>
      <c r="E67" s="580"/>
      <c r="F67" s="1617" t="str">
        <f>J56</f>
        <v>Mega ROOFING &amp; EXTERIORS Inc.</v>
      </c>
      <c r="G67" s="1617"/>
      <c r="H67" s="1617"/>
      <c r="I67" s="1617"/>
      <c r="J67" s="1617"/>
    </row>
    <row r="68" spans="1:10" x14ac:dyDescent="0.2">
      <c r="A68" s="715" t="s">
        <v>10269</v>
      </c>
      <c r="B68" s="580"/>
      <c r="C68" s="580"/>
      <c r="D68" s="580"/>
      <c r="E68" s="580"/>
      <c r="F68" s="717">
        <f>D14</f>
        <v>45917</v>
      </c>
      <c r="G68" s="716" t="s">
        <v>10270</v>
      </c>
      <c r="H68" s="1731">
        <f>F68+J68</f>
        <v>45947</v>
      </c>
      <c r="I68" s="1732"/>
      <c r="J68" s="718">
        <v>30</v>
      </c>
    </row>
    <row r="70" spans="1:10" ht="135" customHeight="1" x14ac:dyDescent="0.25">
      <c r="A70" s="1720" t="s">
        <v>10271</v>
      </c>
      <c r="B70" s="1721"/>
      <c r="C70" s="1721"/>
      <c r="D70" s="1721"/>
      <c r="E70" s="1721"/>
      <c r="F70" s="1733" t="s">
        <v>10285</v>
      </c>
      <c r="G70" s="1734"/>
      <c r="H70" s="1734"/>
      <c r="I70" s="1734"/>
      <c r="J70" s="1735"/>
    </row>
    <row r="71" spans="1:10" ht="15" customHeight="1" x14ac:dyDescent="0.25">
      <c r="A71" s="1726"/>
      <c r="B71" s="1727"/>
      <c r="C71" s="1727"/>
      <c r="D71" s="1727"/>
      <c r="E71" s="1727"/>
      <c r="F71" s="1744" t="s">
        <v>10284</v>
      </c>
      <c r="G71" s="1745"/>
      <c r="H71" s="726" t="str">
        <f>Input!E3</f>
        <v>1 12</v>
      </c>
      <c r="I71" s="726"/>
      <c r="J71" s="727"/>
    </row>
    <row r="72" spans="1:10" ht="135" customHeight="1" x14ac:dyDescent="0.25">
      <c r="A72" s="1698" t="s">
        <v>10272</v>
      </c>
      <c r="B72" s="1699"/>
      <c r="C72" s="1699"/>
      <c r="D72" s="1699"/>
      <c r="E72" s="1700"/>
      <c r="F72" s="1701" t="s">
        <v>10372</v>
      </c>
      <c r="G72" s="1702"/>
      <c r="H72" s="1702"/>
      <c r="I72" s="1702"/>
      <c r="J72" s="1703"/>
    </row>
    <row r="73" spans="1:10" ht="180" customHeight="1" x14ac:dyDescent="0.25">
      <c r="A73" s="1720" t="s">
        <v>10273</v>
      </c>
      <c r="B73" s="1721"/>
      <c r="C73" s="1721"/>
      <c r="D73" s="1721"/>
      <c r="E73" s="1722"/>
      <c r="F73" s="1736" t="s">
        <v>10373</v>
      </c>
      <c r="G73" s="1737"/>
      <c r="H73" s="1737"/>
      <c r="I73" s="1737"/>
      <c r="J73" s="1738"/>
    </row>
    <row r="74" spans="1:10" ht="15" customHeight="1" x14ac:dyDescent="0.25">
      <c r="A74" s="1723"/>
      <c r="B74" s="1724"/>
      <c r="C74" s="1724"/>
      <c r="D74" s="1724"/>
      <c r="E74" s="1725"/>
      <c r="F74" s="1739"/>
      <c r="G74" s="1740"/>
      <c r="H74" s="1740"/>
      <c r="I74" s="1740"/>
      <c r="J74" s="1741"/>
    </row>
    <row r="75" spans="1:10" x14ac:dyDescent="0.25">
      <c r="A75" s="1723"/>
      <c r="B75" s="1724"/>
      <c r="C75" s="1724"/>
      <c r="D75" s="1724"/>
      <c r="E75" s="1725"/>
      <c r="F75" s="1739"/>
      <c r="G75" s="1740"/>
      <c r="H75" s="1740"/>
      <c r="I75" s="1740"/>
      <c r="J75" s="1741"/>
    </row>
    <row r="76" spans="1:10" x14ac:dyDescent="0.25">
      <c r="A76" s="1726"/>
      <c r="B76" s="1727"/>
      <c r="C76" s="1727"/>
      <c r="D76" s="1727"/>
      <c r="E76" s="1728"/>
      <c r="F76" s="1701"/>
      <c r="G76" s="1742"/>
      <c r="H76" s="1742"/>
      <c r="I76" s="1742"/>
      <c r="J76" s="1743"/>
    </row>
    <row r="77" spans="1:10" x14ac:dyDescent="0.25">
      <c r="J77" s="359"/>
    </row>
    <row r="78" spans="1:10" x14ac:dyDescent="0.25">
      <c r="J78" s="359"/>
    </row>
    <row r="81" spans="1:10" x14ac:dyDescent="0.25">
      <c r="A81" s="723" t="s">
        <v>10282</v>
      </c>
      <c r="B81" s="724"/>
      <c r="C81" s="724"/>
      <c r="D81" s="724"/>
      <c r="E81" s="724"/>
      <c r="F81" s="724"/>
      <c r="G81" s="724"/>
      <c r="H81" s="724"/>
      <c r="I81" s="724"/>
      <c r="J81" s="725">
        <f ca="1">I10</f>
        <v>46240</v>
      </c>
    </row>
    <row r="82" spans="1:10" x14ac:dyDescent="0.25">
      <c r="A82" s="721" t="s">
        <v>10281</v>
      </c>
      <c r="B82" s="719"/>
      <c r="C82" s="719"/>
      <c r="D82" s="719"/>
      <c r="E82" s="719"/>
      <c r="F82" s="722" t="s">
        <v>10279</v>
      </c>
      <c r="G82" s="719"/>
      <c r="H82" s="719"/>
      <c r="I82" s="719"/>
      <c r="J82" s="720" t="s">
        <v>10280</v>
      </c>
    </row>
    <row r="84" spans="1:10" x14ac:dyDescent="0.25">
      <c r="B84" s="590"/>
    </row>
    <row r="85" spans="1:10" ht="18.75" x14ac:dyDescent="0.25">
      <c r="J85" s="713" t="s">
        <v>10263</v>
      </c>
    </row>
    <row r="86" spans="1:10" x14ac:dyDescent="0.25">
      <c r="B86" s="590"/>
      <c r="C86" s="590"/>
      <c r="D86" s="590"/>
      <c r="E86" s="590"/>
      <c r="F86" s="590"/>
      <c r="G86" s="590"/>
      <c r="H86" s="590"/>
      <c r="I86" s="590"/>
      <c r="J86" s="710" t="s">
        <v>10264</v>
      </c>
    </row>
    <row r="87" spans="1:10" x14ac:dyDescent="0.25">
      <c r="A87" s="711" t="s">
        <v>10266</v>
      </c>
      <c r="B87" s="590"/>
      <c r="J87" s="710" t="s">
        <v>10265</v>
      </c>
    </row>
    <row r="88" spans="1:10" ht="15.75" x14ac:dyDescent="0.25">
      <c r="A88" s="712"/>
      <c r="B88" s="590"/>
      <c r="G88" s="590"/>
    </row>
    <row r="89" spans="1:10" x14ac:dyDescent="0.25">
      <c r="A89" s="590"/>
      <c r="B89" s="590"/>
      <c r="G89" s="590"/>
    </row>
    <row r="90" spans="1:10" ht="21.75" customHeight="1" x14ac:dyDescent="0.25">
      <c r="A90" s="1717" t="s">
        <v>10281</v>
      </c>
      <c r="B90" s="1718"/>
      <c r="C90" s="1718"/>
      <c r="D90" s="1718"/>
      <c r="E90" s="1718"/>
      <c r="F90" s="1718"/>
      <c r="G90" s="1718"/>
      <c r="H90" s="1718"/>
      <c r="I90" s="1718"/>
      <c r="J90" s="1719"/>
    </row>
    <row r="91" spans="1:10" x14ac:dyDescent="0.25">
      <c r="E91" s="47"/>
      <c r="F91" s="47"/>
      <c r="G91" s="590"/>
      <c r="H91" s="709"/>
      <c r="I91" s="47"/>
    </row>
    <row r="92" spans="1:10" ht="135" customHeight="1" x14ac:dyDescent="0.25">
      <c r="A92" s="1698" t="s">
        <v>10274</v>
      </c>
      <c r="B92" s="1699"/>
      <c r="C92" s="1699"/>
      <c r="D92" s="1699"/>
      <c r="E92" s="1700"/>
      <c r="F92" s="1704" t="s">
        <v>10275</v>
      </c>
      <c r="G92" s="1705"/>
      <c r="H92" s="1705"/>
      <c r="I92" s="1705"/>
      <c r="J92" s="1706"/>
    </row>
    <row r="93" spans="1:10" ht="99.95" customHeight="1" x14ac:dyDescent="0.25">
      <c r="A93" s="1698" t="s">
        <v>10276</v>
      </c>
      <c r="B93" s="1699"/>
      <c r="C93" s="1699"/>
      <c r="D93" s="1699"/>
      <c r="E93" s="1700"/>
      <c r="F93" s="1747" t="s">
        <v>10258</v>
      </c>
      <c r="G93" s="1748"/>
      <c r="H93" s="1748"/>
      <c r="I93" s="1748"/>
      <c r="J93" s="1749"/>
    </row>
    <row r="94" spans="1:10" ht="50.1" customHeight="1" x14ac:dyDescent="0.25">
      <c r="A94" s="1698" t="s">
        <v>10259</v>
      </c>
      <c r="B94" s="1699"/>
      <c r="C94" s="1699"/>
      <c r="D94" s="1699"/>
      <c r="E94" s="1700"/>
      <c r="F94" s="1704" t="s">
        <v>10260</v>
      </c>
      <c r="G94" s="1705"/>
      <c r="H94" s="1705"/>
      <c r="I94" s="1705"/>
      <c r="J94" s="1706"/>
    </row>
    <row r="95" spans="1:10" ht="30" customHeight="1" x14ac:dyDescent="0.25">
      <c r="A95" s="1720" t="s">
        <v>10261</v>
      </c>
      <c r="B95" s="1721"/>
      <c r="C95" s="1721"/>
      <c r="D95" s="1721"/>
      <c r="E95" s="1722"/>
      <c r="F95" s="1729" t="s">
        <v>10277</v>
      </c>
      <c r="G95" s="1730"/>
      <c r="H95" s="1730"/>
      <c r="I95" s="1617" t="s">
        <v>10278</v>
      </c>
      <c r="J95" s="1622"/>
    </row>
    <row r="96" spans="1:10" ht="30" customHeight="1" x14ac:dyDescent="0.25">
      <c r="A96" s="1723"/>
      <c r="B96" s="1724"/>
      <c r="C96" s="1724"/>
      <c r="D96" s="1724"/>
      <c r="E96" s="1725"/>
      <c r="F96" s="1729"/>
      <c r="G96" s="1730"/>
      <c r="H96" s="1730"/>
      <c r="I96" s="1617"/>
      <c r="J96" s="1622"/>
    </row>
    <row r="97" spans="1:10" ht="30" customHeight="1" x14ac:dyDescent="0.25">
      <c r="A97" s="1723"/>
      <c r="B97" s="1724"/>
      <c r="C97" s="1724"/>
      <c r="D97" s="1724"/>
      <c r="E97" s="1725"/>
      <c r="F97" s="1729"/>
      <c r="G97" s="1730"/>
      <c r="H97" s="1730"/>
      <c r="I97" s="1617"/>
      <c r="J97" s="1622"/>
    </row>
    <row r="98" spans="1:10" ht="30" customHeight="1" x14ac:dyDescent="0.25">
      <c r="A98" s="1723"/>
      <c r="B98" s="1724"/>
      <c r="C98" s="1724"/>
      <c r="D98" s="1724"/>
      <c r="E98" s="1725"/>
      <c r="F98" s="1729"/>
      <c r="G98" s="1730"/>
      <c r="H98" s="1730"/>
      <c r="I98" s="1617"/>
      <c r="J98" s="1622"/>
    </row>
    <row r="99" spans="1:10" ht="30" customHeight="1" x14ac:dyDescent="0.25">
      <c r="A99" s="1723"/>
      <c r="B99" s="1724"/>
      <c r="C99" s="1724"/>
      <c r="D99" s="1724"/>
      <c r="E99" s="1725"/>
      <c r="F99" s="1729"/>
      <c r="G99" s="1730"/>
      <c r="H99" s="1730"/>
      <c r="I99" s="1617"/>
      <c r="J99" s="1622"/>
    </row>
    <row r="100" spans="1:10" ht="30" customHeight="1" x14ac:dyDescent="0.25">
      <c r="A100" s="1723"/>
      <c r="B100" s="1724"/>
      <c r="C100" s="1724"/>
      <c r="D100" s="1724"/>
      <c r="E100" s="1725"/>
      <c r="F100" s="1729"/>
      <c r="G100" s="1730"/>
      <c r="H100" s="1730"/>
      <c r="I100" s="1617"/>
      <c r="J100" s="1622"/>
    </row>
    <row r="101" spans="1:10" ht="30" customHeight="1" x14ac:dyDescent="0.25">
      <c r="A101" s="1723"/>
      <c r="B101" s="1724"/>
      <c r="C101" s="1724"/>
      <c r="D101" s="1724"/>
      <c r="E101" s="1725"/>
      <c r="F101" s="1729"/>
      <c r="G101" s="1730"/>
      <c r="H101" s="1730"/>
      <c r="I101" s="1617"/>
      <c r="J101" s="1622"/>
    </row>
    <row r="102" spans="1:10" ht="30" customHeight="1" x14ac:dyDescent="0.25">
      <c r="A102" s="1723"/>
      <c r="B102" s="1724"/>
      <c r="C102" s="1724"/>
      <c r="D102" s="1724"/>
      <c r="E102" s="1725"/>
      <c r="F102" s="1729"/>
      <c r="G102" s="1730"/>
      <c r="H102" s="1730"/>
      <c r="I102" s="1617"/>
      <c r="J102" s="1622"/>
    </row>
    <row r="103" spans="1:10" ht="30" customHeight="1" x14ac:dyDescent="0.25">
      <c r="A103" s="1723"/>
      <c r="B103" s="1724"/>
      <c r="C103" s="1724"/>
      <c r="D103" s="1724"/>
      <c r="E103" s="1725"/>
      <c r="F103" s="1729"/>
      <c r="G103" s="1730"/>
      <c r="H103" s="1730"/>
      <c r="I103" s="1617"/>
      <c r="J103" s="1622"/>
    </row>
    <row r="104" spans="1:10" ht="30" customHeight="1" x14ac:dyDescent="0.25">
      <c r="A104" s="1723"/>
      <c r="B104" s="1724"/>
      <c r="C104" s="1724"/>
      <c r="D104" s="1724"/>
      <c r="E104" s="1725"/>
      <c r="F104" s="1729"/>
      <c r="G104" s="1730"/>
      <c r="H104" s="1730"/>
      <c r="I104" s="1617"/>
      <c r="J104" s="1622"/>
    </row>
    <row r="105" spans="1:10" ht="30" customHeight="1" x14ac:dyDescent="0.25">
      <c r="A105" s="1726"/>
      <c r="B105" s="1727"/>
      <c r="C105" s="1727"/>
      <c r="D105" s="1727"/>
      <c r="E105" s="1728"/>
      <c r="F105" s="1729"/>
      <c r="G105" s="1730"/>
      <c r="H105" s="1730"/>
      <c r="I105" s="1617"/>
      <c r="J105" s="1622"/>
    </row>
    <row r="107" spans="1:10" ht="15.75" x14ac:dyDescent="0.25">
      <c r="A107" s="1746" t="s">
        <v>10262</v>
      </c>
      <c r="B107" s="1746"/>
      <c r="C107" s="1746"/>
      <c r="D107" s="1746"/>
      <c r="E107" s="1746"/>
      <c r="F107" s="359" t="str">
        <f>'B 1'!S3</f>
        <v>Dwight Cameron 403-492-9351 dwight@megaroofing.ca</v>
      </c>
      <c r="J107" s="359"/>
    </row>
    <row r="108" spans="1:10" ht="15.75" customHeight="1" x14ac:dyDescent="0.25"/>
    <row r="110" spans="1:10" x14ac:dyDescent="0.25">
      <c r="A110" s="723" t="s">
        <v>10282</v>
      </c>
      <c r="B110" s="724"/>
      <c r="C110" s="724"/>
      <c r="D110" s="724"/>
      <c r="E110" s="724"/>
      <c r="F110" s="724"/>
      <c r="G110" s="724"/>
      <c r="H110" s="724"/>
      <c r="I110" s="724"/>
      <c r="J110" s="725">
        <f ca="1">J81</f>
        <v>46240</v>
      </c>
    </row>
    <row r="111" spans="1:10" x14ac:dyDescent="0.25">
      <c r="A111" s="721" t="s">
        <v>10281</v>
      </c>
      <c r="B111" s="719"/>
      <c r="C111" s="719"/>
      <c r="D111" s="719"/>
      <c r="E111" s="719"/>
      <c r="F111" s="722" t="s">
        <v>10279</v>
      </c>
      <c r="G111" s="719"/>
      <c r="H111" s="719"/>
      <c r="I111" s="719"/>
      <c r="J111" s="720" t="s">
        <v>10283</v>
      </c>
    </row>
    <row r="112" spans="1:10" x14ac:dyDescent="0.25">
      <c r="B112" s="590"/>
    </row>
    <row r="113" spans="1:10" ht="18.75" x14ac:dyDescent="0.25">
      <c r="J113" s="713" t="s">
        <v>10263</v>
      </c>
    </row>
    <row r="114" spans="1:10" x14ac:dyDescent="0.25">
      <c r="B114" s="590"/>
      <c r="C114" s="590"/>
      <c r="D114" s="590"/>
      <c r="E114" s="590"/>
      <c r="F114" s="590"/>
      <c r="G114" s="590"/>
      <c r="H114" s="590"/>
      <c r="I114" s="590"/>
      <c r="J114" s="710" t="s">
        <v>10264</v>
      </c>
    </row>
    <row r="115" spans="1:10" x14ac:dyDescent="0.25">
      <c r="A115" s="711" t="s">
        <v>10266</v>
      </c>
      <c r="B115" s="590"/>
      <c r="J115" s="710" t="s">
        <v>10265</v>
      </c>
    </row>
    <row r="116" spans="1:10" ht="15.75" x14ac:dyDescent="0.25">
      <c r="A116" s="712"/>
      <c r="B116" s="590"/>
      <c r="G116" s="590"/>
    </row>
    <row r="117" spans="1:10" x14ac:dyDescent="0.25">
      <c r="A117" s="590"/>
      <c r="B117" s="590"/>
      <c r="G117" s="590"/>
    </row>
    <row r="118" spans="1:10" ht="21.75" customHeight="1" x14ac:dyDescent="0.25">
      <c r="A118" s="1717" t="s">
        <v>10281</v>
      </c>
      <c r="B118" s="1718"/>
      <c r="C118" s="1718"/>
      <c r="D118" s="1718"/>
      <c r="E118" s="1718"/>
      <c r="F118" s="1718"/>
      <c r="G118" s="1718"/>
      <c r="H118" s="1718"/>
      <c r="I118" s="1718"/>
      <c r="J118" s="1719"/>
    </row>
    <row r="119" spans="1:10" x14ac:dyDescent="0.25">
      <c r="E119" s="47"/>
      <c r="F119" s="47"/>
      <c r="G119" s="590"/>
      <c r="I119" s="47"/>
    </row>
    <row r="164" spans="1:10" ht="15.75" customHeight="1" x14ac:dyDescent="0.25"/>
    <row r="166" spans="1:10" x14ac:dyDescent="0.25">
      <c r="A166" s="723" t="s">
        <v>10282</v>
      </c>
      <c r="B166" s="724"/>
      <c r="C166" s="724"/>
      <c r="D166" s="724"/>
      <c r="E166" s="724"/>
      <c r="F166" s="724"/>
      <c r="G166" s="724"/>
      <c r="H166" s="724"/>
      <c r="I166" s="724"/>
      <c r="J166" s="725">
        <f ca="1">J110</f>
        <v>46240</v>
      </c>
    </row>
    <row r="167" spans="1:10" x14ac:dyDescent="0.25">
      <c r="A167" s="721" t="s">
        <v>10281</v>
      </c>
      <c r="B167" s="719"/>
      <c r="C167" s="719"/>
      <c r="D167" s="719"/>
      <c r="E167" s="719"/>
      <c r="F167" s="722" t="s">
        <v>10279</v>
      </c>
      <c r="G167" s="719"/>
      <c r="H167" s="719"/>
      <c r="I167" s="719"/>
      <c r="J167" s="720" t="s">
        <v>780</v>
      </c>
    </row>
  </sheetData>
  <mergeCells count="109">
    <mergeCell ref="A61:J61"/>
    <mergeCell ref="A118:J118"/>
    <mergeCell ref="A70:E71"/>
    <mergeCell ref="F71:G71"/>
    <mergeCell ref="F102:H102"/>
    <mergeCell ref="I102:J102"/>
    <mergeCell ref="A107:E107"/>
    <mergeCell ref="F103:H103"/>
    <mergeCell ref="I103:J103"/>
    <mergeCell ref="F104:H104"/>
    <mergeCell ref="I104:J104"/>
    <mergeCell ref="F105:H105"/>
    <mergeCell ref="I105:J105"/>
    <mergeCell ref="A95:E105"/>
    <mergeCell ref="I99:J99"/>
    <mergeCell ref="F100:H100"/>
    <mergeCell ref="I100:J100"/>
    <mergeCell ref="F101:H101"/>
    <mergeCell ref="I101:J101"/>
    <mergeCell ref="A93:E93"/>
    <mergeCell ref="F93:J93"/>
    <mergeCell ref="A94:E94"/>
    <mergeCell ref="F94:J94"/>
    <mergeCell ref="F95:H95"/>
    <mergeCell ref="I95:J95"/>
    <mergeCell ref="F96:H96"/>
    <mergeCell ref="I96:J96"/>
    <mergeCell ref="F97:H97"/>
    <mergeCell ref="I97:J97"/>
    <mergeCell ref="F98:H98"/>
    <mergeCell ref="I98:J98"/>
    <mergeCell ref="F99:H99"/>
    <mergeCell ref="H68:I68"/>
    <mergeCell ref="F70:J70"/>
    <mergeCell ref="F73:J76"/>
    <mergeCell ref="A72:E72"/>
    <mergeCell ref="F72:J72"/>
    <mergeCell ref="A92:E92"/>
    <mergeCell ref="F92:J92"/>
    <mergeCell ref="F63:J63"/>
    <mergeCell ref="F64:J64"/>
    <mergeCell ref="A64:E64"/>
    <mergeCell ref="A65:J65"/>
    <mergeCell ref="H66:J66"/>
    <mergeCell ref="D66:G66"/>
    <mergeCell ref="F67:J67"/>
    <mergeCell ref="D63:E63"/>
    <mergeCell ref="A63:C63"/>
    <mergeCell ref="A90:J90"/>
    <mergeCell ref="A73:E76"/>
    <mergeCell ref="A1:E7"/>
    <mergeCell ref="F1:J1"/>
    <mergeCell ref="F2:J2"/>
    <mergeCell ref="F3:J3"/>
    <mergeCell ref="F4:J4"/>
    <mergeCell ref="G5:J7"/>
    <mergeCell ref="F5:F7"/>
    <mergeCell ref="G15:J15"/>
    <mergeCell ref="E15:F15"/>
    <mergeCell ref="A13:C13"/>
    <mergeCell ref="B12:F12"/>
    <mergeCell ref="B15:D15"/>
    <mergeCell ref="G12:J12"/>
    <mergeCell ref="G14:J14"/>
    <mergeCell ref="A9:J9"/>
    <mergeCell ref="G10:H10"/>
    <mergeCell ref="I10:J10"/>
    <mergeCell ref="A11:C11"/>
    <mergeCell ref="D10:E10"/>
    <mergeCell ref="D11:F11"/>
    <mergeCell ref="A10:C10"/>
    <mergeCell ref="I11:J11"/>
    <mergeCell ref="G8:J8"/>
    <mergeCell ref="H25:J25"/>
    <mergeCell ref="A16:J16"/>
    <mergeCell ref="A17:F17"/>
    <mergeCell ref="G17:J17"/>
    <mergeCell ref="A18:F19"/>
    <mergeCell ref="G18:J18"/>
    <mergeCell ref="H19:I19"/>
    <mergeCell ref="A20:F21"/>
    <mergeCell ref="H20:J20"/>
    <mergeCell ref="H22:J22"/>
    <mergeCell ref="H23:J23"/>
    <mergeCell ref="A24:F24"/>
    <mergeCell ref="A23:F23"/>
    <mergeCell ref="C22:F22"/>
    <mergeCell ref="A25:F25"/>
    <mergeCell ref="A52:J52"/>
    <mergeCell ref="G51:J51"/>
    <mergeCell ref="A44:F44"/>
    <mergeCell ref="A45:F46"/>
    <mergeCell ref="A47:F49"/>
    <mergeCell ref="A50:B50"/>
    <mergeCell ref="A51:B51"/>
    <mergeCell ref="G38:J50"/>
    <mergeCell ref="A36:F38"/>
    <mergeCell ref="H27:I27"/>
    <mergeCell ref="H28:J28"/>
    <mergeCell ref="H29:J29"/>
    <mergeCell ref="G30:J30"/>
    <mergeCell ref="A41:F43"/>
    <mergeCell ref="H37:J37"/>
    <mergeCell ref="A26:F27"/>
    <mergeCell ref="A28:F29"/>
    <mergeCell ref="A30:F30"/>
    <mergeCell ref="A31:F32"/>
    <mergeCell ref="A33:F34"/>
    <mergeCell ref="A35:F35"/>
  </mergeCells>
  <hyperlinks>
    <hyperlink ref="A58" r:id="rId1" display="http://www.megaroofing.ca/" xr:uid="{94723B04-32C4-4605-B230-3932D5E7909D}"/>
    <hyperlink ref="A87" r:id="rId2" display="http://www.megaroofing.ca/" xr:uid="{893D0C71-6044-4BE7-99E4-ACBBD8040160}"/>
    <hyperlink ref="A115" r:id="rId3" display="http://www.megaroofing.ca/" xr:uid="{404179A2-2A5D-4CF0-906E-B2E7B32940CA}"/>
  </hyperlinks>
  <pageMargins left="0.7" right="0.7" top="0.75" bottom="0.75" header="0.3" footer="0.3"/>
  <pageSetup scale="82" fitToHeight="0" orientation="portrait" r:id="rId4"/>
  <drawing r:id="rId5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BEFE5DCD-A27B-44AB-B76A-6ED5A9AE7596}">
          <x14:formula1>
            <xm:f>'R Data'!$W$60:$W$74</xm:f>
          </x14:formula1>
          <xm:sqref>D10:E10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3F6714-7ABD-41D7-A522-38D32B3704E2}">
  <sheetPr codeName="Sheet19">
    <tabColor theme="9" tint="0.59999389629810485"/>
    <pageSetUpPr fitToPage="1"/>
  </sheetPr>
  <dimension ref="A1:I69"/>
  <sheetViews>
    <sheetView workbookViewId="0">
      <selection activeCell="F8" sqref="A8:I8"/>
    </sheetView>
  </sheetViews>
  <sheetFormatPr defaultRowHeight="15" outlineLevelRow="1" x14ac:dyDescent="0.25"/>
  <cols>
    <col min="1" max="1" width="7.42578125" style="359" customWidth="1"/>
    <col min="2" max="2" width="11.42578125" style="359" customWidth="1"/>
    <col min="3" max="4" width="9.140625" style="359"/>
    <col min="5" max="5" width="15.28515625" style="359" customWidth="1"/>
    <col min="6" max="6" width="8.42578125" style="359" customWidth="1"/>
    <col min="7" max="8" width="10.28515625" style="359" customWidth="1"/>
    <col min="9" max="9" width="15.7109375" style="47" customWidth="1"/>
    <col min="10" max="16384" width="9.140625" style="359"/>
  </cols>
  <sheetData>
    <row r="1" spans="1:9" x14ac:dyDescent="0.25">
      <c r="A1" s="1463"/>
      <c r="B1" s="1463"/>
      <c r="C1" s="1463"/>
      <c r="D1" s="1463"/>
      <c r="E1" s="1463"/>
      <c r="F1" s="1463"/>
      <c r="G1" s="1463"/>
      <c r="H1" s="1463"/>
      <c r="I1" s="1463"/>
    </row>
    <row r="2" spans="1:9" x14ac:dyDescent="0.25">
      <c r="A2" s="1463"/>
      <c r="B2" s="1463"/>
      <c r="C2" s="1463"/>
      <c r="D2" s="1463"/>
      <c r="E2" s="1640" t="s">
        <v>776</v>
      </c>
      <c r="F2" s="1640"/>
      <c r="G2" s="1640"/>
      <c r="H2" s="1640"/>
      <c r="I2" s="1640"/>
    </row>
    <row r="3" spans="1:9" x14ac:dyDescent="0.25">
      <c r="A3" s="1463"/>
      <c r="B3" s="1463"/>
      <c r="C3" s="1463"/>
      <c r="D3" s="1463"/>
      <c r="E3" s="1639" t="s">
        <v>777</v>
      </c>
      <c r="F3" s="1639"/>
      <c r="G3" s="1639"/>
      <c r="H3" s="1639"/>
      <c r="I3" s="1639"/>
    </row>
    <row r="4" spans="1:9" x14ac:dyDescent="0.25">
      <c r="A4" s="1463"/>
      <c r="B4" s="1463"/>
      <c r="C4" s="1463"/>
      <c r="D4" s="1463"/>
      <c r="E4" s="1640" t="s">
        <v>228</v>
      </c>
      <c r="F4" s="1640"/>
      <c r="G4" s="1640"/>
      <c r="H4" s="1640"/>
      <c r="I4" s="1640"/>
    </row>
    <row r="5" spans="1:9" x14ac:dyDescent="0.25">
      <c r="A5" s="1463"/>
      <c r="B5" s="1463"/>
      <c r="C5" s="1463"/>
      <c r="D5" s="1463"/>
      <c r="E5" s="1641" t="s">
        <v>10087</v>
      </c>
      <c r="F5" s="1641" t="str">
        <f>'B 1'!R1</f>
        <v>RFP -</v>
      </c>
      <c r="G5" s="1641"/>
      <c r="H5" s="1641"/>
      <c r="I5" s="1641"/>
    </row>
    <row r="6" spans="1:9" x14ac:dyDescent="0.25">
      <c r="A6" s="1463"/>
      <c r="B6" s="1463"/>
      <c r="C6" s="1463"/>
      <c r="D6" s="1463"/>
      <c r="E6" s="1641"/>
      <c r="F6" s="1641"/>
      <c r="G6" s="1641"/>
      <c r="H6" s="1641"/>
      <c r="I6" s="1641"/>
    </row>
    <row r="7" spans="1:9" x14ac:dyDescent="0.25">
      <c r="A7" s="1463"/>
      <c r="B7" s="1463"/>
      <c r="C7" s="1463"/>
      <c r="D7" s="1463"/>
      <c r="E7" s="1641"/>
      <c r="F7" s="1641"/>
      <c r="G7" s="1641"/>
      <c r="H7" s="1641"/>
      <c r="I7" s="1641"/>
    </row>
    <row r="8" spans="1:9" ht="18.75" x14ac:dyDescent="0.25">
      <c r="A8" s="1643" t="str" cm="1">
        <f t="array" aca="1" ref="A8" ca="1">MID(CELL("filename",A1),FIND("]",CELL("filename",A1))+1,255)</f>
        <v>Hardie PO</v>
      </c>
      <c r="B8" s="1643"/>
      <c r="C8" s="1643"/>
      <c r="D8" s="1643"/>
      <c r="E8" s="842"/>
      <c r="F8" s="1643" t="s">
        <v>785</v>
      </c>
      <c r="G8" s="1643"/>
      <c r="H8" s="1643"/>
      <c r="I8" s="1643"/>
    </row>
    <row r="9" spans="1:9" ht="3" customHeight="1" x14ac:dyDescent="0.25">
      <c r="A9" s="1580"/>
      <c r="B9" s="1581"/>
      <c r="C9" s="1581"/>
      <c r="D9" s="1581"/>
      <c r="E9" s="1581"/>
      <c r="F9" s="1581"/>
      <c r="G9" s="1581"/>
      <c r="H9" s="1581"/>
      <c r="I9" s="1583"/>
    </row>
    <row r="10" spans="1:9" x14ac:dyDescent="0.25">
      <c r="A10" s="1578" t="s">
        <v>305</v>
      </c>
      <c r="B10" s="1579"/>
      <c r="C10" s="1635" t="str">
        <f>'B 1'!S3</f>
        <v>Dwight Cameron 403-492-9351 dwight@megaroofing.ca</v>
      </c>
      <c r="D10" s="1635"/>
      <c r="E10" s="1636"/>
      <c r="F10" s="1578" t="s">
        <v>230</v>
      </c>
      <c r="G10" s="1579"/>
      <c r="H10" s="1644">
        <f ca="1">TODAY()</f>
        <v>46240</v>
      </c>
      <c r="I10" s="1645"/>
    </row>
    <row r="11" spans="1:9" ht="15" customHeight="1" x14ac:dyDescent="0.25">
      <c r="A11" s="1633"/>
      <c r="B11" s="1634"/>
      <c r="C11" s="1637"/>
      <c r="D11" s="1637"/>
      <c r="E11" s="1638"/>
      <c r="F11" s="591" t="s">
        <v>994</v>
      </c>
      <c r="G11" s="592"/>
      <c r="H11" s="1631" t="str">
        <f>'B 1'!D2</f>
        <v>Company Name</v>
      </c>
      <c r="I11" s="1632"/>
    </row>
    <row r="12" spans="1:9" ht="15" customHeight="1" x14ac:dyDescent="0.25">
      <c r="A12" s="1589"/>
      <c r="B12" s="1590"/>
      <c r="C12" s="1590"/>
      <c r="D12" s="1590"/>
      <c r="E12" s="1591"/>
      <c r="F12" s="1578" t="s">
        <v>991</v>
      </c>
      <c r="G12" s="1579"/>
      <c r="H12" s="1579"/>
      <c r="I12" s="1584"/>
    </row>
    <row r="13" spans="1:9" ht="15" customHeight="1" x14ac:dyDescent="0.25">
      <c r="A13" s="1592"/>
      <c r="B13" s="1593"/>
      <c r="C13" s="1593"/>
      <c r="D13" s="1593"/>
      <c r="E13" s="1594"/>
      <c r="F13" s="1585" t="str">
        <f>'B 1'!D4</f>
        <v>ADDRESS</v>
      </c>
      <c r="G13" s="1586"/>
      <c r="H13" s="1586"/>
      <c r="I13" s="593" t="s">
        <v>993</v>
      </c>
    </row>
    <row r="14" spans="1:9" ht="3" customHeight="1" x14ac:dyDescent="0.25">
      <c r="A14" s="1580"/>
      <c r="B14" s="1581"/>
      <c r="C14" s="1581"/>
      <c r="D14" s="1581"/>
      <c r="E14" s="1581"/>
      <c r="F14" s="1581"/>
      <c r="G14" s="1581"/>
      <c r="H14" s="1581"/>
      <c r="I14" s="1583"/>
    </row>
    <row r="15" spans="1:9" ht="15.75" x14ac:dyDescent="0.25">
      <c r="A15" s="1626" t="s">
        <v>794</v>
      </c>
      <c r="B15" s="1627"/>
      <c r="C15" s="1715" t="str">
        <f>F5</f>
        <v>RFP -</v>
      </c>
      <c r="D15" s="1715"/>
      <c r="E15" s="1716"/>
      <c r="F15" s="1587" t="s">
        <v>307</v>
      </c>
      <c r="G15" s="1588"/>
      <c r="H15" s="1588"/>
      <c r="I15" s="1588"/>
    </row>
    <row r="16" spans="1:9" ht="17.25" customHeight="1" outlineLevel="1" x14ac:dyDescent="0.25">
      <c r="A16" s="1626" t="s">
        <v>1251</v>
      </c>
      <c r="B16" s="1627"/>
      <c r="C16" s="570"/>
      <c r="D16" s="570"/>
      <c r="E16" s="573">
        <v>45917</v>
      </c>
      <c r="F16" s="669" t="s">
        <v>1210</v>
      </c>
      <c r="G16" s="1621" t="str">
        <f>'B 1'!C235</f>
        <v>Materials</v>
      </c>
      <c r="H16" s="1622"/>
      <c r="I16" s="46" t="s">
        <v>234</v>
      </c>
    </row>
    <row r="17" spans="1:9" outlineLevel="1" x14ac:dyDescent="0.25">
      <c r="A17" s="1626" t="s">
        <v>1249</v>
      </c>
      <c r="B17" s="1627"/>
      <c r="C17" s="1623" t="s">
        <v>1250</v>
      </c>
      <c r="D17" s="1623"/>
      <c r="E17" s="1760"/>
      <c r="F17" s="585">
        <f>'B 1'!J236</f>
        <v>0</v>
      </c>
      <c r="G17" s="1621" t="str">
        <f>'B 1'!C236</f>
        <v>Select Hardie Plank</v>
      </c>
      <c r="H17" s="1622" t="e">
        <f>'B 1'!#REF!</f>
        <v>#REF!</v>
      </c>
      <c r="I17" s="671" t="s">
        <v>10232</v>
      </c>
    </row>
    <row r="18" spans="1:9" ht="15" customHeight="1" outlineLevel="1" x14ac:dyDescent="0.25">
      <c r="A18" s="1626" t="s">
        <v>1252</v>
      </c>
      <c r="B18" s="1627"/>
      <c r="C18" s="570"/>
      <c r="D18" s="572"/>
      <c r="E18" s="573">
        <v>45917</v>
      </c>
      <c r="F18" s="585">
        <f>'B 1'!J237</f>
        <v>0</v>
      </c>
      <c r="G18" s="1621" t="str">
        <f>'B 1'!C237</f>
        <v>Select Shakes ColorPlus</v>
      </c>
      <c r="H18" s="1622"/>
      <c r="I18" s="671" t="s">
        <v>10232</v>
      </c>
    </row>
    <row r="19" spans="1:9" outlineLevel="1" x14ac:dyDescent="0.25">
      <c r="A19" s="1628" t="s">
        <v>10086</v>
      </c>
      <c r="B19" s="1629"/>
      <c r="C19" s="1629"/>
      <c r="D19" s="1629"/>
      <c r="E19" s="1630"/>
      <c r="F19" s="585">
        <f>'B 1'!J238</f>
        <v>8.9166666666666664E-8</v>
      </c>
      <c r="G19" s="1621" t="str">
        <f>'B 1'!C238</f>
        <v>Smooth 4X10 Artic White</v>
      </c>
      <c r="H19" s="1622" t="e">
        <f>'B 1'!#REF!</f>
        <v>#REF!</v>
      </c>
      <c r="I19" s="671" t="s">
        <v>10232</v>
      </c>
    </row>
    <row r="20" spans="1:9" ht="15" customHeight="1" outlineLevel="1" x14ac:dyDescent="0.25">
      <c r="A20" s="1562" t="str">
        <f>VLOOKUP(A19,'R Data'!W2:X19,2,FALSE)</f>
        <v>lisa.darwent@abcsupply.com</v>
      </c>
      <c r="B20" s="1563"/>
      <c r="C20" s="1563"/>
      <c r="D20" s="1563"/>
      <c r="E20" s="1564"/>
      <c r="F20" s="585">
        <f>'B 1'!J239</f>
        <v>0</v>
      </c>
      <c r="G20" s="1621" t="str">
        <f>'B 1'!C239</f>
        <v>Starter Strip</v>
      </c>
      <c r="H20" s="1617" t="e">
        <f>'B 1'!#REF!</f>
        <v>#REF!</v>
      </c>
      <c r="I20" s="1622"/>
    </row>
    <row r="21" spans="1:9" ht="15" customHeight="1" outlineLevel="1" x14ac:dyDescent="0.25">
      <c r="A21" s="1562" t="str">
        <f>VLOOKUP(A20,'R Data'!X2:Y19,2,FALSE)</f>
        <v xml:space="preserve">10340-50 St. SE </v>
      </c>
      <c r="B21" s="1563"/>
      <c r="C21" s="1563"/>
      <c r="D21" s="1563"/>
      <c r="E21" s="1564"/>
      <c r="F21" s="585">
        <f>'B 1'!J240</f>
        <v>0</v>
      </c>
      <c r="G21" s="1621" t="str">
        <f>'B 1'!C240</f>
        <v>Wood Furring</v>
      </c>
      <c r="H21" s="1617" t="e">
        <f>'B 1'!#REF!</f>
        <v>#REF!</v>
      </c>
      <c r="I21" s="1622"/>
    </row>
    <row r="22" spans="1:9" ht="15" customHeight="1" x14ac:dyDescent="0.25">
      <c r="A22" s="1618" t="s">
        <v>306</v>
      </c>
      <c r="B22" s="1619"/>
      <c r="C22" s="1619"/>
      <c r="D22" s="1619"/>
      <c r="E22" s="1620"/>
      <c r="F22" s="585">
        <f>'B 1'!J241</f>
        <v>3.3062500000000002E-8</v>
      </c>
      <c r="G22" s="1621" t="str">
        <f>'B 1'!C241</f>
        <v>Polyiso EnerAir 1/2- 4'x8'</v>
      </c>
      <c r="H22" s="1617" t="e">
        <f>'B 1'!#REF!</f>
        <v>#REF!</v>
      </c>
      <c r="I22" s="1622"/>
    </row>
    <row r="23" spans="1:9" ht="15" customHeight="1" x14ac:dyDescent="0.25">
      <c r="A23" s="1562" t="str">
        <f>VLOOKUP(A21,'R Data'!Y2:Z19,2,FALSE)</f>
        <v>T2C-3E4</v>
      </c>
      <c r="B23" s="1563"/>
      <c r="C23" s="1563"/>
      <c r="D23" s="1563"/>
      <c r="E23" s="1564"/>
      <c r="F23" s="585">
        <f>'B 1'!J242</f>
        <v>0</v>
      </c>
      <c r="G23" s="1621" t="str">
        <f>'B 1'!C242</f>
        <v>Roughsawn - 5/4" X 5.5" X 12'</v>
      </c>
      <c r="H23" s="1622" t="e">
        <f>'B 1'!#REF!</f>
        <v>#REF!</v>
      </c>
      <c r="I23" s="671" t="s">
        <v>10232</v>
      </c>
    </row>
    <row r="24" spans="1:9" ht="15" customHeight="1" x14ac:dyDescent="0.25">
      <c r="A24" s="1562" t="str">
        <f>VLOOKUP(A23,'R Data'!Z2:AA19,2,FALSE)</f>
        <v>403-444-3000</v>
      </c>
      <c r="B24" s="1563"/>
      <c r="C24" s="1563"/>
      <c r="D24" s="1563"/>
      <c r="E24" s="1564"/>
      <c r="F24" s="585">
        <f>'B 1'!J243</f>
        <v>0</v>
      </c>
      <c r="G24" s="1621" t="str">
        <f>'B 1'!C243</f>
        <v>Roughsawn - 5/4" X 3.5" X 12'</v>
      </c>
      <c r="H24" s="1622" t="e">
        <f>'B 1'!#REF!</f>
        <v>#REF!</v>
      </c>
      <c r="I24" s="46" t="str">
        <f>$I$23</f>
        <v>Hardie Colours</v>
      </c>
    </row>
    <row r="25" spans="1:9" ht="15" customHeight="1" x14ac:dyDescent="0.25">
      <c r="A25" s="1573" t="s">
        <v>746</v>
      </c>
      <c r="B25" s="1574"/>
      <c r="C25" s="1574"/>
      <c r="D25" s="1574"/>
      <c r="E25" s="569"/>
      <c r="F25" s="585">
        <f>'B 1'!J244</f>
        <v>0</v>
      </c>
      <c r="G25" s="1621" t="str">
        <f>'B 1'!C244</f>
        <v>Roughsawn - 5/4" X 5.5" X 12'</v>
      </c>
      <c r="H25" s="1622" t="e">
        <f>'B 1'!#REF!</f>
        <v>#REF!</v>
      </c>
      <c r="I25" s="46" t="str">
        <f t="shared" ref="I25:I26" si="0">$I$23</f>
        <v>Hardie Colours</v>
      </c>
    </row>
    <row r="26" spans="1:9" ht="15" customHeight="1" x14ac:dyDescent="0.25">
      <c r="A26" s="1565" t="s">
        <v>786</v>
      </c>
      <c r="B26" s="1566"/>
      <c r="C26" s="1566"/>
      <c r="D26" s="1566"/>
      <c r="E26" s="1567"/>
      <c r="F26" s="585">
        <f>'B 1'!J245</f>
        <v>0</v>
      </c>
      <c r="G26" s="1621" t="str">
        <f>'B 1'!C245</f>
        <v>Roughsawn - 5/4" X 11.25" X 12'</v>
      </c>
      <c r="H26" s="1622" t="e">
        <f>'B 1'!#REF!</f>
        <v>#REF!</v>
      </c>
      <c r="I26" s="46" t="str">
        <f t="shared" si="0"/>
        <v>Hardie Colours</v>
      </c>
    </row>
    <row r="27" spans="1:9" ht="15" customHeight="1" x14ac:dyDescent="0.25">
      <c r="A27" s="1571"/>
      <c r="B27" s="1572"/>
      <c r="C27" s="1572"/>
      <c r="D27" s="1572"/>
      <c r="E27" s="1759"/>
      <c r="F27" s="585">
        <f>'B 1'!J246</f>
        <v>0</v>
      </c>
      <c r="G27" s="1621" t="str">
        <f>'B 1'!C246</f>
        <v xml:space="preserve">Hardi Strips - 6" X 10" </v>
      </c>
      <c r="H27" s="1617" t="e">
        <f>'B 1'!#REF!</f>
        <v>#REF!</v>
      </c>
      <c r="I27" s="1622"/>
    </row>
    <row r="28" spans="1:9" ht="15" customHeight="1" x14ac:dyDescent="0.25">
      <c r="A28" s="1575" t="s">
        <v>344</v>
      </c>
      <c r="B28" s="1576"/>
      <c r="C28" s="1576"/>
      <c r="D28" s="1576"/>
      <c r="E28" s="1577"/>
      <c r="F28" s="585">
        <f>'B 1'!J247</f>
        <v>0</v>
      </c>
      <c r="G28" s="1621" t="str">
        <f>'B 1'!C247</f>
        <v>Hardie Trim Flat Tabs - 3"</v>
      </c>
      <c r="H28" s="1617" t="e">
        <f>'B 1'!#REF!</f>
        <v>#REF!</v>
      </c>
      <c r="I28" s="1622"/>
    </row>
    <row r="29" spans="1:9" x14ac:dyDescent="0.25">
      <c r="A29" s="1750"/>
      <c r="B29" s="1751"/>
      <c r="C29" s="1751"/>
      <c r="D29" s="1751"/>
      <c r="E29" s="1752"/>
      <c r="F29" s="585">
        <f>'B 1'!J248</f>
        <v>0</v>
      </c>
      <c r="G29" s="1621" t="str">
        <f>'B 1'!C248</f>
        <v>Select Corner Tabs</v>
      </c>
      <c r="H29" s="1617" t="e">
        <f>'B 1'!#REF!</f>
        <v>#REF!</v>
      </c>
      <c r="I29" s="1622"/>
    </row>
    <row r="30" spans="1:9" ht="15" customHeight="1" x14ac:dyDescent="0.25">
      <c r="A30" s="1753"/>
      <c r="B30" s="1754"/>
      <c r="C30" s="1754"/>
      <c r="D30" s="1754"/>
      <c r="E30" s="1755"/>
      <c r="F30" s="585">
        <f>'B 1'!J249</f>
        <v>0</v>
      </c>
      <c r="G30" s="1621" t="str">
        <f>'B 1'!C249</f>
        <v>Roughsawn - 5/4" X 3.5" X 12'</v>
      </c>
      <c r="H30" s="1622" t="e">
        <f>'B 1'!#REF!</f>
        <v>#REF!</v>
      </c>
      <c r="I30" s="46" t="str">
        <f t="shared" ref="I30:I32" si="1">$I$23</f>
        <v>Hardie Colours</v>
      </c>
    </row>
    <row r="31" spans="1:9" x14ac:dyDescent="0.25">
      <c r="A31" s="1753"/>
      <c r="B31" s="1754"/>
      <c r="C31" s="1754"/>
      <c r="D31" s="1754"/>
      <c r="E31" s="1755"/>
      <c r="F31" s="585">
        <f>'B 1'!J250</f>
        <v>0</v>
      </c>
      <c r="G31" s="1621" t="str">
        <f>'B 1'!C250</f>
        <v>Roughsawn - 5/4" X 5.5" X 12'</v>
      </c>
      <c r="H31" s="1622" t="e">
        <f>'B 1'!#REF!</f>
        <v>#REF!</v>
      </c>
      <c r="I31" s="46" t="str">
        <f t="shared" si="1"/>
        <v>Hardie Colours</v>
      </c>
    </row>
    <row r="32" spans="1:9" x14ac:dyDescent="0.25">
      <c r="A32" s="1753"/>
      <c r="B32" s="1754"/>
      <c r="C32" s="1754"/>
      <c r="D32" s="1754"/>
      <c r="E32" s="1755"/>
      <c r="F32" s="585">
        <f>'B 1'!J251</f>
        <v>0</v>
      </c>
      <c r="G32" s="1621" t="str">
        <f>'B 1'!C251</f>
        <v>Roughsawn - 5/4" X 2.5" X 12'</v>
      </c>
      <c r="H32" s="1622" t="e">
        <f>'B 1'!#REF!</f>
        <v>#REF!</v>
      </c>
      <c r="I32" s="46" t="str">
        <f t="shared" si="1"/>
        <v>Hardie Colours</v>
      </c>
    </row>
    <row r="33" spans="1:9" ht="15" customHeight="1" x14ac:dyDescent="0.25">
      <c r="A33" s="1753"/>
      <c r="B33" s="1754"/>
      <c r="C33" s="1754"/>
      <c r="D33" s="1754"/>
      <c r="E33" s="1755"/>
      <c r="F33" s="585">
        <f>'B 1'!J252</f>
        <v>0</v>
      </c>
      <c r="G33" s="1621" t="str">
        <f>'B 1'!C252</f>
        <v>Window Head Flashing</v>
      </c>
      <c r="H33" s="1622" t="e">
        <f>'B 1'!#REF!</f>
        <v>#REF!</v>
      </c>
      <c r="I33" s="671" t="s">
        <v>10233</v>
      </c>
    </row>
    <row r="34" spans="1:9" x14ac:dyDescent="0.25">
      <c r="A34" s="1753"/>
      <c r="B34" s="1754"/>
      <c r="C34" s="1754"/>
      <c r="D34" s="1754"/>
      <c r="E34" s="1755"/>
      <c r="F34" s="585">
        <f>'B 1'!J253</f>
        <v>0</v>
      </c>
      <c r="G34" s="1621" t="str">
        <f>'B 1'!C253</f>
        <v>Window Sill Trim Flashing</v>
      </c>
      <c r="H34" s="1622"/>
      <c r="I34" s="46" t="str">
        <f>$I$33</f>
        <v>Arctic White</v>
      </c>
    </row>
    <row r="35" spans="1:9" x14ac:dyDescent="0.25">
      <c r="A35" s="1753"/>
      <c r="B35" s="1754"/>
      <c r="C35" s="1754"/>
      <c r="D35" s="1754"/>
      <c r="E35" s="1755"/>
      <c r="F35" s="585">
        <f>'B 1'!J254</f>
        <v>0</v>
      </c>
      <c r="G35" s="1621" t="str">
        <f>'B 1'!C254</f>
        <v>Starter Base Flashing</v>
      </c>
      <c r="H35" s="1622" t="e">
        <f>'B 1'!#REF!</f>
        <v>#REF!</v>
      </c>
      <c r="I35" s="46" t="str">
        <f t="shared" ref="I35:I38" si="2">$I$33</f>
        <v>Arctic White</v>
      </c>
    </row>
    <row r="36" spans="1:9" ht="15" customHeight="1" x14ac:dyDescent="0.25">
      <c r="A36" s="1753"/>
      <c r="B36" s="1754"/>
      <c r="C36" s="1754"/>
      <c r="D36" s="1754"/>
      <c r="E36" s="1755"/>
      <c r="F36" s="585">
        <f>'B 1'!J255</f>
        <v>0</v>
      </c>
      <c r="G36" s="1621" t="str">
        <f>'B 1'!C255</f>
        <v>Wall Flashing</v>
      </c>
      <c r="H36" s="1622" t="e">
        <f>'B 1'!#REF!</f>
        <v>#REF!</v>
      </c>
      <c r="I36" s="46" t="str">
        <f t="shared" si="2"/>
        <v>Arctic White</v>
      </c>
    </row>
    <row r="37" spans="1:9" x14ac:dyDescent="0.25">
      <c r="A37" s="1753"/>
      <c r="B37" s="1754"/>
      <c r="C37" s="1754"/>
      <c r="D37" s="1754"/>
      <c r="E37" s="1755"/>
      <c r="F37" s="585">
        <f>'B 1'!J256</f>
        <v>0</v>
      </c>
      <c r="G37" s="1621" t="str">
        <f>'B 1'!C256</f>
        <v>Step Flashing</v>
      </c>
      <c r="H37" s="1622" t="e">
        <f>'B 1'!#REF!</f>
        <v>#REF!</v>
      </c>
      <c r="I37" s="46" t="str">
        <f t="shared" si="2"/>
        <v>Arctic White</v>
      </c>
    </row>
    <row r="38" spans="1:9" x14ac:dyDescent="0.25">
      <c r="A38" s="1753"/>
      <c r="B38" s="1754"/>
      <c r="C38" s="1754"/>
      <c r="D38" s="1754"/>
      <c r="E38" s="1755"/>
      <c r="F38" s="585">
        <f>'B 1'!J257</f>
        <v>0</v>
      </c>
      <c r="G38" s="1621" t="str">
        <f>'B 1'!C257</f>
        <v>Miscellaneous Flashings</v>
      </c>
      <c r="H38" s="1622" t="e">
        <f>'B 1'!#REF!</f>
        <v>#REF!</v>
      </c>
      <c r="I38" s="46" t="str">
        <f t="shared" si="2"/>
        <v>Arctic White</v>
      </c>
    </row>
    <row r="39" spans="1:9" ht="15" customHeight="1" x14ac:dyDescent="0.25">
      <c r="A39" s="1753"/>
      <c r="B39" s="1754"/>
      <c r="C39" s="1754"/>
      <c r="D39" s="1754"/>
      <c r="E39" s="1755"/>
      <c r="F39" s="585">
        <f>'B 1'!J258</f>
        <v>1.2222222222222223E-9</v>
      </c>
      <c r="G39" s="1621" t="str">
        <f>'B 1'!C258</f>
        <v>Tyvek House Wrap 9'x100'</v>
      </c>
      <c r="H39" s="1617"/>
      <c r="I39" s="1622"/>
    </row>
    <row r="40" spans="1:9" x14ac:dyDescent="0.25">
      <c r="A40" s="1753"/>
      <c r="B40" s="1754"/>
      <c r="C40" s="1754"/>
      <c r="D40" s="1754"/>
      <c r="E40" s="1755"/>
      <c r="F40" s="585">
        <f>'B 1'!J259</f>
        <v>0</v>
      </c>
      <c r="G40" s="1621" t="str">
        <f>'B 1'!C259</f>
        <v>Nova Flash 4" X 75ft Roll</v>
      </c>
      <c r="H40" s="1617" t="e">
        <f>'B 1'!#REF!</f>
        <v>#REF!</v>
      </c>
      <c r="I40" s="1622"/>
    </row>
    <row r="41" spans="1:9" x14ac:dyDescent="0.25">
      <c r="A41" s="1753"/>
      <c r="B41" s="1754"/>
      <c r="C41" s="1754"/>
      <c r="D41" s="1754"/>
      <c r="E41" s="1755"/>
      <c r="F41" s="585">
        <f>'B 1'!J260</f>
        <v>1.0999999999999999E-9</v>
      </c>
      <c r="G41" s="1621" t="str">
        <f>'B 1'!C260</f>
        <v>Tuck Tape</v>
      </c>
      <c r="H41" s="1617" t="e">
        <f>'B 1'!#REF!</f>
        <v>#REF!</v>
      </c>
      <c r="I41" s="1622"/>
    </row>
    <row r="42" spans="1:9" x14ac:dyDescent="0.25">
      <c r="A42" s="1753"/>
      <c r="B42" s="1754"/>
      <c r="C42" s="1754"/>
      <c r="D42" s="1754"/>
      <c r="E42" s="1755"/>
      <c r="F42" s="585">
        <f>'B 1'!J261</f>
        <v>0</v>
      </c>
      <c r="G42" s="1621" t="str">
        <f>'B 1'!C261</f>
        <v>Hardie Sturdi - Plug Mount</v>
      </c>
      <c r="H42" s="1622" t="e">
        <f>'B 1'!#REF!</f>
        <v>#REF!</v>
      </c>
      <c r="I42" s="46" t="str">
        <f t="shared" ref="I42:I46" si="3">$I$33</f>
        <v>Arctic White</v>
      </c>
    </row>
    <row r="43" spans="1:9" x14ac:dyDescent="0.25">
      <c r="A43" s="1753"/>
      <c r="B43" s="1754"/>
      <c r="C43" s="1754"/>
      <c r="D43" s="1754"/>
      <c r="E43" s="1755"/>
      <c r="F43" s="585">
        <f>'B 1'!J262</f>
        <v>0</v>
      </c>
      <c r="G43" s="1621" t="str">
        <f>'B 1'!C262</f>
        <v>Hardie Sturdi - Hose Bib Mt</v>
      </c>
      <c r="H43" s="1622" t="e">
        <f>'B 1'!#REF!</f>
        <v>#REF!</v>
      </c>
      <c r="I43" s="46" t="str">
        <f t="shared" si="3"/>
        <v>Arctic White</v>
      </c>
    </row>
    <row r="44" spans="1:9" x14ac:dyDescent="0.25">
      <c r="A44" s="1753"/>
      <c r="B44" s="1754"/>
      <c r="C44" s="1754"/>
      <c r="D44" s="1754"/>
      <c r="E44" s="1755"/>
      <c r="F44" s="585">
        <f>'B 1'!J263</f>
        <v>0</v>
      </c>
      <c r="G44" s="1621" t="str">
        <f>'B 1'!C263</f>
        <v>Hardie Sturdi - Light Mount</v>
      </c>
      <c r="H44" s="1622" t="e">
        <f>'B 1'!#REF!</f>
        <v>#REF!</v>
      </c>
      <c r="I44" s="46" t="str">
        <f t="shared" si="3"/>
        <v>Arctic White</v>
      </c>
    </row>
    <row r="45" spans="1:9" x14ac:dyDescent="0.25">
      <c r="A45" s="1753"/>
      <c r="B45" s="1754"/>
      <c r="C45" s="1754"/>
      <c r="D45" s="1754"/>
      <c r="E45" s="1755"/>
      <c r="F45" s="585">
        <f>'B 1'!J264</f>
        <v>0</v>
      </c>
      <c r="G45" s="1621" t="str">
        <f>'B 1'!C264</f>
        <v>Hardie Sturdi - Coach Light Mt</v>
      </c>
      <c r="H45" s="1622" t="e">
        <f>'B 1'!#REF!</f>
        <v>#REF!</v>
      </c>
      <c r="I45" s="46" t="str">
        <f t="shared" si="3"/>
        <v>Arctic White</v>
      </c>
    </row>
    <row r="46" spans="1:9" ht="15" customHeight="1" x14ac:dyDescent="0.25">
      <c r="A46" s="1753"/>
      <c r="B46" s="1754"/>
      <c r="C46" s="1754"/>
      <c r="D46" s="1754"/>
      <c r="E46" s="1755"/>
      <c r="F46" s="585">
        <f>'B 1'!J265</f>
        <v>0</v>
      </c>
      <c r="G46" s="1621" t="str">
        <f>'B 1'!C265</f>
        <v>Hardie Sturdi - Vent Mount</v>
      </c>
      <c r="H46" s="1622" t="e">
        <f>'B 1'!#REF!</f>
        <v>#REF!</v>
      </c>
      <c r="I46" s="46" t="str">
        <f t="shared" si="3"/>
        <v>Arctic White</v>
      </c>
    </row>
    <row r="47" spans="1:9" ht="15" customHeight="1" x14ac:dyDescent="0.25">
      <c r="A47" s="1753"/>
      <c r="B47" s="1754"/>
      <c r="C47" s="1754"/>
      <c r="D47" s="1754"/>
      <c r="E47" s="1755"/>
      <c r="F47" s="585">
        <f>'B 1'!J266</f>
        <v>0</v>
      </c>
      <c r="G47" s="1621" t="str">
        <f>'B 1'!C266</f>
        <v>Hardie Touch up Kit (Pint)</v>
      </c>
      <c r="H47" s="1622" t="e">
        <f>'B 1'!#REF!</f>
        <v>#REF!</v>
      </c>
      <c r="I47" s="671" t="s">
        <v>10232</v>
      </c>
    </row>
    <row r="48" spans="1:9" ht="15" customHeight="1" x14ac:dyDescent="0.25">
      <c r="A48" s="1753"/>
      <c r="B48" s="1754"/>
      <c r="C48" s="1754"/>
      <c r="D48" s="1754"/>
      <c r="E48" s="1755"/>
      <c r="F48" s="585">
        <f>'B 1'!J267</f>
        <v>0</v>
      </c>
      <c r="G48" s="1621" t="str">
        <f>'B 1'!C267</f>
        <v>4L Colour Match Paint</v>
      </c>
      <c r="H48" s="1622" t="e">
        <f>'B 1'!#REF!</f>
        <v>#REF!</v>
      </c>
      <c r="I48" s="671" t="s">
        <v>10232</v>
      </c>
    </row>
    <row r="49" spans="1:9" x14ac:dyDescent="0.25">
      <c r="A49" s="1756"/>
      <c r="B49" s="1757"/>
      <c r="C49" s="1757"/>
      <c r="D49" s="1757"/>
      <c r="E49" s="1758"/>
      <c r="F49" s="1587" t="s">
        <v>780</v>
      </c>
      <c r="G49" s="1588"/>
      <c r="H49" s="1588"/>
      <c r="I49" s="1588"/>
    </row>
    <row r="50" spans="1:9" ht="3" customHeight="1" x14ac:dyDescent="0.25">
      <c r="A50" s="1580"/>
      <c r="B50" s="1581"/>
      <c r="C50" s="1581"/>
      <c r="D50" s="1581"/>
      <c r="E50" s="1581"/>
      <c r="F50" s="1581"/>
      <c r="G50" s="1581"/>
      <c r="H50" s="1581"/>
      <c r="I50" s="1583"/>
    </row>
    <row r="53" spans="1:9" x14ac:dyDescent="0.25">
      <c r="H53" s="589"/>
      <c r="I53" s="48"/>
    </row>
    <row r="54" spans="1:9" x14ac:dyDescent="0.25">
      <c r="H54" s="590"/>
      <c r="I54" s="49"/>
    </row>
    <row r="55" spans="1:9" x14ac:dyDescent="0.25">
      <c r="H55" s="590"/>
      <c r="I55" s="49"/>
    </row>
    <row r="56" spans="1:9" x14ac:dyDescent="0.25">
      <c r="H56" s="590"/>
      <c r="I56" s="49"/>
    </row>
    <row r="57" spans="1:9" x14ac:dyDescent="0.25">
      <c r="H57" s="590"/>
      <c r="I57" s="49"/>
    </row>
    <row r="60" spans="1:9" x14ac:dyDescent="0.25">
      <c r="A60" s="590"/>
      <c r="B60" s="590"/>
      <c r="C60" s="590"/>
      <c r="D60" s="590"/>
      <c r="E60" s="590"/>
      <c r="F60" s="590"/>
      <c r="G60" s="590"/>
      <c r="H60" s="590"/>
      <c r="I60" s="49"/>
    </row>
    <row r="62" spans="1:9" x14ac:dyDescent="0.25">
      <c r="A62" s="590"/>
      <c r="F62" s="590"/>
    </row>
    <row r="63" spans="1:9" x14ac:dyDescent="0.25">
      <c r="A63" s="590"/>
      <c r="F63" s="590"/>
    </row>
    <row r="64" spans="1:9" x14ac:dyDescent="0.25">
      <c r="A64" s="590"/>
      <c r="F64" s="590"/>
    </row>
    <row r="65" spans="1:9" x14ac:dyDescent="0.25">
      <c r="A65" s="590"/>
      <c r="F65" s="590"/>
    </row>
    <row r="66" spans="1:9" x14ac:dyDescent="0.25">
      <c r="A66" s="590"/>
      <c r="D66" s="47"/>
      <c r="E66" s="47"/>
      <c r="F66" s="590"/>
      <c r="G66" s="47"/>
      <c r="H66" s="47"/>
    </row>
    <row r="67" spans="1:9" x14ac:dyDescent="0.25">
      <c r="A67" s="590"/>
      <c r="B67" s="590"/>
      <c r="C67" s="590"/>
      <c r="D67" s="590"/>
      <c r="E67" s="590"/>
      <c r="F67" s="590"/>
      <c r="G67" s="590"/>
      <c r="H67" s="590"/>
      <c r="I67" s="49"/>
    </row>
    <row r="69" spans="1:9" x14ac:dyDescent="0.25">
      <c r="A69" s="590"/>
      <c r="B69" s="590"/>
      <c r="C69" s="590"/>
      <c r="D69" s="590"/>
      <c r="E69" s="49"/>
      <c r="F69" s="590"/>
      <c r="G69" s="590"/>
      <c r="H69" s="590"/>
      <c r="I69" s="49"/>
    </row>
  </sheetData>
  <mergeCells count="71">
    <mergeCell ref="F8:I8"/>
    <mergeCell ref="A8:D8"/>
    <mergeCell ref="A1:D7"/>
    <mergeCell ref="E1:I1"/>
    <mergeCell ref="E2:I2"/>
    <mergeCell ref="E3:I3"/>
    <mergeCell ref="E4:I4"/>
    <mergeCell ref="E5:E7"/>
    <mergeCell ref="F5:I7"/>
    <mergeCell ref="A9:I9"/>
    <mergeCell ref="A10:B11"/>
    <mergeCell ref="C10:E11"/>
    <mergeCell ref="F10:G10"/>
    <mergeCell ref="H10:I10"/>
    <mergeCell ref="H11:I11"/>
    <mergeCell ref="F12:I12"/>
    <mergeCell ref="F13:H13"/>
    <mergeCell ref="A12:E13"/>
    <mergeCell ref="A24:E24"/>
    <mergeCell ref="A19:E19"/>
    <mergeCell ref="A20:E20"/>
    <mergeCell ref="A21:E21"/>
    <mergeCell ref="G17:H17"/>
    <mergeCell ref="G23:H23"/>
    <mergeCell ref="G20:I20"/>
    <mergeCell ref="G21:I21"/>
    <mergeCell ref="A28:E28"/>
    <mergeCell ref="A22:E22"/>
    <mergeCell ref="A25:D25"/>
    <mergeCell ref="A26:E27"/>
    <mergeCell ref="A14:I14"/>
    <mergeCell ref="F15:I15"/>
    <mergeCell ref="A15:B15"/>
    <mergeCell ref="A23:E23"/>
    <mergeCell ref="G19:H19"/>
    <mergeCell ref="G18:H18"/>
    <mergeCell ref="C15:E15"/>
    <mergeCell ref="A16:B16"/>
    <mergeCell ref="A17:B17"/>
    <mergeCell ref="C17:E17"/>
    <mergeCell ref="A18:B18"/>
    <mergeCell ref="G16:H16"/>
    <mergeCell ref="A50:I50"/>
    <mergeCell ref="A29:E49"/>
    <mergeCell ref="G34:H34"/>
    <mergeCell ref="G35:H35"/>
    <mergeCell ref="G36:H36"/>
    <mergeCell ref="G37:H37"/>
    <mergeCell ref="G38:H38"/>
    <mergeCell ref="G31:H31"/>
    <mergeCell ref="G45:H45"/>
    <mergeCell ref="G46:H46"/>
    <mergeCell ref="G47:H47"/>
    <mergeCell ref="F49:I49"/>
    <mergeCell ref="G29:I29"/>
    <mergeCell ref="G48:H48"/>
    <mergeCell ref="G42:H42"/>
    <mergeCell ref="G43:H43"/>
    <mergeCell ref="G44:H44"/>
    <mergeCell ref="G40:I40"/>
    <mergeCell ref="G41:I41"/>
    <mergeCell ref="G28:I28"/>
    <mergeCell ref="G33:H33"/>
    <mergeCell ref="G39:I39"/>
    <mergeCell ref="G32:H32"/>
    <mergeCell ref="G25:H25"/>
    <mergeCell ref="G26:H26"/>
    <mergeCell ref="G30:H30"/>
    <mergeCell ref="G22:I22"/>
    <mergeCell ref="G27:I27"/>
    <mergeCell ref="G24:H24"/>
  </mergeCells>
  <hyperlinks>
    <hyperlink ref="C17" r:id="rId1" xr:uid="{89BB796F-0425-46E4-B108-1559BC10AC81}"/>
  </hyperlinks>
  <pageMargins left="0.7" right="0.7" top="0.75" bottom="0.75" header="0.3" footer="0.3"/>
  <pageSetup scale="93" orientation="portrait" r:id="rId2"/>
  <drawing r:id="rId3"/>
  <legacyDrawing r:id="rId4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257B198B-4725-4B6B-AAAB-2E908099C57E}">
          <x14:formula1>
            <xm:f>'R Data'!$W$2:$W$19</xm:f>
          </x14:formula1>
          <xm:sqref>A19:E19</xm:sqref>
        </x14:dataValidation>
        <x14:dataValidation type="list" allowBlank="1" showInputMessage="1" showErrorMessage="1" xr:uid="{362FB623-9D87-419C-944B-FB5A056E2171}">
          <x14:formula1>
            <xm:f>'R Data'!$C$44:$C$62</xm:f>
          </x14:formula1>
          <xm:sqref>I17:I19 I23 I47:I48 I33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834AA6-01D1-4FE2-AEC5-9BAE34BE6AD3}">
  <sheetPr codeName="Sheet20">
    <tabColor theme="9" tint="-0.249977111117893"/>
    <pageSetUpPr fitToPage="1"/>
  </sheetPr>
  <dimension ref="A1:I71"/>
  <sheetViews>
    <sheetView workbookViewId="0">
      <selection activeCell="K18" sqref="K18"/>
    </sheetView>
  </sheetViews>
  <sheetFormatPr defaultRowHeight="15" outlineLevelRow="1" x14ac:dyDescent="0.25"/>
  <cols>
    <col min="1" max="1" width="7.5703125" style="359" customWidth="1"/>
    <col min="2" max="2" width="11.42578125" style="359" customWidth="1"/>
    <col min="3" max="3" width="10.42578125" style="359" bestFit="1" customWidth="1"/>
    <col min="4" max="4" width="9.140625" style="359"/>
    <col min="5" max="5" width="15.28515625" style="359" customWidth="1"/>
    <col min="6" max="6" width="6.28515625" style="359" customWidth="1"/>
    <col min="7" max="7" width="10.28515625" style="359" customWidth="1"/>
    <col min="8" max="8" width="14" style="359" customWidth="1"/>
    <col min="9" max="9" width="13.140625" style="47" customWidth="1"/>
    <col min="10" max="16384" width="9.140625" style="359"/>
  </cols>
  <sheetData>
    <row r="1" spans="1:9" x14ac:dyDescent="0.25">
      <c r="A1" s="1463"/>
      <c r="B1" s="1463"/>
      <c r="C1" s="1463"/>
      <c r="D1" s="1463"/>
      <c r="E1" s="1463"/>
      <c r="F1" s="1463"/>
      <c r="G1" s="1463"/>
      <c r="H1" s="1463"/>
      <c r="I1" s="1463"/>
    </row>
    <row r="2" spans="1:9" x14ac:dyDescent="0.25">
      <c r="A2" s="1463"/>
      <c r="B2" s="1463"/>
      <c r="C2" s="1463"/>
      <c r="D2" s="1463"/>
      <c r="E2" s="1640" t="s">
        <v>776</v>
      </c>
      <c r="F2" s="1640"/>
      <c r="G2" s="1640"/>
      <c r="H2" s="1640"/>
      <c r="I2" s="1640"/>
    </row>
    <row r="3" spans="1:9" x14ac:dyDescent="0.25">
      <c r="A3" s="1463"/>
      <c r="B3" s="1463"/>
      <c r="C3" s="1463"/>
      <c r="D3" s="1463"/>
      <c r="E3" s="1639" t="s">
        <v>777</v>
      </c>
      <c r="F3" s="1639"/>
      <c r="G3" s="1639"/>
      <c r="H3" s="1639"/>
      <c r="I3" s="1639"/>
    </row>
    <row r="4" spans="1:9" x14ac:dyDescent="0.25">
      <c r="A4" s="1463"/>
      <c r="B4" s="1463"/>
      <c r="C4" s="1463"/>
      <c r="D4" s="1463"/>
      <c r="E4" s="1640" t="s">
        <v>228</v>
      </c>
      <c r="F4" s="1640"/>
      <c r="G4" s="1640"/>
      <c r="H4" s="1640"/>
      <c r="I4" s="1640"/>
    </row>
    <row r="5" spans="1:9" ht="15" customHeight="1" x14ac:dyDescent="0.25">
      <c r="A5" s="1463"/>
      <c r="B5" s="1463"/>
      <c r="C5" s="1463"/>
      <c r="D5" s="1463"/>
      <c r="E5" s="1641" t="s">
        <v>10088</v>
      </c>
      <c r="F5" s="1641" t="str">
        <f>'B 1'!R1</f>
        <v>RFP -</v>
      </c>
      <c r="G5" s="1641"/>
      <c r="H5" s="1641"/>
      <c r="I5" s="1641"/>
    </row>
    <row r="6" spans="1:9" ht="15" customHeight="1" x14ac:dyDescent="0.25">
      <c r="A6" s="1463"/>
      <c r="B6" s="1463"/>
      <c r="C6" s="1463"/>
      <c r="D6" s="1463"/>
      <c r="E6" s="1641"/>
      <c r="F6" s="1641"/>
      <c r="G6" s="1641"/>
      <c r="H6" s="1641"/>
      <c r="I6" s="1641"/>
    </row>
    <row r="7" spans="1:9" ht="15" customHeight="1" x14ac:dyDescent="0.25">
      <c r="A7" s="1463"/>
      <c r="B7" s="1463"/>
      <c r="C7" s="1463"/>
      <c r="D7" s="1463"/>
      <c r="E7" s="1641"/>
      <c r="F7" s="1641"/>
      <c r="G7" s="1641"/>
      <c r="H7" s="1641"/>
      <c r="I7" s="1641"/>
    </row>
    <row r="8" spans="1:9" ht="18.75" x14ac:dyDescent="0.25">
      <c r="B8" s="842"/>
      <c r="C8" s="842"/>
      <c r="D8" s="842"/>
      <c r="E8" s="842"/>
      <c r="F8" s="1643" t="s">
        <v>10094</v>
      </c>
      <c r="G8" s="1643"/>
      <c r="H8" s="1643"/>
      <c r="I8" s="1643"/>
    </row>
    <row r="9" spans="1:9" ht="3" customHeight="1" x14ac:dyDescent="0.25">
      <c r="A9" s="1580"/>
      <c r="B9" s="1581"/>
      <c r="C9" s="1581"/>
      <c r="D9" s="1581"/>
      <c r="E9" s="1581"/>
      <c r="F9" s="1581"/>
      <c r="G9" s="1581"/>
      <c r="H9" s="1581"/>
      <c r="I9" s="1583"/>
    </row>
    <row r="10" spans="1:9" x14ac:dyDescent="0.25">
      <c r="A10" s="1578" t="s">
        <v>784</v>
      </c>
      <c r="B10" s="1579"/>
      <c r="C10" s="1693" t="s">
        <v>10093</v>
      </c>
      <c r="D10" s="1693"/>
      <c r="E10" s="578" t="str">
        <f>VLOOKUP(C10,'R Data'!W60:AA72,5,FALSE)</f>
        <v>403-401-4375</v>
      </c>
      <c r="F10" s="1578" t="s">
        <v>230</v>
      </c>
      <c r="G10" s="1579"/>
      <c r="H10" s="1644">
        <f ca="1">TODAY()</f>
        <v>46240</v>
      </c>
      <c r="I10" s="1645"/>
    </row>
    <row r="11" spans="1:9" x14ac:dyDescent="0.25">
      <c r="A11" s="1633"/>
      <c r="B11" s="1634"/>
      <c r="C11" s="1694" t="str">
        <f>VLOOKUP(C10,'R Data'!W60:X72,2,FALSE)</f>
        <v>hilarioalex298@yahoo.com</v>
      </c>
      <c r="D11" s="1694"/>
      <c r="E11" s="1695"/>
      <c r="F11" s="579" t="s">
        <v>994</v>
      </c>
      <c r="G11" s="580"/>
      <c r="H11" s="1696" t="str">
        <f>'B 1'!D2</f>
        <v>Company Name</v>
      </c>
      <c r="I11" s="1697"/>
    </row>
    <row r="12" spans="1:9" x14ac:dyDescent="0.25">
      <c r="A12" s="579" t="s">
        <v>1011</v>
      </c>
      <c r="B12" s="1687" t="str">
        <f>'B 1'!S3</f>
        <v>Dwight Cameron 403-492-9351 dwight@megaroofing.ca</v>
      </c>
      <c r="C12" s="1687"/>
      <c r="D12" s="1687"/>
      <c r="E12" s="1688"/>
      <c r="F12" s="1578" t="s">
        <v>991</v>
      </c>
      <c r="G12" s="1579"/>
      <c r="H12" s="1579"/>
      <c r="I12" s="1584"/>
    </row>
    <row r="13" spans="1:9" ht="15" customHeight="1" x14ac:dyDescent="0.25">
      <c r="A13" s="581"/>
      <c r="B13" s="582"/>
      <c r="C13" s="582" t="s">
        <v>252</v>
      </c>
      <c r="D13" s="582"/>
      <c r="E13" s="583"/>
      <c r="F13" s="672"/>
      <c r="I13" s="477"/>
    </row>
    <row r="14" spans="1:9" x14ac:dyDescent="0.25">
      <c r="A14" s="626"/>
      <c r="B14" s="627"/>
      <c r="C14" s="691">
        <v>45917</v>
      </c>
      <c r="D14" s="627"/>
      <c r="E14" s="627"/>
      <c r="F14" s="1690" t="str">
        <f>'B 1'!D4</f>
        <v>ADDRESS</v>
      </c>
      <c r="G14" s="1691"/>
      <c r="H14" s="1691"/>
      <c r="I14" s="1692"/>
    </row>
    <row r="15" spans="1:9" x14ac:dyDescent="0.25">
      <c r="A15" s="584" t="s">
        <v>999</v>
      </c>
      <c r="B15" s="1785" t="s">
        <v>280</v>
      </c>
      <c r="C15" s="1785"/>
      <c r="D15" s="1786" t="str">
        <f>F5</f>
        <v>RFP -</v>
      </c>
      <c r="E15" s="1787"/>
      <c r="F15" s="1681" t="s">
        <v>993</v>
      </c>
      <c r="G15" s="1586"/>
      <c r="H15" s="1586"/>
      <c r="I15" s="1682"/>
    </row>
    <row r="16" spans="1:9" ht="3" customHeight="1" x14ac:dyDescent="0.25">
      <c r="A16" s="1580"/>
      <c r="B16" s="1581"/>
      <c r="C16" s="1581"/>
      <c r="D16" s="1581"/>
      <c r="E16" s="1581"/>
      <c r="F16" s="1581"/>
      <c r="G16" s="1581"/>
      <c r="H16" s="1581"/>
      <c r="I16" s="1583"/>
    </row>
    <row r="17" spans="1:9" x14ac:dyDescent="0.25">
      <c r="A17" s="1671" t="s">
        <v>232</v>
      </c>
      <c r="B17" s="1672"/>
      <c r="C17" s="1672"/>
      <c r="D17" s="1672"/>
      <c r="E17" s="1673"/>
      <c r="F17" s="1588" t="s">
        <v>783</v>
      </c>
      <c r="G17" s="1588"/>
      <c r="H17" s="1588"/>
      <c r="I17" s="1588"/>
    </row>
    <row r="18" spans="1:9" ht="17.25" customHeight="1" outlineLevel="1" x14ac:dyDescent="0.25">
      <c r="A18" s="1784" t="s">
        <v>321</v>
      </c>
      <c r="B18" s="1784"/>
      <c r="C18" s="1784"/>
      <c r="D18" s="1784"/>
      <c r="E18" s="1784"/>
      <c r="F18" s="585">
        <f>'Hardie PO'!F17</f>
        <v>0</v>
      </c>
      <c r="G18" s="1761" t="str">
        <f>'Hardie PO'!G17</f>
        <v>Select Hardie Plank</v>
      </c>
      <c r="H18" s="1762" t="e">
        <f>'B 1'!#REF!</f>
        <v>#REF!</v>
      </c>
      <c r="I18" s="46" t="str">
        <f>'Hardie PO'!I17</f>
        <v>Hardie Colours</v>
      </c>
    </row>
    <row r="19" spans="1:9" ht="15" customHeight="1" outlineLevel="1" x14ac:dyDescent="0.25">
      <c r="A19" s="1778"/>
      <c r="B19" s="1778"/>
      <c r="C19" s="1778"/>
      <c r="D19" s="1778"/>
      <c r="E19" s="1778"/>
      <c r="F19" s="585">
        <f>'Hardie PO'!F18</f>
        <v>0</v>
      </c>
      <c r="G19" s="1761" t="str">
        <f>'Hardie PO'!G18</f>
        <v>Select Shakes ColorPlus</v>
      </c>
      <c r="H19" s="1762" t="e">
        <f>'B 1'!#REF!</f>
        <v>#REF!</v>
      </c>
      <c r="I19" s="46" t="str">
        <f>'Hardie PO'!I18</f>
        <v>Hardie Colours</v>
      </c>
    </row>
    <row r="20" spans="1:9" ht="15" customHeight="1" outlineLevel="1" x14ac:dyDescent="0.25">
      <c r="A20" s="1778"/>
      <c r="B20" s="1778"/>
      <c r="C20" s="1778"/>
      <c r="D20" s="1778"/>
      <c r="E20" s="1778"/>
      <c r="F20" s="585">
        <f>'Hardie PO'!F19</f>
        <v>8.9166666666666664E-8</v>
      </c>
      <c r="G20" s="1761" t="str">
        <f>'Hardie PO'!G19</f>
        <v>Smooth 4X10 Artic White</v>
      </c>
      <c r="H20" s="1762" t="e">
        <f>'B 1'!#REF!</f>
        <v>#REF!</v>
      </c>
      <c r="I20" s="46" t="str">
        <f>'Hardie PO'!I19</f>
        <v>Hardie Colours</v>
      </c>
    </row>
    <row r="21" spans="1:9" ht="15" customHeight="1" outlineLevel="1" x14ac:dyDescent="0.25">
      <c r="A21" s="1778" t="s">
        <v>308</v>
      </c>
      <c r="B21" s="1779"/>
      <c r="C21" s="1779"/>
      <c r="D21" s="1779"/>
      <c r="E21" s="1779"/>
      <c r="F21" s="585">
        <f>'Hardie PO'!F20</f>
        <v>0</v>
      </c>
      <c r="G21" s="1761" t="str">
        <f>'Hardie PO'!G20</f>
        <v>Starter Strip</v>
      </c>
      <c r="H21" s="1768"/>
      <c r="I21" s="1762"/>
    </row>
    <row r="22" spans="1:9" ht="15" customHeight="1" outlineLevel="1" x14ac:dyDescent="0.25">
      <c r="A22" s="1780"/>
      <c r="B22" s="1780"/>
      <c r="C22" s="1780"/>
      <c r="D22" s="1780"/>
      <c r="E22" s="1780"/>
      <c r="F22" s="585">
        <f>'Hardie PO'!F21</f>
        <v>0</v>
      </c>
      <c r="G22" s="1761" t="str">
        <f>'Hardie PO'!G21</f>
        <v>Wood Furring</v>
      </c>
      <c r="H22" s="1768" t="e">
        <f>'B 1'!#REF!</f>
        <v>#REF!</v>
      </c>
      <c r="I22" s="1762">
        <f>'Hardie PO'!I21</f>
        <v>0</v>
      </c>
    </row>
    <row r="23" spans="1:9" ht="15" customHeight="1" outlineLevel="1" x14ac:dyDescent="0.25">
      <c r="A23" s="1781" t="s">
        <v>855</v>
      </c>
      <c r="B23" s="1782"/>
      <c r="C23" s="1782"/>
      <c r="D23" s="1782"/>
      <c r="E23" s="1783"/>
      <c r="F23" s="585">
        <f>'Hardie PO'!F22</f>
        <v>3.3062500000000002E-8</v>
      </c>
      <c r="G23" s="1761" t="str">
        <f>'Hardie PO'!G22</f>
        <v>Polyiso EnerAir 1/2- 4'x8'</v>
      </c>
      <c r="H23" s="1768" t="e">
        <f>'B 1'!#REF!</f>
        <v>#REF!</v>
      </c>
      <c r="I23" s="1762">
        <f>'Hardie PO'!I22</f>
        <v>0</v>
      </c>
    </row>
    <row r="24" spans="1:9" ht="15" customHeight="1" x14ac:dyDescent="0.25">
      <c r="A24" s="1653"/>
      <c r="B24" s="1654"/>
      <c r="C24" s="1654"/>
      <c r="D24" s="1654"/>
      <c r="E24" s="1655"/>
      <c r="F24" s="585">
        <f>'Hardie PO'!F23</f>
        <v>0</v>
      </c>
      <c r="G24" s="1761" t="str">
        <f>'Hardie PO'!G23</f>
        <v>Roughsawn - 5/4" X 5.5" X 12'</v>
      </c>
      <c r="H24" s="1762" t="e">
        <f>'B 1'!#REF!</f>
        <v>#REF!</v>
      </c>
      <c r="I24" s="46" t="str">
        <f>'Hardie PO'!I23</f>
        <v>Hardie Colours</v>
      </c>
    </row>
    <row r="25" spans="1:9" ht="15" customHeight="1" x14ac:dyDescent="0.25">
      <c r="A25" s="1653" t="s">
        <v>856</v>
      </c>
      <c r="B25" s="1654"/>
      <c r="C25" s="1654"/>
      <c r="D25" s="1654"/>
      <c r="E25" s="1655"/>
      <c r="F25" s="585">
        <f>'Hardie PO'!F24</f>
        <v>0</v>
      </c>
      <c r="G25" s="1761" t="str">
        <f>'Hardie PO'!G24</f>
        <v>Roughsawn - 5/4" X 3.5" X 12'</v>
      </c>
      <c r="H25" s="1762" t="e">
        <f>'B 1'!#REF!</f>
        <v>#REF!</v>
      </c>
      <c r="I25" s="46" t="str">
        <f>'Hardie PO'!I24</f>
        <v>Hardie Colours</v>
      </c>
    </row>
    <row r="26" spans="1:9" ht="15" customHeight="1" x14ac:dyDescent="0.25">
      <c r="A26" s="1653" t="s">
        <v>857</v>
      </c>
      <c r="B26" s="1654"/>
      <c r="C26" s="1654"/>
      <c r="D26" s="1654"/>
      <c r="E26" s="1655"/>
      <c r="F26" s="585">
        <f>'Hardie PO'!F25</f>
        <v>0</v>
      </c>
      <c r="G26" s="1761" t="str">
        <f>'Hardie PO'!G25</f>
        <v>Roughsawn - 5/4" X 5.5" X 12'</v>
      </c>
      <c r="H26" s="1762" t="e">
        <f>'B 1'!#REF!</f>
        <v>#REF!</v>
      </c>
      <c r="I26" s="46" t="str">
        <f>'Hardie PO'!I25</f>
        <v>Hardie Colours</v>
      </c>
    </row>
    <row r="27" spans="1:9" ht="15" customHeight="1" x14ac:dyDescent="0.25">
      <c r="A27" s="1653" t="s">
        <v>858</v>
      </c>
      <c r="B27" s="1654"/>
      <c r="C27" s="1654"/>
      <c r="D27" s="1654"/>
      <c r="E27" s="1655"/>
      <c r="F27" s="585">
        <f>'Hardie PO'!F26</f>
        <v>0</v>
      </c>
      <c r="G27" s="1761" t="str">
        <f>'Hardie PO'!G26</f>
        <v>Roughsawn - 5/4" X 11.25" X 12'</v>
      </c>
      <c r="H27" s="1762" t="e">
        <f>'B 1'!#REF!</f>
        <v>#REF!</v>
      </c>
      <c r="I27" s="46" t="str">
        <f>'Hardie PO'!I26</f>
        <v>Hardie Colours</v>
      </c>
    </row>
    <row r="28" spans="1:9" ht="15" customHeight="1" x14ac:dyDescent="0.25">
      <c r="A28" s="1653" t="s">
        <v>10090</v>
      </c>
      <c r="B28" s="1654"/>
      <c r="C28" s="1654"/>
      <c r="D28" s="1654"/>
      <c r="E28" s="1655"/>
      <c r="F28" s="585">
        <f>'Hardie PO'!F27</f>
        <v>0</v>
      </c>
      <c r="G28" s="1761" t="str">
        <f>'Hardie PO'!G27</f>
        <v xml:space="preserve">Hardi Strips - 6" X 10" </v>
      </c>
      <c r="H28" s="1768" t="e">
        <f>'B 1'!#REF!</f>
        <v>#REF!</v>
      </c>
      <c r="I28" s="1762">
        <f>'Hardie PO'!I27</f>
        <v>0</v>
      </c>
    </row>
    <row r="29" spans="1:9" ht="15" customHeight="1" x14ac:dyDescent="0.25">
      <c r="A29" s="1653" t="s">
        <v>859</v>
      </c>
      <c r="B29" s="1654"/>
      <c r="C29" s="1654"/>
      <c r="D29" s="1654"/>
      <c r="E29" s="1655"/>
      <c r="F29" s="585">
        <f>'Hardie PO'!F28</f>
        <v>0</v>
      </c>
      <c r="G29" s="1761" t="str">
        <f>'Hardie PO'!G28</f>
        <v>Hardie Trim Flat Tabs - 3"</v>
      </c>
      <c r="H29" s="1768" t="e">
        <f>'B 1'!#REF!</f>
        <v>#REF!</v>
      </c>
      <c r="I29" s="1762">
        <f>'Hardie PO'!I28</f>
        <v>0</v>
      </c>
    </row>
    <row r="30" spans="1:9" ht="15" customHeight="1" x14ac:dyDescent="0.25">
      <c r="A30" s="576"/>
      <c r="B30" s="574"/>
      <c r="C30" s="574"/>
      <c r="D30" s="574"/>
      <c r="E30" s="577"/>
      <c r="F30" s="585">
        <f>'Hardie PO'!F29</f>
        <v>0</v>
      </c>
      <c r="G30" s="1761" t="str">
        <f>'Hardie PO'!G29</f>
        <v>Select Corner Tabs</v>
      </c>
      <c r="H30" s="1768" t="e">
        <f>'B 1'!#REF!</f>
        <v>#REF!</v>
      </c>
      <c r="I30" s="1762">
        <f>'Hardie PO'!I29</f>
        <v>0</v>
      </c>
    </row>
    <row r="31" spans="1:9" x14ac:dyDescent="0.25">
      <c r="A31" s="576"/>
      <c r="B31" s="574"/>
      <c r="C31" s="574"/>
      <c r="D31" s="574"/>
      <c r="E31" s="577"/>
      <c r="F31" s="585">
        <f>'Hardie PO'!F30</f>
        <v>0</v>
      </c>
      <c r="G31" s="1761" t="str">
        <f>'Hardie PO'!G30</f>
        <v>Roughsawn - 5/4" X 3.5" X 12'</v>
      </c>
      <c r="H31" s="1762" t="e">
        <f>'B 1'!#REF!</f>
        <v>#REF!</v>
      </c>
      <c r="I31" s="46" t="str">
        <f>'Hardie PO'!I30</f>
        <v>Hardie Colours</v>
      </c>
    </row>
    <row r="32" spans="1:9" ht="15" customHeight="1" x14ac:dyDescent="0.25">
      <c r="A32" s="672"/>
      <c r="E32" s="673"/>
      <c r="F32" s="585">
        <f>'Hardie PO'!F31</f>
        <v>0</v>
      </c>
      <c r="G32" s="1761" t="str">
        <f>'Hardie PO'!G31</f>
        <v>Roughsawn - 5/4" X 5.5" X 12'</v>
      </c>
      <c r="H32" s="1762" t="e">
        <f>'B 1'!#REF!</f>
        <v>#REF!</v>
      </c>
      <c r="I32" s="46" t="str">
        <f>'Hardie PO'!I31</f>
        <v>Hardie Colours</v>
      </c>
    </row>
    <row r="33" spans="1:9" x14ac:dyDescent="0.25">
      <c r="A33" s="674"/>
      <c r="B33" s="675"/>
      <c r="C33" s="675"/>
      <c r="D33" s="675"/>
      <c r="E33" s="676"/>
      <c r="F33" s="585">
        <f>'Hardie PO'!F32</f>
        <v>0</v>
      </c>
      <c r="G33" s="1761" t="str">
        <f>'Hardie PO'!G33</f>
        <v>Window Head Flashing</v>
      </c>
      <c r="H33" s="1762" t="e">
        <f>'B 1'!#REF!</f>
        <v>#REF!</v>
      </c>
      <c r="I33" s="46" t="str">
        <f>'Hardie PO'!I32</f>
        <v>Hardie Colours</v>
      </c>
    </row>
    <row r="34" spans="1:9" x14ac:dyDescent="0.25">
      <c r="A34" s="1775" t="s">
        <v>322</v>
      </c>
      <c r="B34" s="1776"/>
      <c r="C34" s="1776"/>
      <c r="D34" s="1776"/>
      <c r="E34" s="1777"/>
      <c r="F34" s="585">
        <f>'Hardie PO'!F33</f>
        <v>0</v>
      </c>
      <c r="G34" s="1761" t="str">
        <f>'Hardie PO'!G34</f>
        <v>Window Sill Trim Flashing</v>
      </c>
      <c r="H34" s="1762" t="e">
        <f>'B 1'!#REF!</f>
        <v>#REF!</v>
      </c>
      <c r="I34" s="46" t="str">
        <f>'Hardie PO'!I33</f>
        <v>Arctic White</v>
      </c>
    </row>
    <row r="35" spans="1:9" ht="15" customHeight="1" x14ac:dyDescent="0.25">
      <c r="A35" s="1598"/>
      <c r="B35" s="1599"/>
      <c r="C35" s="1599"/>
      <c r="D35" s="1599"/>
      <c r="E35" s="1600"/>
      <c r="F35" s="585">
        <f>'Hardie PO'!F34</f>
        <v>0</v>
      </c>
      <c r="G35" s="1761" t="e">
        <f>'Hardie PO'!#REF!</f>
        <v>#REF!</v>
      </c>
      <c r="H35" s="1762" t="e">
        <f>'B 1'!#REF!</f>
        <v>#REF!</v>
      </c>
      <c r="I35" s="46" t="str">
        <f>'Hardie PO'!I34</f>
        <v>Arctic White</v>
      </c>
    </row>
    <row r="36" spans="1:9" x14ac:dyDescent="0.25">
      <c r="A36" s="1462"/>
      <c r="B36" s="1463"/>
      <c r="C36" s="1463"/>
      <c r="D36" s="1463"/>
      <c r="E36" s="1601"/>
      <c r="F36" s="585">
        <f>'Hardie PO'!F35</f>
        <v>0</v>
      </c>
      <c r="G36" s="1761" t="str">
        <f>'Hardie PO'!G35</f>
        <v>Starter Base Flashing</v>
      </c>
      <c r="H36" s="1762" t="e">
        <f>'B 1'!#REF!</f>
        <v>#REF!</v>
      </c>
      <c r="I36" s="46" t="str">
        <f>'Hardie PO'!I35</f>
        <v>Arctic White</v>
      </c>
    </row>
    <row r="37" spans="1:9" x14ac:dyDescent="0.25">
      <c r="A37" s="1462"/>
      <c r="B37" s="1463"/>
      <c r="C37" s="1463"/>
      <c r="D37" s="1463"/>
      <c r="E37" s="1601"/>
      <c r="F37" s="585">
        <f>'Hardie PO'!F36</f>
        <v>0</v>
      </c>
      <c r="G37" s="1761" t="str">
        <f>'Hardie PO'!G36</f>
        <v>Wall Flashing</v>
      </c>
      <c r="H37" s="1762" t="e">
        <f>'B 1'!#REF!</f>
        <v>#REF!</v>
      </c>
      <c r="I37" s="46" t="str">
        <f>'Hardie PO'!I36</f>
        <v>Arctic White</v>
      </c>
    </row>
    <row r="38" spans="1:9" ht="15" customHeight="1" x14ac:dyDescent="0.25">
      <c r="A38" s="1462"/>
      <c r="B38" s="1463"/>
      <c r="C38" s="1463"/>
      <c r="D38" s="1463"/>
      <c r="E38" s="1601"/>
      <c r="F38" s="585">
        <f>'Hardie PO'!F37</f>
        <v>0</v>
      </c>
      <c r="G38" s="1761" t="str">
        <f>'Hardie PO'!G37</f>
        <v>Step Flashing</v>
      </c>
      <c r="H38" s="1762" t="e">
        <f>'B 1'!#REF!</f>
        <v>#REF!</v>
      </c>
      <c r="I38" s="46" t="str">
        <f>'Hardie PO'!I37</f>
        <v>Arctic White</v>
      </c>
    </row>
    <row r="39" spans="1:9" x14ac:dyDescent="0.25">
      <c r="A39" s="1462"/>
      <c r="B39" s="1463"/>
      <c r="C39" s="1463"/>
      <c r="D39" s="1463"/>
      <c r="E39" s="1601"/>
      <c r="F39" s="585">
        <f>'Hardie PO'!F38</f>
        <v>0</v>
      </c>
      <c r="G39" s="1761" t="str">
        <f>'Hardie PO'!G38</f>
        <v>Miscellaneous Flashings</v>
      </c>
      <c r="H39" s="1762" t="e">
        <f>'B 1'!#REF!</f>
        <v>#REF!</v>
      </c>
      <c r="I39" s="46" t="str">
        <f>'Hardie PO'!I38</f>
        <v>Arctic White</v>
      </c>
    </row>
    <row r="40" spans="1:9" x14ac:dyDescent="0.25">
      <c r="A40" s="1462"/>
      <c r="B40" s="1463"/>
      <c r="C40" s="1463"/>
      <c r="D40" s="1463"/>
      <c r="E40" s="1601"/>
      <c r="F40" s="585">
        <f>'Hardie PO'!F39</f>
        <v>1.2222222222222223E-9</v>
      </c>
      <c r="G40" s="1761" t="str">
        <f>'Hardie PO'!G39</f>
        <v>Tyvek House Wrap 9'x100'</v>
      </c>
      <c r="H40" s="1768" t="e">
        <f>'B 1'!#REF!</f>
        <v>#REF!</v>
      </c>
      <c r="I40" s="1762">
        <f>'Hardie PO'!I39</f>
        <v>0</v>
      </c>
    </row>
    <row r="41" spans="1:9" ht="15" customHeight="1" x14ac:dyDescent="0.25">
      <c r="A41" s="1462"/>
      <c r="B41" s="1463"/>
      <c r="C41" s="1463"/>
      <c r="D41" s="1463"/>
      <c r="E41" s="1601"/>
      <c r="F41" s="585">
        <f>'Hardie PO'!F40</f>
        <v>0</v>
      </c>
      <c r="G41" s="1761" t="str">
        <f>'Hardie PO'!G40</f>
        <v>Nova Flash 4" X 75ft Roll</v>
      </c>
      <c r="H41" s="1768" t="e">
        <f>'B 1'!#REF!</f>
        <v>#REF!</v>
      </c>
      <c r="I41" s="1762">
        <f>'Hardie PO'!I40</f>
        <v>0</v>
      </c>
    </row>
    <row r="42" spans="1:9" x14ac:dyDescent="0.25">
      <c r="A42" s="1462"/>
      <c r="B42" s="1463"/>
      <c r="C42" s="1463"/>
      <c r="D42" s="1463"/>
      <c r="E42" s="1601"/>
      <c r="F42" s="585">
        <f>'Hardie PO'!F41</f>
        <v>1.0999999999999999E-9</v>
      </c>
      <c r="G42" s="1761" t="str">
        <f>'Hardie PO'!G41</f>
        <v>Tuck Tape</v>
      </c>
      <c r="H42" s="1768" t="e">
        <f>'B 1'!#REF!</f>
        <v>#REF!</v>
      </c>
      <c r="I42" s="1762">
        <f>'Hardie PO'!I41</f>
        <v>0</v>
      </c>
    </row>
    <row r="43" spans="1:9" x14ac:dyDescent="0.25">
      <c r="A43" s="1462"/>
      <c r="B43" s="1463"/>
      <c r="C43" s="1463"/>
      <c r="D43" s="1463"/>
      <c r="E43" s="1601"/>
      <c r="F43" s="585">
        <f>'Hardie PO'!F42</f>
        <v>0</v>
      </c>
      <c r="G43" s="1761" t="str">
        <f>'Hardie PO'!G42</f>
        <v>Hardie Sturdi - Plug Mount</v>
      </c>
      <c r="H43" s="1762" t="e">
        <f>'B 1'!#REF!</f>
        <v>#REF!</v>
      </c>
      <c r="I43" s="46" t="str">
        <f>'Hardie PO'!I42</f>
        <v>Arctic White</v>
      </c>
    </row>
    <row r="44" spans="1:9" x14ac:dyDescent="0.25">
      <c r="A44" s="1462"/>
      <c r="B44" s="1463"/>
      <c r="C44" s="1463"/>
      <c r="D44" s="1463"/>
      <c r="E44" s="1601"/>
      <c r="F44" s="585">
        <f>'Hardie PO'!F43</f>
        <v>0</v>
      </c>
      <c r="G44" s="1761" t="str">
        <f>'Hardie PO'!G43</f>
        <v>Hardie Sturdi - Hose Bib Mt</v>
      </c>
      <c r="H44" s="1762" t="e">
        <f>'B 1'!#REF!</f>
        <v>#REF!</v>
      </c>
      <c r="I44" s="46" t="str">
        <f>'Hardie PO'!I43</f>
        <v>Arctic White</v>
      </c>
    </row>
    <row r="45" spans="1:9" x14ac:dyDescent="0.25">
      <c r="A45" s="1462"/>
      <c r="B45" s="1463"/>
      <c r="C45" s="1463"/>
      <c r="D45" s="1463"/>
      <c r="E45" s="1601"/>
      <c r="F45" s="585">
        <f>'Hardie PO'!F44</f>
        <v>0</v>
      </c>
      <c r="G45" s="1761" t="str">
        <f>'Hardie PO'!G44</f>
        <v>Hardie Sturdi - Light Mount</v>
      </c>
      <c r="H45" s="1762" t="e">
        <f>'B 1'!#REF!</f>
        <v>#REF!</v>
      </c>
      <c r="I45" s="46" t="str">
        <f>'Hardie PO'!I44</f>
        <v>Arctic White</v>
      </c>
    </row>
    <row r="46" spans="1:9" x14ac:dyDescent="0.25">
      <c r="A46" s="1462"/>
      <c r="B46" s="1463"/>
      <c r="C46" s="1463"/>
      <c r="D46" s="1463"/>
      <c r="E46" s="1601"/>
      <c r="F46" s="585">
        <f>'Hardie PO'!F45</f>
        <v>0</v>
      </c>
      <c r="G46" s="1761" t="str">
        <f>'Hardie PO'!G45</f>
        <v>Hardie Sturdi - Coach Light Mt</v>
      </c>
      <c r="H46" s="1762" t="e">
        <f>'B 1'!#REF!</f>
        <v>#REF!</v>
      </c>
      <c r="I46" s="46" t="str">
        <f>'Hardie PO'!I45</f>
        <v>Arctic White</v>
      </c>
    </row>
    <row r="47" spans="1:9" ht="15" customHeight="1" x14ac:dyDescent="0.25">
      <c r="A47" s="1462"/>
      <c r="B47" s="1463"/>
      <c r="C47" s="1463"/>
      <c r="D47" s="1463"/>
      <c r="E47" s="1601"/>
      <c r="F47" s="585">
        <f>'Hardie PO'!F46</f>
        <v>0</v>
      </c>
      <c r="G47" s="1761" t="str">
        <f>'Hardie PO'!G46</f>
        <v>Hardie Sturdi - Vent Mount</v>
      </c>
      <c r="H47" s="1762" t="e">
        <f>'B 1'!#REF!</f>
        <v>#REF!</v>
      </c>
      <c r="I47" s="46" t="str">
        <f>'Hardie PO'!I46</f>
        <v>Arctic White</v>
      </c>
    </row>
    <row r="48" spans="1:9" ht="15" customHeight="1" x14ac:dyDescent="0.25">
      <c r="A48" s="1462"/>
      <c r="B48" s="1463"/>
      <c r="C48" s="1463"/>
      <c r="D48" s="1463"/>
      <c r="E48" s="1601"/>
      <c r="F48" s="585">
        <f>'Hardie PO'!F47</f>
        <v>0</v>
      </c>
      <c r="G48" s="1761" t="str">
        <f>'Hardie PO'!G47</f>
        <v>Hardie Touch up Kit (Pint)</v>
      </c>
      <c r="H48" s="1762" t="e">
        <f>'B 1'!#REF!</f>
        <v>#REF!</v>
      </c>
      <c r="I48" s="46" t="str">
        <f>'Hardie PO'!I47</f>
        <v>Hardie Colours</v>
      </c>
    </row>
    <row r="49" spans="1:9" ht="15" customHeight="1" x14ac:dyDescent="0.25">
      <c r="A49" s="1602"/>
      <c r="B49" s="1603"/>
      <c r="C49" s="1603"/>
      <c r="D49" s="1603"/>
      <c r="E49" s="1604"/>
      <c r="F49" s="585">
        <f>'Hardie PO'!F48</f>
        <v>0</v>
      </c>
      <c r="G49" s="1761" t="str">
        <f>'Hardie PO'!G48</f>
        <v>4L Colour Match Paint</v>
      </c>
      <c r="H49" s="1762" t="e">
        <f>'B 1'!#REF!</f>
        <v>#REF!</v>
      </c>
      <c r="I49" s="46" t="str">
        <f>'Hardie PO'!I48</f>
        <v>Hardie Colours</v>
      </c>
    </row>
    <row r="50" spans="1:9" ht="15" customHeight="1" x14ac:dyDescent="0.25">
      <c r="A50" s="1763" t="s">
        <v>324</v>
      </c>
      <c r="B50" s="1764"/>
      <c r="C50" s="586">
        <f>'B 1'!D279</f>
        <v>1.1000000000000001E-5</v>
      </c>
      <c r="D50" s="587" t="s">
        <v>325</v>
      </c>
      <c r="E50" s="588"/>
      <c r="F50" s="1769"/>
      <c r="G50" s="1770"/>
      <c r="H50" s="1770"/>
      <c r="I50" s="1771"/>
    </row>
    <row r="51" spans="1:9" x14ac:dyDescent="0.25">
      <c r="A51" s="1765" t="s">
        <v>780</v>
      </c>
      <c r="B51" s="1766"/>
      <c r="C51" s="1766"/>
      <c r="D51" s="1766"/>
      <c r="E51" s="1767"/>
      <c r="F51" s="1772"/>
      <c r="G51" s="1773"/>
      <c r="H51" s="1773"/>
      <c r="I51" s="1774"/>
    </row>
    <row r="52" spans="1:9" ht="3" customHeight="1" x14ac:dyDescent="0.25">
      <c r="A52" s="1580"/>
      <c r="B52" s="1581"/>
      <c r="C52" s="1581"/>
      <c r="D52" s="1581"/>
      <c r="E52" s="1581"/>
      <c r="F52" s="1581"/>
      <c r="G52" s="1581"/>
      <c r="H52" s="1581"/>
      <c r="I52" s="1583"/>
    </row>
    <row r="55" spans="1:9" x14ac:dyDescent="0.25">
      <c r="H55" s="589"/>
      <c r="I55" s="48"/>
    </row>
    <row r="56" spans="1:9" x14ac:dyDescent="0.25">
      <c r="H56" s="590"/>
      <c r="I56" s="49"/>
    </row>
    <row r="57" spans="1:9" x14ac:dyDescent="0.25">
      <c r="H57" s="590"/>
      <c r="I57" s="49"/>
    </row>
    <row r="58" spans="1:9" x14ac:dyDescent="0.25">
      <c r="H58" s="590"/>
      <c r="I58" s="49"/>
    </row>
    <row r="59" spans="1:9" x14ac:dyDescent="0.25">
      <c r="H59" s="590"/>
      <c r="I59" s="49"/>
    </row>
    <row r="62" spans="1:9" x14ac:dyDescent="0.25">
      <c r="A62" s="590"/>
      <c r="B62" s="590"/>
      <c r="C62" s="590"/>
      <c r="D62" s="590"/>
      <c r="E62" s="590"/>
      <c r="F62" s="590"/>
      <c r="G62" s="590"/>
      <c r="H62" s="590"/>
      <c r="I62" s="49"/>
    </row>
    <row r="64" spans="1:9" x14ac:dyDescent="0.25">
      <c r="A64" s="590"/>
      <c r="F64" s="590"/>
    </row>
    <row r="65" spans="1:9" x14ac:dyDescent="0.25">
      <c r="A65" s="590"/>
      <c r="F65" s="590"/>
    </row>
    <row r="66" spans="1:9" x14ac:dyDescent="0.25">
      <c r="A66" s="590"/>
      <c r="F66" s="590"/>
    </row>
    <row r="67" spans="1:9" x14ac:dyDescent="0.25">
      <c r="A67" s="590"/>
      <c r="F67" s="590"/>
    </row>
    <row r="68" spans="1:9" x14ac:dyDescent="0.25">
      <c r="A68" s="590"/>
      <c r="D68" s="47"/>
      <c r="E68" s="47"/>
      <c r="F68" s="590"/>
      <c r="G68" s="47"/>
      <c r="H68" s="47"/>
    </row>
    <row r="69" spans="1:9" x14ac:dyDescent="0.25">
      <c r="A69" s="590"/>
      <c r="B69" s="590"/>
      <c r="C69" s="590"/>
      <c r="D69" s="590"/>
      <c r="E69" s="590"/>
      <c r="F69" s="590"/>
      <c r="G69" s="590"/>
      <c r="H69" s="590"/>
      <c r="I69" s="49"/>
    </row>
    <row r="71" spans="1:9" x14ac:dyDescent="0.25">
      <c r="A71" s="590"/>
      <c r="B71" s="590"/>
      <c r="C71" s="590"/>
      <c r="D71" s="590"/>
      <c r="E71" s="49"/>
      <c r="F71" s="590"/>
      <c r="G71" s="590"/>
      <c r="H71" s="590"/>
      <c r="I71" s="49"/>
    </row>
  </sheetData>
  <mergeCells count="71">
    <mergeCell ref="A11:B11"/>
    <mergeCell ref="C11:E11"/>
    <mergeCell ref="H11:I11"/>
    <mergeCell ref="B12:E12"/>
    <mergeCell ref="A1:D7"/>
    <mergeCell ref="E1:I1"/>
    <mergeCell ref="E2:I2"/>
    <mergeCell ref="E3:I3"/>
    <mergeCell ref="E4:I4"/>
    <mergeCell ref="E5:E7"/>
    <mergeCell ref="F5:I7"/>
    <mergeCell ref="F8:I8"/>
    <mergeCell ref="A9:I9"/>
    <mergeCell ref="A10:B10"/>
    <mergeCell ref="C10:D10"/>
    <mergeCell ref="F10:G10"/>
    <mergeCell ref="B15:C15"/>
    <mergeCell ref="D15:E15"/>
    <mergeCell ref="F15:I15"/>
    <mergeCell ref="A16:I16"/>
    <mergeCell ref="F12:I12"/>
    <mergeCell ref="F14:I14"/>
    <mergeCell ref="A17:E17"/>
    <mergeCell ref="F17:I17"/>
    <mergeCell ref="A21:E22"/>
    <mergeCell ref="G19:H19"/>
    <mergeCell ref="A23:E24"/>
    <mergeCell ref="G22:I22"/>
    <mergeCell ref="G23:I23"/>
    <mergeCell ref="G24:H24"/>
    <mergeCell ref="A18:E20"/>
    <mergeCell ref="G18:H18"/>
    <mergeCell ref="G20:H20"/>
    <mergeCell ref="G21:I21"/>
    <mergeCell ref="A34:E34"/>
    <mergeCell ref="G36:H36"/>
    <mergeCell ref="G25:H25"/>
    <mergeCell ref="G26:H26"/>
    <mergeCell ref="G27:H27"/>
    <mergeCell ref="A25:E25"/>
    <mergeCell ref="A26:E26"/>
    <mergeCell ref="G28:I28"/>
    <mergeCell ref="G29:I29"/>
    <mergeCell ref="G30:I30"/>
    <mergeCell ref="G31:H31"/>
    <mergeCell ref="G32:H32"/>
    <mergeCell ref="A27:E27"/>
    <mergeCell ref="A29:E29"/>
    <mergeCell ref="A28:E28"/>
    <mergeCell ref="G33:H33"/>
    <mergeCell ref="A52:I52"/>
    <mergeCell ref="A50:B50"/>
    <mergeCell ref="A51:E51"/>
    <mergeCell ref="G49:H49"/>
    <mergeCell ref="A35:E49"/>
    <mergeCell ref="G46:H46"/>
    <mergeCell ref="G47:H47"/>
    <mergeCell ref="G40:I40"/>
    <mergeCell ref="G41:I41"/>
    <mergeCell ref="G42:I42"/>
    <mergeCell ref="F50:I51"/>
    <mergeCell ref="H10:I10"/>
    <mergeCell ref="G34:H34"/>
    <mergeCell ref="G35:H35"/>
    <mergeCell ref="G48:H48"/>
    <mergeCell ref="G37:H37"/>
    <mergeCell ref="G38:H38"/>
    <mergeCell ref="G39:H39"/>
    <mergeCell ref="G43:H43"/>
    <mergeCell ref="G44:H44"/>
    <mergeCell ref="G45:H45"/>
  </mergeCells>
  <pageMargins left="0.7" right="0.7" top="0.75" bottom="0.75" header="0.3" footer="0.3"/>
  <pageSetup scale="84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8A8163B-940C-4327-962A-21936D361181}">
          <x14:formula1>
            <xm:f>'R Data'!$W$60:$W$72</xm:f>
          </x14:formula1>
          <xm:sqref>C10:D10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BCB01-F641-44CA-BE73-9DA4F45E6AC1}">
  <sheetPr codeName="Sheet9">
    <tabColor theme="7" tint="0.79998168889431442"/>
    <pageSetUpPr fitToPage="1"/>
  </sheetPr>
  <dimension ref="A1:I71"/>
  <sheetViews>
    <sheetView workbookViewId="0">
      <selection activeCell="A8" sqref="A8:D8"/>
    </sheetView>
  </sheetViews>
  <sheetFormatPr defaultRowHeight="15" outlineLevelRow="1" x14ac:dyDescent="0.25"/>
  <cols>
    <col min="1" max="1" width="7.42578125" style="359" customWidth="1"/>
    <col min="2" max="2" width="11.42578125" style="359" customWidth="1"/>
    <col min="3" max="4" width="9.140625" style="359"/>
    <col min="5" max="5" width="15.28515625" style="359" customWidth="1"/>
    <col min="6" max="6" width="8.42578125" style="359" customWidth="1"/>
    <col min="7" max="8" width="10.28515625" style="359" customWidth="1"/>
    <col min="9" max="9" width="15.7109375" style="47" customWidth="1"/>
    <col min="10" max="16384" width="9.140625" style="359"/>
  </cols>
  <sheetData>
    <row r="1" spans="1:9" x14ac:dyDescent="0.25">
      <c r="A1" s="1463"/>
      <c r="B1" s="1463"/>
      <c r="C1" s="1463"/>
      <c r="D1" s="1463"/>
      <c r="E1" s="1463"/>
      <c r="F1" s="1463"/>
      <c r="G1" s="1463"/>
      <c r="H1" s="1463"/>
      <c r="I1" s="1463"/>
    </row>
    <row r="2" spans="1:9" x14ac:dyDescent="0.25">
      <c r="A2" s="1463"/>
      <c r="B2" s="1463"/>
      <c r="C2" s="1463"/>
      <c r="D2" s="1463"/>
      <c r="E2" s="1640" t="s">
        <v>776</v>
      </c>
      <c r="F2" s="1640"/>
      <c r="G2" s="1640"/>
      <c r="H2" s="1640"/>
      <c r="I2" s="1640"/>
    </row>
    <row r="3" spans="1:9" x14ac:dyDescent="0.25">
      <c r="A3" s="1463"/>
      <c r="B3" s="1463"/>
      <c r="C3" s="1463"/>
      <c r="D3" s="1463"/>
      <c r="E3" s="1639" t="s">
        <v>777</v>
      </c>
      <c r="F3" s="1639"/>
      <c r="G3" s="1639"/>
      <c r="H3" s="1639"/>
      <c r="I3" s="1639"/>
    </row>
    <row r="4" spans="1:9" x14ac:dyDescent="0.25">
      <c r="A4" s="1463"/>
      <c r="B4" s="1463"/>
      <c r="C4" s="1463"/>
      <c r="D4" s="1463"/>
      <c r="E4" s="1640" t="s">
        <v>228</v>
      </c>
      <c r="F4" s="1640"/>
      <c r="G4" s="1640"/>
      <c r="H4" s="1640"/>
      <c r="I4" s="1640"/>
    </row>
    <row r="5" spans="1:9" x14ac:dyDescent="0.25">
      <c r="A5" s="1463"/>
      <c r="B5" s="1463"/>
      <c r="C5" s="1463"/>
      <c r="D5" s="1463"/>
      <c r="E5" s="1641" t="s">
        <v>10087</v>
      </c>
      <c r="F5" s="1641" t="str">
        <f>'B 1'!R1</f>
        <v>RFP -</v>
      </c>
      <c r="G5" s="1641"/>
      <c r="H5" s="1641"/>
      <c r="I5" s="1641"/>
    </row>
    <row r="6" spans="1:9" x14ac:dyDescent="0.25">
      <c r="A6" s="1463"/>
      <c r="B6" s="1463"/>
      <c r="C6" s="1463"/>
      <c r="D6" s="1463"/>
      <c r="E6" s="1641"/>
      <c r="F6" s="1641"/>
      <c r="G6" s="1641"/>
      <c r="H6" s="1641"/>
      <c r="I6" s="1641"/>
    </row>
    <row r="7" spans="1:9" x14ac:dyDescent="0.25">
      <c r="A7" s="1463"/>
      <c r="B7" s="1463"/>
      <c r="C7" s="1463"/>
      <c r="D7" s="1463"/>
      <c r="E7" s="1641"/>
      <c r="F7" s="1641"/>
      <c r="G7" s="1641"/>
      <c r="H7" s="1641"/>
      <c r="I7" s="1641"/>
    </row>
    <row r="8" spans="1:9" ht="18.75" x14ac:dyDescent="0.25">
      <c r="A8" s="1643" t="str" cm="1">
        <f t="array" aca="1" ref="A8" ca="1">MID(CELL("filename",A1),FIND("]",CELL("filename",A1))+1,255)</f>
        <v>Vinyl PO</v>
      </c>
      <c r="B8" s="1643"/>
      <c r="C8" s="1643"/>
      <c r="D8" s="1643"/>
      <c r="E8" s="842"/>
      <c r="F8" s="1643" t="s">
        <v>785</v>
      </c>
      <c r="G8" s="1643"/>
      <c r="H8" s="1643"/>
      <c r="I8" s="1643"/>
    </row>
    <row r="9" spans="1:9" ht="3" customHeight="1" x14ac:dyDescent="0.25">
      <c r="A9" s="1580"/>
      <c r="B9" s="1581"/>
      <c r="C9" s="1581"/>
      <c r="D9" s="1581"/>
      <c r="E9" s="1581"/>
      <c r="F9" s="1581"/>
      <c r="G9" s="1581"/>
      <c r="H9" s="1581"/>
      <c r="I9" s="1583"/>
    </row>
    <row r="10" spans="1:9" x14ac:dyDescent="0.25">
      <c r="A10" s="1578" t="s">
        <v>305</v>
      </c>
      <c r="B10" s="1579"/>
      <c r="C10" s="1635" t="str">
        <f>'B 1'!S3</f>
        <v>Dwight Cameron 403-492-9351 dwight@megaroofing.ca</v>
      </c>
      <c r="D10" s="1635"/>
      <c r="E10" s="1636"/>
      <c r="F10" s="1578" t="s">
        <v>230</v>
      </c>
      <c r="G10" s="1579"/>
      <c r="H10" s="1644">
        <f ca="1">TODAY()</f>
        <v>46240</v>
      </c>
      <c r="I10" s="1645"/>
    </row>
    <row r="11" spans="1:9" ht="15" customHeight="1" x14ac:dyDescent="0.25">
      <c r="A11" s="1633"/>
      <c r="B11" s="1634"/>
      <c r="C11" s="1637"/>
      <c r="D11" s="1637"/>
      <c r="E11" s="1638"/>
      <c r="F11" s="591" t="s">
        <v>994</v>
      </c>
      <c r="G11" s="592"/>
      <c r="H11" s="1631" t="str">
        <f>'B 1'!D2</f>
        <v>Company Name</v>
      </c>
      <c r="I11" s="1632"/>
    </row>
    <row r="12" spans="1:9" ht="15" customHeight="1" x14ac:dyDescent="0.25">
      <c r="A12" s="1589"/>
      <c r="B12" s="1590"/>
      <c r="C12" s="1590"/>
      <c r="D12" s="1590"/>
      <c r="E12" s="1591"/>
      <c r="F12" s="1578" t="s">
        <v>991</v>
      </c>
      <c r="G12" s="1579"/>
      <c r="H12" s="1579"/>
      <c r="I12" s="1584"/>
    </row>
    <row r="13" spans="1:9" ht="15" customHeight="1" x14ac:dyDescent="0.25">
      <c r="A13" s="1592"/>
      <c r="B13" s="1593"/>
      <c r="C13" s="1593"/>
      <c r="D13" s="1593"/>
      <c r="E13" s="1594"/>
      <c r="F13" s="1585" t="str">
        <f>'B 1'!D4</f>
        <v>ADDRESS</v>
      </c>
      <c r="G13" s="1586"/>
      <c r="H13" s="1586"/>
      <c r="I13" s="593" t="s">
        <v>993</v>
      </c>
    </row>
    <row r="14" spans="1:9" ht="3" customHeight="1" x14ac:dyDescent="0.25">
      <c r="A14" s="1580"/>
      <c r="B14" s="1581"/>
      <c r="C14" s="1581"/>
      <c r="D14" s="1581"/>
      <c r="E14" s="1581"/>
      <c r="F14" s="1581"/>
      <c r="G14" s="1581"/>
      <c r="H14" s="1581"/>
      <c r="I14" s="1583"/>
    </row>
    <row r="15" spans="1:9" ht="15.75" x14ac:dyDescent="0.25">
      <c r="A15" s="1578" t="s">
        <v>794</v>
      </c>
      <c r="B15" s="1579"/>
      <c r="C15" s="1788" t="str">
        <f>F5</f>
        <v>RFP -</v>
      </c>
      <c r="D15" s="1788"/>
      <c r="E15" s="1789"/>
      <c r="F15" s="1587" t="s">
        <v>307</v>
      </c>
      <c r="G15" s="1588"/>
      <c r="H15" s="1588"/>
      <c r="I15" s="1588"/>
    </row>
    <row r="16" spans="1:9" ht="17.25" customHeight="1" outlineLevel="1" x14ac:dyDescent="0.25">
      <c r="A16" s="1626" t="s">
        <v>1251</v>
      </c>
      <c r="B16" s="1627"/>
      <c r="C16" s="570"/>
      <c r="D16" s="570"/>
      <c r="E16" s="573">
        <v>45917</v>
      </c>
      <c r="F16" s="669" t="s">
        <v>1210</v>
      </c>
      <c r="G16" s="1621" t="str">
        <f>'B 1'!C235</f>
        <v>Materials</v>
      </c>
      <c r="H16" s="1622"/>
      <c r="I16" s="46" t="s">
        <v>234</v>
      </c>
    </row>
    <row r="17" spans="1:9" ht="15" customHeight="1" outlineLevel="1" x14ac:dyDescent="0.25">
      <c r="A17" s="1626" t="s">
        <v>1249</v>
      </c>
      <c r="B17" s="1627"/>
      <c r="C17" s="1623" t="s">
        <v>1250</v>
      </c>
      <c r="D17" s="1624"/>
      <c r="E17" s="1625"/>
      <c r="F17" s="585">
        <f>'B 1'!J177</f>
        <v>0</v>
      </c>
      <c r="G17" s="1617" t="str">
        <f>'B 1'!C177</f>
        <v>Vinyl Siding</v>
      </c>
      <c r="H17" s="1622" t="e">
        <f>'B 1'!#REF!</f>
        <v>#REF!</v>
      </c>
      <c r="I17" s="46" t="s">
        <v>511</v>
      </c>
    </row>
    <row r="18" spans="1:9" ht="15" customHeight="1" outlineLevel="1" x14ac:dyDescent="0.25">
      <c r="A18" s="1626" t="s">
        <v>1252</v>
      </c>
      <c r="B18" s="1627"/>
      <c r="C18" s="570"/>
      <c r="D18" s="572"/>
      <c r="E18" s="573">
        <v>45917</v>
      </c>
      <c r="F18" s="585">
        <f>'B 1'!J178</f>
        <v>0</v>
      </c>
      <c r="G18" s="1617" t="str">
        <f>'B 1'!C178</f>
        <v>Vinyl Trim</v>
      </c>
      <c r="H18" s="1622" t="e">
        <f>'B 1'!#REF!</f>
        <v>#REF!</v>
      </c>
      <c r="I18" s="46" t="str">
        <f>$I$17</f>
        <v>White</v>
      </c>
    </row>
    <row r="19" spans="1:9" ht="15" customHeight="1" outlineLevel="1" x14ac:dyDescent="0.25">
      <c r="A19" s="1628" t="s">
        <v>10189</v>
      </c>
      <c r="B19" s="1629"/>
      <c r="C19" s="1629"/>
      <c r="D19" s="1629"/>
      <c r="E19" s="1630"/>
      <c r="F19" s="585">
        <f>'B 1'!J179</f>
        <v>0</v>
      </c>
      <c r="G19" s="1617" t="str">
        <f>'B 1'!C179</f>
        <v>Vinyl Starter Strip</v>
      </c>
      <c r="H19" s="1622" t="e">
        <f>'B 1'!#REF!</f>
        <v>#REF!</v>
      </c>
      <c r="I19" s="46" t="str">
        <f t="shared" ref="I19:I40" si="0">$I$17</f>
        <v>White</v>
      </c>
    </row>
    <row r="20" spans="1:9" ht="15" customHeight="1" outlineLevel="1" x14ac:dyDescent="0.25">
      <c r="A20" s="1562" t="str">
        <f>VLOOKUP(A19,'R Data'!W2:X19,2,FALSE)</f>
        <v>gsc455@gentek.ca</v>
      </c>
      <c r="B20" s="1563"/>
      <c r="C20" s="1563"/>
      <c r="D20" s="1563"/>
      <c r="E20" s="1564"/>
      <c r="F20" s="585">
        <f>'B 1'!J180</f>
        <v>0</v>
      </c>
      <c r="G20" s="1617" t="str">
        <f>'B 1'!C180</f>
        <v>Vinyl J-Channel</v>
      </c>
      <c r="H20" s="1622" t="e">
        <f>'B 1'!#REF!</f>
        <v>#REF!</v>
      </c>
      <c r="I20" s="46" t="str">
        <f t="shared" si="0"/>
        <v>White</v>
      </c>
    </row>
    <row r="21" spans="1:9" ht="15" customHeight="1" outlineLevel="1" x14ac:dyDescent="0.25">
      <c r="A21" s="1562" t="str">
        <f>VLOOKUP(A20,'R Data'!X2:Y19,2,FALSE)</f>
        <v>4069 112 Ave SE,</v>
      </c>
      <c r="B21" s="1563"/>
      <c r="C21" s="1563"/>
      <c r="D21" s="1563"/>
      <c r="E21" s="1564"/>
      <c r="F21" s="585">
        <f>'B 1'!J181</f>
        <v>0</v>
      </c>
      <c r="G21" s="1617" t="str">
        <f>'B 1'!C181</f>
        <v>Residential Universal Corner Post</v>
      </c>
      <c r="H21" s="1622" t="e">
        <f>'B 1'!#REF!</f>
        <v>#REF!</v>
      </c>
      <c r="I21" s="46" t="str">
        <f t="shared" si="0"/>
        <v>White</v>
      </c>
    </row>
    <row r="22" spans="1:9" ht="15" customHeight="1" x14ac:dyDescent="0.25">
      <c r="A22" s="1618" t="s">
        <v>306</v>
      </c>
      <c r="B22" s="1619"/>
      <c r="C22" s="1619"/>
      <c r="D22" s="1619"/>
      <c r="E22" s="1620"/>
      <c r="F22" s="585">
        <f>'B 1'!J182</f>
        <v>0</v>
      </c>
      <c r="G22" s="1617" t="str">
        <f>'B 1'!C182</f>
        <v>LP 540 Smart Trim 6"</v>
      </c>
      <c r="H22" s="1622" t="e">
        <f>'B 1'!#REF!</f>
        <v>#REF!</v>
      </c>
      <c r="I22" s="46" t="str">
        <f t="shared" si="0"/>
        <v>White</v>
      </c>
    </row>
    <row r="23" spans="1:9" ht="15" customHeight="1" x14ac:dyDescent="0.25">
      <c r="A23" s="1562" t="str">
        <f>VLOOKUP(A21,'R Data'!Y2:Z19,2,FALSE)</f>
        <v>T2C 2Y1</v>
      </c>
      <c r="B23" s="1563"/>
      <c r="C23" s="1563"/>
      <c r="D23" s="1563"/>
      <c r="E23" s="1564"/>
      <c r="F23" s="585">
        <f>'B 1'!J183</f>
        <v>0</v>
      </c>
      <c r="G23" s="1617" t="str">
        <f>'B 1'!C183</f>
        <v>LP 540 Smart Trim - Out Corner</v>
      </c>
      <c r="H23" s="1622" t="e">
        <f>'B 1'!#REF!</f>
        <v>#REF!</v>
      </c>
      <c r="I23" s="46" t="str">
        <f t="shared" si="0"/>
        <v>White</v>
      </c>
    </row>
    <row r="24" spans="1:9" x14ac:dyDescent="0.25">
      <c r="A24" s="1562" t="str">
        <f>VLOOKUP(A23,'R Data'!Z2:AA19,2,FALSE)</f>
        <v>403-640-0906</v>
      </c>
      <c r="B24" s="1563"/>
      <c r="C24" s="1563"/>
      <c r="D24" s="1563"/>
      <c r="E24" s="1564"/>
      <c r="F24" s="585">
        <f>'B 1'!J184</f>
        <v>0</v>
      </c>
      <c r="G24" s="1617" t="str">
        <f>'B 1'!C184</f>
        <v>Miscellaneous Flashings</v>
      </c>
      <c r="H24" s="1622" t="e">
        <f>'B 1'!#REF!</f>
        <v>#REF!</v>
      </c>
      <c r="I24" s="571" t="s">
        <v>225</v>
      </c>
    </row>
    <row r="25" spans="1:9" x14ac:dyDescent="0.25">
      <c r="A25" s="1573" t="s">
        <v>746</v>
      </c>
      <c r="B25" s="1574"/>
      <c r="C25" s="1574"/>
      <c r="D25" s="1574"/>
      <c r="E25" s="569"/>
      <c r="F25" s="585">
        <f>'B 1'!J185</f>
        <v>0</v>
      </c>
      <c r="G25" s="1617" t="str">
        <f>'B 1'!C185</f>
        <v>Window Head Flashing</v>
      </c>
      <c r="H25" s="1622" t="e">
        <f>'B 1'!#REF!</f>
        <v>#REF!</v>
      </c>
      <c r="I25" s="46" t="str">
        <f>$I$24</f>
        <v>Select Colour</v>
      </c>
    </row>
    <row r="26" spans="1:9" x14ac:dyDescent="0.25">
      <c r="A26" s="1565" t="s">
        <v>786</v>
      </c>
      <c r="B26" s="1566"/>
      <c r="C26" s="1566"/>
      <c r="D26" s="1566"/>
      <c r="E26" s="1567"/>
      <c r="F26" s="585">
        <f>'B 1'!J186</f>
        <v>0</v>
      </c>
      <c r="G26" s="1617" t="str">
        <f>'B 1'!C186</f>
        <v>Window Sill Trim Flashing</v>
      </c>
      <c r="H26" s="1622" t="e">
        <f>'B 1'!#REF!</f>
        <v>#REF!</v>
      </c>
      <c r="I26" s="46" t="str">
        <f t="shared" ref="I26:I27" si="1">$I$24</f>
        <v>Select Colour</v>
      </c>
    </row>
    <row r="27" spans="1:9" x14ac:dyDescent="0.25">
      <c r="A27" s="1571"/>
      <c r="B27" s="1572"/>
      <c r="C27" s="1572"/>
      <c r="D27" s="1572"/>
      <c r="E27" s="1759"/>
      <c r="F27" s="585">
        <f>'B 1'!J187</f>
        <v>0</v>
      </c>
      <c r="G27" s="1617" t="str">
        <f>'B 1'!C187</f>
        <v>Starter Base Flashing</v>
      </c>
      <c r="H27" s="1622" t="e">
        <f>'B 1'!#REF!</f>
        <v>#REF!</v>
      </c>
      <c r="I27" s="46" t="str">
        <f t="shared" si="1"/>
        <v>Select Colour</v>
      </c>
    </row>
    <row r="28" spans="1:9" ht="15" customHeight="1" x14ac:dyDescent="0.25">
      <c r="A28" s="1575" t="s">
        <v>344</v>
      </c>
      <c r="B28" s="1576"/>
      <c r="C28" s="1576"/>
      <c r="D28" s="1576"/>
      <c r="E28" s="1577"/>
      <c r="F28" s="585">
        <f>'B 1'!J188</f>
        <v>0</v>
      </c>
      <c r="G28" s="1621" t="str">
        <f>'B 1'!C188</f>
        <v>Select Envelope Wrap</v>
      </c>
      <c r="H28" s="1617"/>
      <c r="I28" s="1622"/>
    </row>
    <row r="29" spans="1:9" x14ac:dyDescent="0.25">
      <c r="A29" s="1750"/>
      <c r="B29" s="1751"/>
      <c r="C29" s="1751"/>
      <c r="D29" s="1751"/>
      <c r="E29" s="1752"/>
      <c r="F29" s="585">
        <f>'B 1'!J189</f>
        <v>0</v>
      </c>
      <c r="G29" s="1621" t="str">
        <f>'B 1'!C189</f>
        <v>Select Self Adhearing Membrane</v>
      </c>
      <c r="H29" s="1617" t="e">
        <f>'B 1'!#REF!</f>
        <v>#REF!</v>
      </c>
      <c r="I29" s="1622" t="str">
        <f t="shared" si="0"/>
        <v>White</v>
      </c>
    </row>
    <row r="30" spans="1:9" ht="15" customHeight="1" x14ac:dyDescent="0.25">
      <c r="A30" s="1753"/>
      <c r="B30" s="1754"/>
      <c r="C30" s="1754"/>
      <c r="D30" s="1754"/>
      <c r="E30" s="1755"/>
      <c r="F30" s="585">
        <f>'B 1'!J190</f>
        <v>0</v>
      </c>
      <c r="G30" s="1621" t="str">
        <f>'B 1'!C190</f>
        <v>Tuck Tape</v>
      </c>
      <c r="H30" s="1617" t="e">
        <f>'B 1'!#REF!</f>
        <v>#REF!</v>
      </c>
      <c r="I30" s="1622" t="str">
        <f t="shared" si="0"/>
        <v>White</v>
      </c>
    </row>
    <row r="31" spans="1:9" x14ac:dyDescent="0.25">
      <c r="A31" s="1753"/>
      <c r="B31" s="1754"/>
      <c r="C31" s="1754"/>
      <c r="D31" s="1754"/>
      <c r="E31" s="1755"/>
      <c r="F31" s="585">
        <f>'B 1'!J191</f>
        <v>0</v>
      </c>
      <c r="G31" s="1617" t="str">
        <f>'B 1'!C191</f>
        <v>Plug Mount</v>
      </c>
      <c r="H31" s="1622" t="e">
        <f>'B 1'!#REF!</f>
        <v>#REF!</v>
      </c>
      <c r="I31" s="46" t="str">
        <f t="shared" si="0"/>
        <v>White</v>
      </c>
    </row>
    <row r="32" spans="1:9" x14ac:dyDescent="0.25">
      <c r="A32" s="1753"/>
      <c r="B32" s="1754"/>
      <c r="C32" s="1754"/>
      <c r="D32" s="1754"/>
      <c r="E32" s="1755"/>
      <c r="F32" s="585">
        <f>'B 1'!J192</f>
        <v>0</v>
      </c>
      <c r="G32" s="1617" t="str">
        <f>'B 1'!C192</f>
        <v>Hose Bib Mount</v>
      </c>
      <c r="H32" s="1622" t="e">
        <f>'B 1'!#REF!</f>
        <v>#REF!</v>
      </c>
      <c r="I32" s="46" t="str">
        <f t="shared" si="0"/>
        <v>White</v>
      </c>
    </row>
    <row r="33" spans="1:9" ht="15" customHeight="1" x14ac:dyDescent="0.25">
      <c r="A33" s="1753"/>
      <c r="B33" s="1754"/>
      <c r="C33" s="1754"/>
      <c r="D33" s="1754"/>
      <c r="E33" s="1755"/>
      <c r="F33" s="585">
        <f>'B 1'!J193</f>
        <v>0</v>
      </c>
      <c r="G33" s="1617" t="str">
        <f>'B 1'!C193</f>
        <v>Light Mount</v>
      </c>
      <c r="H33" s="1622" t="e">
        <f>'B 1'!#REF!</f>
        <v>#REF!</v>
      </c>
      <c r="I33" s="46" t="str">
        <f t="shared" si="0"/>
        <v>White</v>
      </c>
    </row>
    <row r="34" spans="1:9" x14ac:dyDescent="0.25">
      <c r="A34" s="1753"/>
      <c r="B34" s="1754"/>
      <c r="C34" s="1754"/>
      <c r="D34" s="1754"/>
      <c r="E34" s="1755"/>
      <c r="F34" s="585">
        <f>'B 1'!J194</f>
        <v>0</v>
      </c>
      <c r="G34" s="1617" t="str">
        <f>'B 1'!C194</f>
        <v>Fasteners - 2 1/4" Coil Nails - 4.5M/Box</v>
      </c>
      <c r="H34" s="1622" t="e">
        <f>'B 1'!#REF!</f>
        <v>#REF!</v>
      </c>
      <c r="I34" s="46" t="str">
        <f t="shared" si="0"/>
        <v>White</v>
      </c>
    </row>
    <row r="35" spans="1:9" x14ac:dyDescent="0.25">
      <c r="A35" s="1753"/>
      <c r="B35" s="1754"/>
      <c r="C35" s="1754"/>
      <c r="D35" s="1754"/>
      <c r="E35" s="1755"/>
      <c r="F35" s="585">
        <f>'B 1'!J195</f>
        <v>0</v>
      </c>
      <c r="G35" s="1617" t="str">
        <f>'B 1'!C195</f>
        <v>Caulking - Quad Max (Coloured)</v>
      </c>
      <c r="H35" s="1622" t="e">
        <f>'B 1'!#REF!</f>
        <v>#REF!</v>
      </c>
      <c r="I35" s="46" t="str">
        <f t="shared" si="0"/>
        <v>White</v>
      </c>
    </row>
    <row r="36" spans="1:9" ht="15" customHeight="1" x14ac:dyDescent="0.25">
      <c r="A36" s="1753"/>
      <c r="B36" s="1754"/>
      <c r="C36" s="1754"/>
      <c r="D36" s="1754"/>
      <c r="E36" s="1755"/>
      <c r="F36" s="585">
        <f>'B 1'!J196</f>
        <v>0</v>
      </c>
      <c r="G36" s="1617" t="str">
        <f>'B 1'!C196</f>
        <v>L trim 28ga.</v>
      </c>
      <c r="H36" s="1622" t="e">
        <f>'B 1'!#REF!</f>
        <v>#REF!</v>
      </c>
      <c r="I36" s="46" t="str">
        <f t="shared" si="0"/>
        <v>White</v>
      </c>
    </row>
    <row r="37" spans="1:9" x14ac:dyDescent="0.25">
      <c r="A37" s="1753"/>
      <c r="B37" s="1754"/>
      <c r="C37" s="1754"/>
      <c r="D37" s="1754"/>
      <c r="E37" s="1755"/>
      <c r="F37" s="585">
        <f>'B 1'!J197</f>
        <v>0</v>
      </c>
      <c r="G37" s="1617" t="str">
        <f>'B 1'!C197</f>
        <v>James Hardie Siding</v>
      </c>
      <c r="H37" s="1622" t="e">
        <f>'B 1'!#REF!</f>
        <v>#REF!</v>
      </c>
      <c r="I37" s="46" t="str">
        <f t="shared" si="0"/>
        <v>White</v>
      </c>
    </row>
    <row r="38" spans="1:9" x14ac:dyDescent="0.25">
      <c r="A38" s="1753"/>
      <c r="B38" s="1754"/>
      <c r="C38" s="1754"/>
      <c r="D38" s="1754"/>
      <c r="E38" s="1755"/>
      <c r="F38" s="585">
        <f>'B 1'!J198</f>
        <v>0</v>
      </c>
      <c r="G38" s="1617" t="str">
        <f>'B 1'!C198</f>
        <v>Select Hardie Plank</v>
      </c>
      <c r="H38" s="1622" t="e">
        <f>'B 1'!#REF!</f>
        <v>#REF!</v>
      </c>
      <c r="I38" s="46" t="str">
        <f t="shared" si="0"/>
        <v>White</v>
      </c>
    </row>
    <row r="39" spans="1:9" ht="15" customHeight="1" x14ac:dyDescent="0.25">
      <c r="A39" s="1753"/>
      <c r="B39" s="1754"/>
      <c r="C39" s="1754"/>
      <c r="D39" s="1754"/>
      <c r="E39" s="1755"/>
      <c r="F39" s="585">
        <f>'B 1'!J199</f>
        <v>0</v>
      </c>
      <c r="G39" s="1617" t="str">
        <f>'B 1'!C199</f>
        <v>Select Shakes ColorPlus</v>
      </c>
      <c r="H39" s="1622" t="e">
        <f>'B 1'!#REF!</f>
        <v>#REF!</v>
      </c>
      <c r="I39" s="46" t="str">
        <f t="shared" si="0"/>
        <v>White</v>
      </c>
    </row>
    <row r="40" spans="1:9" x14ac:dyDescent="0.25">
      <c r="A40" s="1753"/>
      <c r="B40" s="1754"/>
      <c r="C40" s="1754"/>
      <c r="D40" s="1754"/>
      <c r="E40" s="1755"/>
      <c r="F40" s="585">
        <f>'B 1'!J200</f>
        <v>0</v>
      </c>
      <c r="G40" s="1621" t="str">
        <f>'B 1'!C200</f>
        <v>Polyiso EnerAir 1/2- 4'x8'</v>
      </c>
      <c r="H40" s="1617" t="e">
        <f>'B 1'!#REF!</f>
        <v>#REF!</v>
      </c>
      <c r="I40" s="1622" t="str">
        <f t="shared" si="0"/>
        <v>White</v>
      </c>
    </row>
    <row r="41" spans="1:9" x14ac:dyDescent="0.25">
      <c r="A41" s="1753"/>
      <c r="B41" s="1754"/>
      <c r="C41" s="1754"/>
      <c r="D41" s="1754"/>
      <c r="E41" s="1755"/>
      <c r="F41" s="677"/>
      <c r="G41" s="592"/>
      <c r="H41" s="592"/>
      <c r="I41" s="578"/>
    </row>
    <row r="42" spans="1:9" x14ac:dyDescent="0.25">
      <c r="A42" s="1753"/>
      <c r="B42" s="1754"/>
      <c r="C42" s="1754"/>
      <c r="D42" s="1754"/>
      <c r="E42" s="1755"/>
      <c r="F42" s="672"/>
      <c r="I42" s="673"/>
    </row>
    <row r="43" spans="1:9" x14ac:dyDescent="0.25">
      <c r="A43" s="1753"/>
      <c r="B43" s="1754"/>
      <c r="C43" s="1754"/>
      <c r="D43" s="1754"/>
      <c r="E43" s="1755"/>
      <c r="F43" s="672"/>
      <c r="I43" s="673"/>
    </row>
    <row r="44" spans="1:9" x14ac:dyDescent="0.25">
      <c r="A44" s="1753"/>
      <c r="B44" s="1754"/>
      <c r="C44" s="1754"/>
      <c r="D44" s="1754"/>
      <c r="E44" s="1755"/>
      <c r="F44" s="672"/>
      <c r="I44" s="673"/>
    </row>
    <row r="45" spans="1:9" x14ac:dyDescent="0.25">
      <c r="A45" s="1753"/>
      <c r="B45" s="1754"/>
      <c r="C45" s="1754"/>
      <c r="D45" s="1754"/>
      <c r="E45" s="1755"/>
      <c r="F45" s="672"/>
      <c r="I45" s="673"/>
    </row>
    <row r="46" spans="1:9" ht="15" customHeight="1" x14ac:dyDescent="0.25">
      <c r="A46" s="1753"/>
      <c r="B46" s="1754"/>
      <c r="C46" s="1754"/>
      <c r="D46" s="1754"/>
      <c r="E46" s="1755"/>
      <c r="F46" s="672"/>
      <c r="I46" s="673"/>
    </row>
    <row r="47" spans="1:9" ht="15" customHeight="1" x14ac:dyDescent="0.25">
      <c r="A47" s="1753"/>
      <c r="B47" s="1754"/>
      <c r="C47" s="1754"/>
      <c r="D47" s="1754"/>
      <c r="E47" s="1755"/>
      <c r="F47" s="672"/>
      <c r="I47" s="673"/>
    </row>
    <row r="48" spans="1:9" ht="15" customHeight="1" x14ac:dyDescent="0.25">
      <c r="A48" s="1753"/>
      <c r="B48" s="1754"/>
      <c r="C48" s="1754"/>
      <c r="D48" s="1754"/>
      <c r="E48" s="1755"/>
      <c r="F48" s="672"/>
      <c r="I48" s="673"/>
    </row>
    <row r="49" spans="1:9" ht="15" customHeight="1" x14ac:dyDescent="0.25">
      <c r="A49" s="1753"/>
      <c r="B49" s="1754"/>
      <c r="C49" s="1754"/>
      <c r="D49" s="1754"/>
      <c r="E49" s="1755"/>
      <c r="F49" s="672"/>
      <c r="I49" s="673"/>
    </row>
    <row r="50" spans="1:9" ht="15" customHeight="1" x14ac:dyDescent="0.25">
      <c r="A50" s="1753"/>
      <c r="B50" s="1754"/>
      <c r="C50" s="1754"/>
      <c r="D50" s="1754"/>
      <c r="E50" s="1755"/>
      <c r="F50" s="674"/>
      <c r="G50" s="675"/>
      <c r="H50" s="675"/>
      <c r="I50" s="676"/>
    </row>
    <row r="51" spans="1:9" x14ac:dyDescent="0.25">
      <c r="A51" s="1756"/>
      <c r="B51" s="1757"/>
      <c r="C51" s="1757"/>
      <c r="D51" s="1757"/>
      <c r="E51" s="1758"/>
      <c r="F51" s="1588" t="s">
        <v>780</v>
      </c>
      <c r="G51" s="1588"/>
      <c r="H51" s="1588"/>
      <c r="I51" s="1588"/>
    </row>
    <row r="52" spans="1:9" ht="3" customHeight="1" x14ac:dyDescent="0.25">
      <c r="A52" s="1580"/>
      <c r="B52" s="1581"/>
      <c r="C52" s="1581"/>
      <c r="D52" s="1581"/>
      <c r="E52" s="1581"/>
      <c r="F52" s="1581"/>
      <c r="G52" s="1581"/>
      <c r="H52" s="1581"/>
      <c r="I52" s="1583"/>
    </row>
    <row r="55" spans="1:9" x14ac:dyDescent="0.25">
      <c r="H55" s="589"/>
      <c r="I55" s="48"/>
    </row>
    <row r="56" spans="1:9" x14ac:dyDescent="0.25">
      <c r="H56" s="590"/>
      <c r="I56" s="49"/>
    </row>
    <row r="57" spans="1:9" x14ac:dyDescent="0.25">
      <c r="H57" s="590"/>
      <c r="I57" s="49"/>
    </row>
    <row r="58" spans="1:9" x14ac:dyDescent="0.25">
      <c r="H58" s="590"/>
      <c r="I58" s="49"/>
    </row>
    <row r="59" spans="1:9" x14ac:dyDescent="0.25">
      <c r="H59" s="590"/>
      <c r="I59" s="49"/>
    </row>
    <row r="62" spans="1:9" x14ac:dyDescent="0.25">
      <c r="A62" s="590"/>
      <c r="B62" s="590"/>
      <c r="C62" s="590"/>
      <c r="D62" s="590"/>
      <c r="E62" s="590"/>
      <c r="F62" s="590"/>
      <c r="G62" s="590"/>
      <c r="H62" s="590"/>
      <c r="I62" s="49"/>
    </row>
    <row r="64" spans="1:9" x14ac:dyDescent="0.25">
      <c r="A64" s="590"/>
      <c r="F64" s="590"/>
    </row>
    <row r="65" spans="1:9" x14ac:dyDescent="0.25">
      <c r="A65" s="590"/>
      <c r="F65" s="590"/>
    </row>
    <row r="66" spans="1:9" x14ac:dyDescent="0.25">
      <c r="A66" s="590"/>
      <c r="F66" s="590"/>
    </row>
    <row r="67" spans="1:9" x14ac:dyDescent="0.25">
      <c r="A67" s="590"/>
      <c r="F67" s="590"/>
    </row>
    <row r="68" spans="1:9" x14ac:dyDescent="0.25">
      <c r="A68" s="590"/>
      <c r="D68" s="47"/>
      <c r="E68" s="47"/>
      <c r="F68" s="590"/>
      <c r="G68" s="47"/>
      <c r="H68" s="47"/>
    </row>
    <row r="69" spans="1:9" x14ac:dyDescent="0.25">
      <c r="A69" s="590"/>
      <c r="B69" s="590"/>
      <c r="C69" s="590"/>
      <c r="D69" s="590"/>
      <c r="E69" s="590"/>
      <c r="F69" s="590"/>
      <c r="G69" s="590"/>
      <c r="H69" s="590"/>
      <c r="I69" s="49"/>
    </row>
    <row r="71" spans="1:9" x14ac:dyDescent="0.25">
      <c r="A71" s="590"/>
      <c r="B71" s="590"/>
      <c r="C71" s="590"/>
      <c r="D71" s="590"/>
      <c r="E71" s="49"/>
      <c r="F71" s="590"/>
      <c r="G71" s="590"/>
      <c r="H71" s="590"/>
      <c r="I71" s="49"/>
    </row>
  </sheetData>
  <mergeCells count="63">
    <mergeCell ref="F51:I51"/>
    <mergeCell ref="A15:B15"/>
    <mergeCell ref="C15:E15"/>
    <mergeCell ref="A16:B16"/>
    <mergeCell ref="A52:I52"/>
    <mergeCell ref="G32:H32"/>
    <mergeCell ref="G21:H21"/>
    <mergeCell ref="G22:H22"/>
    <mergeCell ref="G23:H23"/>
    <mergeCell ref="G24:H24"/>
    <mergeCell ref="G25:H25"/>
    <mergeCell ref="G26:H26"/>
    <mergeCell ref="G27:H27"/>
    <mergeCell ref="G31:H31"/>
    <mergeCell ref="G28:I28"/>
    <mergeCell ref="G33:H33"/>
    <mergeCell ref="A28:E28"/>
    <mergeCell ref="A29:E51"/>
    <mergeCell ref="A19:E19"/>
    <mergeCell ref="A20:E20"/>
    <mergeCell ref="A18:B18"/>
    <mergeCell ref="A21:E21"/>
    <mergeCell ref="A22:E22"/>
    <mergeCell ref="A23:E23"/>
    <mergeCell ref="A24:E24"/>
    <mergeCell ref="A25:D25"/>
    <mergeCell ref="A26:E27"/>
    <mergeCell ref="A17:B17"/>
    <mergeCell ref="C17:E17"/>
    <mergeCell ref="A9:I9"/>
    <mergeCell ref="F10:G10"/>
    <mergeCell ref="H10:I10"/>
    <mergeCell ref="F12:I12"/>
    <mergeCell ref="F13:H13"/>
    <mergeCell ref="A12:E13"/>
    <mergeCell ref="A14:I14"/>
    <mergeCell ref="F15:I15"/>
    <mergeCell ref="E5:E7"/>
    <mergeCell ref="F5:I7"/>
    <mergeCell ref="A10:B11"/>
    <mergeCell ref="A1:D7"/>
    <mergeCell ref="E1:I1"/>
    <mergeCell ref="E2:I2"/>
    <mergeCell ref="E3:I3"/>
    <mergeCell ref="E4:I4"/>
    <mergeCell ref="C10:E11"/>
    <mergeCell ref="H11:I11"/>
    <mergeCell ref="F8:I8"/>
    <mergeCell ref="A8:D8"/>
    <mergeCell ref="G30:I30"/>
    <mergeCell ref="G40:I40"/>
    <mergeCell ref="G16:H16"/>
    <mergeCell ref="G19:H19"/>
    <mergeCell ref="G20:H20"/>
    <mergeCell ref="G37:H37"/>
    <mergeCell ref="G38:H38"/>
    <mergeCell ref="G39:H39"/>
    <mergeCell ref="G17:H17"/>
    <mergeCell ref="G18:H18"/>
    <mergeCell ref="G34:H34"/>
    <mergeCell ref="G35:H35"/>
    <mergeCell ref="G36:H36"/>
    <mergeCell ref="G29:I29"/>
  </mergeCells>
  <hyperlinks>
    <hyperlink ref="C17" r:id="rId1" xr:uid="{030B6B5F-3DC5-4118-A18A-FF86FD4FF191}"/>
  </hyperlinks>
  <pageMargins left="0.7" right="0.7" top="0.75" bottom="0.75" header="0.3" footer="0.3"/>
  <pageSetup scale="93" fitToHeight="0" orientation="portrait" r:id="rId2"/>
  <drawing r:id="rId3"/>
  <legacyDrawing r:id="rId4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F65AE2DA-AE88-4C9B-B2E1-1F9AA91F809A}">
          <x14:formula1>
            <xm:f>'R Data'!$W$2:$W$19</xm:f>
          </x14:formula1>
          <xm:sqref>A19:E19</xm:sqref>
        </x14:dataValidation>
        <x14:dataValidation type="list" allowBlank="1" showInputMessage="1" showErrorMessage="1" xr:uid="{B57E72C1-11C3-4F7F-9466-9761B08A1F66}">
          <x14:formula1>
            <xm:f>'R Data'!$C$8:$C$27</xm:f>
          </x14:formula1>
          <xm:sqref>I24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06F333-81F3-49FB-9F1A-8611AFB9EDB9}">
  <sheetPr codeName="Sheet14">
    <tabColor theme="7" tint="0.59999389629810485"/>
    <pageSetUpPr fitToPage="1"/>
  </sheetPr>
  <dimension ref="A1:I71"/>
  <sheetViews>
    <sheetView workbookViewId="0">
      <selection activeCell="L19" sqref="L19"/>
    </sheetView>
  </sheetViews>
  <sheetFormatPr defaultRowHeight="15" outlineLevelRow="1" x14ac:dyDescent="0.25"/>
  <cols>
    <col min="1" max="1" width="7.5703125" style="359" customWidth="1"/>
    <col min="2" max="2" width="11.42578125" style="359" customWidth="1"/>
    <col min="3" max="3" width="10.28515625" style="359" customWidth="1"/>
    <col min="4" max="4" width="9.140625" style="359"/>
    <col min="5" max="5" width="15.28515625" style="359" customWidth="1"/>
    <col min="6" max="6" width="8.42578125" style="359" customWidth="1"/>
    <col min="7" max="8" width="10.28515625" style="359" customWidth="1"/>
    <col min="9" max="9" width="15.7109375" style="47" customWidth="1"/>
    <col min="10" max="16384" width="9.140625" style="359"/>
  </cols>
  <sheetData>
    <row r="1" spans="1:9" x14ac:dyDescent="0.25">
      <c r="A1" s="1463"/>
      <c r="B1" s="1463"/>
      <c r="C1" s="1463"/>
      <c r="D1" s="1463"/>
      <c r="E1" s="1463"/>
      <c r="F1" s="1463"/>
      <c r="G1" s="1463"/>
      <c r="H1" s="1463"/>
      <c r="I1" s="1463"/>
    </row>
    <row r="2" spans="1:9" x14ac:dyDescent="0.25">
      <c r="A2" s="1463"/>
      <c r="B2" s="1463"/>
      <c r="C2" s="1463"/>
      <c r="D2" s="1463"/>
      <c r="E2" s="1640" t="s">
        <v>776</v>
      </c>
      <c r="F2" s="1640"/>
      <c r="G2" s="1640"/>
      <c r="H2" s="1640"/>
      <c r="I2" s="1640"/>
    </row>
    <row r="3" spans="1:9" x14ac:dyDescent="0.25">
      <c r="A3" s="1463"/>
      <c r="B3" s="1463"/>
      <c r="C3" s="1463"/>
      <c r="D3" s="1463"/>
      <c r="E3" s="1639" t="s">
        <v>777</v>
      </c>
      <c r="F3" s="1639"/>
      <c r="G3" s="1639"/>
      <c r="H3" s="1639"/>
      <c r="I3" s="1639"/>
    </row>
    <row r="4" spans="1:9" x14ac:dyDescent="0.25">
      <c r="A4" s="1463"/>
      <c r="B4" s="1463"/>
      <c r="C4" s="1463"/>
      <c r="D4" s="1463"/>
      <c r="E4" s="1640" t="s">
        <v>228</v>
      </c>
      <c r="F4" s="1640"/>
      <c r="G4" s="1640"/>
      <c r="H4" s="1640"/>
      <c r="I4" s="1640"/>
    </row>
    <row r="5" spans="1:9" ht="15" customHeight="1" x14ac:dyDescent="0.25">
      <c r="A5" s="1463"/>
      <c r="B5" s="1463"/>
      <c r="C5" s="1463"/>
      <c r="D5" s="1463"/>
      <c r="E5" s="1641" t="s">
        <v>10088</v>
      </c>
      <c r="F5" s="1641" t="str">
        <f>'B 1'!R1</f>
        <v>RFP -</v>
      </c>
      <c r="G5" s="1641"/>
      <c r="H5" s="1641"/>
      <c r="I5" s="1641"/>
    </row>
    <row r="6" spans="1:9" ht="15" customHeight="1" x14ac:dyDescent="0.25">
      <c r="A6" s="1463"/>
      <c r="B6" s="1463"/>
      <c r="C6" s="1463"/>
      <c r="D6" s="1463"/>
      <c r="E6" s="1641"/>
      <c r="F6" s="1641"/>
      <c r="G6" s="1641"/>
      <c r="H6" s="1641"/>
      <c r="I6" s="1641"/>
    </row>
    <row r="7" spans="1:9" ht="15" customHeight="1" x14ac:dyDescent="0.25">
      <c r="A7" s="1463"/>
      <c r="B7" s="1463"/>
      <c r="C7" s="1463"/>
      <c r="D7" s="1463"/>
      <c r="E7" s="1641"/>
      <c r="F7" s="1641"/>
      <c r="G7" s="1641"/>
      <c r="H7" s="1641"/>
      <c r="I7" s="1641"/>
    </row>
    <row r="8" spans="1:9" ht="18.75" x14ac:dyDescent="0.25">
      <c r="B8" s="842"/>
      <c r="C8" s="842"/>
      <c r="D8" s="842"/>
      <c r="E8" s="842"/>
      <c r="F8" s="1643" t="s">
        <v>854</v>
      </c>
      <c r="G8" s="1643"/>
      <c r="H8" s="1643"/>
      <c r="I8" s="1643"/>
    </row>
    <row r="9" spans="1:9" ht="3" customHeight="1" x14ac:dyDescent="0.25">
      <c r="A9" s="1580"/>
      <c r="B9" s="1581"/>
      <c r="C9" s="1581"/>
      <c r="D9" s="1581"/>
      <c r="E9" s="1581"/>
      <c r="F9" s="1581"/>
      <c r="G9" s="1581"/>
      <c r="H9" s="1581"/>
      <c r="I9" s="1583"/>
    </row>
    <row r="10" spans="1:9" x14ac:dyDescent="0.25">
      <c r="A10" s="1578" t="s">
        <v>784</v>
      </c>
      <c r="B10" s="1579"/>
      <c r="C10" s="1693" t="s">
        <v>10093</v>
      </c>
      <c r="D10" s="1693"/>
      <c r="E10" s="578" t="str">
        <f>VLOOKUP(C10,'R Data'!W60:AA72,5,FALSE)</f>
        <v>403-401-4375</v>
      </c>
      <c r="F10" s="1578" t="s">
        <v>230</v>
      </c>
      <c r="G10" s="1579"/>
      <c r="H10" s="1644">
        <f ca="1">TODAY()</f>
        <v>46240</v>
      </c>
      <c r="I10" s="1645"/>
    </row>
    <row r="11" spans="1:9" x14ac:dyDescent="0.25">
      <c r="A11" s="1633"/>
      <c r="B11" s="1634"/>
      <c r="C11" s="1694" t="str">
        <f>VLOOKUP(C10,'R Data'!W60:X72,2,FALSE)</f>
        <v>hilarioalex298@yahoo.com</v>
      </c>
      <c r="D11" s="1694"/>
      <c r="E11" s="1695"/>
      <c r="F11" s="584" t="s">
        <v>994</v>
      </c>
      <c r="G11" s="592"/>
      <c r="H11" s="1631" t="str">
        <f>'B 1'!D2</f>
        <v>Company Name</v>
      </c>
      <c r="I11" s="1632"/>
    </row>
    <row r="12" spans="1:9" x14ac:dyDescent="0.25">
      <c r="A12" s="579" t="s">
        <v>1011</v>
      </c>
      <c r="B12" s="1687" t="str">
        <f>'B 1'!S3</f>
        <v>Dwight Cameron 403-492-9351 dwight@megaroofing.ca</v>
      </c>
      <c r="C12" s="1687"/>
      <c r="D12" s="1687"/>
      <c r="E12" s="1687"/>
      <c r="F12" s="1578" t="s">
        <v>991</v>
      </c>
      <c r="G12" s="1579"/>
      <c r="H12" s="1579"/>
      <c r="I12" s="1584"/>
    </row>
    <row r="13" spans="1:9" ht="15" customHeight="1" x14ac:dyDescent="0.25">
      <c r="A13" s="1791"/>
      <c r="B13" s="1792"/>
      <c r="C13" s="582" t="s">
        <v>252</v>
      </c>
      <c r="D13" s="617"/>
      <c r="E13" s="617"/>
      <c r="F13" s="672"/>
      <c r="I13" s="477"/>
    </row>
    <row r="14" spans="1:9" x14ac:dyDescent="0.25">
      <c r="A14" s="626"/>
      <c r="B14" s="627"/>
      <c r="C14" s="691">
        <v>45917</v>
      </c>
      <c r="D14" s="627"/>
      <c r="E14" s="632"/>
      <c r="F14" s="672"/>
      <c r="G14" s="692"/>
      <c r="H14" s="692"/>
      <c r="I14" s="619" t="str">
        <f>'B 1'!D4</f>
        <v>ADDRESS</v>
      </c>
    </row>
    <row r="15" spans="1:9" x14ac:dyDescent="0.25">
      <c r="A15" s="584" t="s">
        <v>999</v>
      </c>
      <c r="B15" s="1785" t="s">
        <v>280</v>
      </c>
      <c r="C15" s="1785"/>
      <c r="D15" s="1790" t="str">
        <f>F5</f>
        <v>RFP -</v>
      </c>
      <c r="E15" s="1790"/>
      <c r="F15" s="1681" t="s">
        <v>993</v>
      </c>
      <c r="G15" s="1586"/>
      <c r="H15" s="1586"/>
      <c r="I15" s="1682"/>
    </row>
    <row r="16" spans="1:9" ht="3" customHeight="1" x14ac:dyDescent="0.25">
      <c r="A16" s="1580"/>
      <c r="B16" s="1581"/>
      <c r="C16" s="1581"/>
      <c r="D16" s="1581"/>
      <c r="E16" s="1581"/>
      <c r="F16" s="1582"/>
      <c r="G16" s="1582"/>
      <c r="H16" s="1582"/>
      <c r="I16" s="1793"/>
    </row>
    <row r="17" spans="1:9" ht="15" customHeight="1" x14ac:dyDescent="0.25">
      <c r="A17" s="1671" t="s">
        <v>232</v>
      </c>
      <c r="B17" s="1672"/>
      <c r="C17" s="1672"/>
      <c r="D17" s="1672"/>
      <c r="E17" s="1673"/>
      <c r="F17" s="1794" t="s">
        <v>783</v>
      </c>
      <c r="G17" s="1795"/>
      <c r="H17" s="1795"/>
      <c r="I17" s="1796"/>
    </row>
    <row r="18" spans="1:9" ht="17.25" customHeight="1" outlineLevel="1" x14ac:dyDescent="0.25">
      <c r="A18" s="1784" t="s">
        <v>321</v>
      </c>
      <c r="B18" s="1784"/>
      <c r="C18" s="1784"/>
      <c r="D18" s="1784"/>
      <c r="E18" s="1784"/>
      <c r="F18" s="1614" t="s">
        <v>787</v>
      </c>
      <c r="G18" s="1615"/>
      <c r="H18" s="1615"/>
      <c r="I18" s="1615"/>
    </row>
    <row r="19" spans="1:9" ht="15" customHeight="1" outlineLevel="1" x14ac:dyDescent="0.25">
      <c r="A19" s="1778"/>
      <c r="B19" s="1778"/>
      <c r="C19" s="1778"/>
      <c r="D19" s="1778"/>
      <c r="E19" s="1778"/>
      <c r="F19" s="585">
        <f>'Vinyl PO'!F17</f>
        <v>0</v>
      </c>
      <c r="G19" s="1617" t="str">
        <f>'Vinyl PO'!G17</f>
        <v>Vinyl Siding</v>
      </c>
      <c r="H19" s="1622" t="e">
        <f>'B 1'!#REF!</f>
        <v>#REF!</v>
      </c>
      <c r="I19" s="46" t="str">
        <f>'Vinyl PO'!I17</f>
        <v>White</v>
      </c>
    </row>
    <row r="20" spans="1:9" ht="15" customHeight="1" outlineLevel="1" x14ac:dyDescent="0.25">
      <c r="A20" s="1778"/>
      <c r="B20" s="1778"/>
      <c r="C20" s="1778"/>
      <c r="D20" s="1778"/>
      <c r="E20" s="1778"/>
      <c r="F20" s="585">
        <f>'Vinyl PO'!F18</f>
        <v>0</v>
      </c>
      <c r="G20" s="1617" t="str">
        <f>'Vinyl PO'!G18</f>
        <v>Vinyl Trim</v>
      </c>
      <c r="H20" s="1622" t="e">
        <f>'B 1'!#REF!</f>
        <v>#REF!</v>
      </c>
      <c r="I20" s="46" t="str">
        <f>'Vinyl PO'!I18</f>
        <v>White</v>
      </c>
    </row>
    <row r="21" spans="1:9" ht="15" customHeight="1" outlineLevel="1" x14ac:dyDescent="0.25">
      <c r="A21" s="1778" t="s">
        <v>308</v>
      </c>
      <c r="B21" s="1779"/>
      <c r="C21" s="1779"/>
      <c r="D21" s="1779"/>
      <c r="E21" s="1779"/>
      <c r="F21" s="585">
        <f>'Vinyl PO'!F19</f>
        <v>0</v>
      </c>
      <c r="G21" s="1617" t="str">
        <f>'Vinyl PO'!G19</f>
        <v>Vinyl Starter Strip</v>
      </c>
      <c r="H21" s="1622" t="e">
        <f>'B 1'!#REF!</f>
        <v>#REF!</v>
      </c>
      <c r="I21" s="46" t="str">
        <f>'Vinyl PO'!I19</f>
        <v>White</v>
      </c>
    </row>
    <row r="22" spans="1:9" ht="15" customHeight="1" outlineLevel="1" x14ac:dyDescent="0.25">
      <c r="A22" s="1780"/>
      <c r="B22" s="1780"/>
      <c r="C22" s="1780"/>
      <c r="D22" s="1780"/>
      <c r="E22" s="1780"/>
      <c r="F22" s="585">
        <f>'Vinyl PO'!F20</f>
        <v>0</v>
      </c>
      <c r="G22" s="1617" t="str">
        <f>'Vinyl PO'!G20</f>
        <v>Vinyl J-Channel</v>
      </c>
      <c r="H22" s="1622" t="e">
        <f>'B 1'!#REF!</f>
        <v>#REF!</v>
      </c>
      <c r="I22" s="46" t="str">
        <f>'Vinyl PO'!I20</f>
        <v>White</v>
      </c>
    </row>
    <row r="23" spans="1:9" ht="15" customHeight="1" outlineLevel="1" x14ac:dyDescent="0.25">
      <c r="A23" s="1781" t="s">
        <v>855</v>
      </c>
      <c r="B23" s="1782"/>
      <c r="C23" s="1782"/>
      <c r="D23" s="1782"/>
      <c r="E23" s="1783"/>
      <c r="F23" s="585">
        <f>'Vinyl PO'!F21</f>
        <v>0</v>
      </c>
      <c r="G23" s="1617" t="str">
        <f>'Vinyl PO'!G21</f>
        <v>Residential Universal Corner Post</v>
      </c>
      <c r="H23" s="1622" t="e">
        <f>'B 1'!#REF!</f>
        <v>#REF!</v>
      </c>
      <c r="I23" s="46" t="str">
        <f>'Vinyl PO'!I21</f>
        <v>White</v>
      </c>
    </row>
    <row r="24" spans="1:9" ht="15" customHeight="1" x14ac:dyDescent="0.25">
      <c r="A24" s="1653"/>
      <c r="B24" s="1654"/>
      <c r="C24" s="1654"/>
      <c r="D24" s="1654"/>
      <c r="E24" s="1655"/>
      <c r="F24" s="585">
        <f>'Vinyl PO'!F22</f>
        <v>0</v>
      </c>
      <c r="G24" s="1617" t="str">
        <f>'Vinyl PO'!G22</f>
        <v>LP 540 Smart Trim 6"</v>
      </c>
      <c r="H24" s="1622" t="e">
        <f>'B 1'!#REF!</f>
        <v>#REF!</v>
      </c>
      <c r="I24" s="46" t="str">
        <f>'Vinyl PO'!I22</f>
        <v>White</v>
      </c>
    </row>
    <row r="25" spans="1:9" ht="15" customHeight="1" x14ac:dyDescent="0.25">
      <c r="A25" s="1653" t="s">
        <v>856</v>
      </c>
      <c r="B25" s="1654"/>
      <c r="C25" s="1654"/>
      <c r="D25" s="1654"/>
      <c r="E25" s="1655"/>
      <c r="F25" s="585">
        <f>'Vinyl PO'!F23</f>
        <v>0</v>
      </c>
      <c r="G25" s="1617" t="str">
        <f>'Vinyl PO'!G23</f>
        <v>LP 540 Smart Trim - Out Corner</v>
      </c>
      <c r="H25" s="1622" t="e">
        <f>'B 1'!#REF!</f>
        <v>#REF!</v>
      </c>
      <c r="I25" s="46" t="str">
        <f>'Vinyl PO'!I23</f>
        <v>White</v>
      </c>
    </row>
    <row r="26" spans="1:9" ht="15" customHeight="1" x14ac:dyDescent="0.25">
      <c r="A26" s="1653" t="s">
        <v>857</v>
      </c>
      <c r="B26" s="1654"/>
      <c r="C26" s="1654"/>
      <c r="D26" s="1654"/>
      <c r="E26" s="1655"/>
      <c r="F26" s="585">
        <f>'Vinyl PO'!F24</f>
        <v>0</v>
      </c>
      <c r="G26" s="1617" t="str">
        <f>'Vinyl PO'!G24</f>
        <v>Miscellaneous Flashings</v>
      </c>
      <c r="H26" s="1622" t="e">
        <f>'B 1'!#REF!</f>
        <v>#REF!</v>
      </c>
      <c r="I26" s="46" t="str">
        <f>'Vinyl PO'!I24</f>
        <v>Select Colour</v>
      </c>
    </row>
    <row r="27" spans="1:9" ht="15" customHeight="1" x14ac:dyDescent="0.25">
      <c r="A27" s="1653" t="s">
        <v>858</v>
      </c>
      <c r="B27" s="1654"/>
      <c r="C27" s="1654"/>
      <c r="D27" s="1654"/>
      <c r="E27" s="1655"/>
      <c r="F27" s="585">
        <f>'Vinyl PO'!F25</f>
        <v>0</v>
      </c>
      <c r="G27" s="1617" t="str">
        <f>'Vinyl PO'!G25</f>
        <v>Window Head Flashing</v>
      </c>
      <c r="H27" s="1622" t="e">
        <f>'B 1'!#REF!</f>
        <v>#REF!</v>
      </c>
      <c r="I27" s="46" t="str">
        <f>'Vinyl PO'!I25</f>
        <v>Select Colour</v>
      </c>
    </row>
    <row r="28" spans="1:9" ht="15" customHeight="1" x14ac:dyDescent="0.25">
      <c r="A28" s="1653" t="s">
        <v>10090</v>
      </c>
      <c r="B28" s="1654"/>
      <c r="C28" s="1654"/>
      <c r="D28" s="1654"/>
      <c r="E28" s="1655"/>
      <c r="F28" s="585">
        <f>'Vinyl PO'!F26</f>
        <v>0</v>
      </c>
      <c r="G28" s="1617" t="str">
        <f>'Vinyl PO'!G26</f>
        <v>Window Sill Trim Flashing</v>
      </c>
      <c r="H28" s="1622" t="e">
        <f>'B 1'!#REF!</f>
        <v>#REF!</v>
      </c>
      <c r="I28" s="46" t="str">
        <f>'Vinyl PO'!I26</f>
        <v>Select Colour</v>
      </c>
    </row>
    <row r="29" spans="1:9" ht="15" customHeight="1" x14ac:dyDescent="0.25">
      <c r="A29" s="1653" t="s">
        <v>859</v>
      </c>
      <c r="B29" s="1654"/>
      <c r="C29" s="1654"/>
      <c r="D29" s="1654"/>
      <c r="E29" s="1655"/>
      <c r="F29" s="585">
        <f>'Vinyl PO'!F27</f>
        <v>0</v>
      </c>
      <c r="G29" s="1617" t="str">
        <f>'Vinyl PO'!G27</f>
        <v>Starter Base Flashing</v>
      </c>
      <c r="H29" s="1622" t="e">
        <f>'B 1'!#REF!</f>
        <v>#REF!</v>
      </c>
      <c r="I29" s="46" t="str">
        <f>'Vinyl PO'!I27</f>
        <v>Select Colour</v>
      </c>
    </row>
    <row r="30" spans="1:9" ht="15" customHeight="1" x14ac:dyDescent="0.25">
      <c r="A30" s="576"/>
      <c r="B30" s="574"/>
      <c r="C30" s="574"/>
      <c r="D30" s="574"/>
      <c r="E30" s="577"/>
      <c r="F30" s="585">
        <f>'Vinyl PO'!F28</f>
        <v>0</v>
      </c>
      <c r="G30" s="1621" t="str">
        <f>'Vinyl PO'!G28</f>
        <v>Select Envelope Wrap</v>
      </c>
      <c r="H30" s="1617"/>
      <c r="I30" s="1622"/>
    </row>
    <row r="31" spans="1:9" x14ac:dyDescent="0.25">
      <c r="A31" s="576"/>
      <c r="B31" s="574"/>
      <c r="C31" s="574"/>
      <c r="D31" s="574"/>
      <c r="E31" s="577"/>
      <c r="F31" s="585">
        <f>'Vinyl PO'!F29</f>
        <v>0</v>
      </c>
      <c r="G31" s="1621" t="str">
        <f>'Vinyl PO'!G29</f>
        <v>Select Self Adhearing Membrane</v>
      </c>
      <c r="H31" s="1617" t="e">
        <f>'B 1'!#REF!</f>
        <v>#REF!</v>
      </c>
      <c r="I31" s="1622" t="str">
        <f>'Vinyl PO'!I29</f>
        <v>White</v>
      </c>
    </row>
    <row r="32" spans="1:9" ht="15" customHeight="1" x14ac:dyDescent="0.25">
      <c r="A32" s="672"/>
      <c r="E32" s="673"/>
      <c r="F32" s="585">
        <f>'Vinyl PO'!F30</f>
        <v>0</v>
      </c>
      <c r="G32" s="1621" t="str">
        <f>'Vinyl PO'!G30</f>
        <v>Tuck Tape</v>
      </c>
      <c r="H32" s="1617" t="e">
        <f>'B 1'!#REF!</f>
        <v>#REF!</v>
      </c>
      <c r="I32" s="1622" t="str">
        <f>'Vinyl PO'!I30</f>
        <v>White</v>
      </c>
    </row>
    <row r="33" spans="1:9" x14ac:dyDescent="0.25">
      <c r="A33" s="674"/>
      <c r="B33" s="675"/>
      <c r="C33" s="675"/>
      <c r="D33" s="675"/>
      <c r="E33" s="676"/>
      <c r="F33" s="585">
        <f>'Vinyl PO'!F31</f>
        <v>0</v>
      </c>
      <c r="G33" s="1617" t="str">
        <f>'Vinyl PO'!G31</f>
        <v>Plug Mount</v>
      </c>
      <c r="H33" s="1622" t="e">
        <f>'B 1'!#REF!</f>
        <v>#REF!</v>
      </c>
      <c r="I33" s="46" t="str">
        <f>'Vinyl PO'!I31</f>
        <v>White</v>
      </c>
    </row>
    <row r="34" spans="1:9" x14ac:dyDescent="0.25">
      <c r="A34" s="1775" t="s">
        <v>322</v>
      </c>
      <c r="B34" s="1776"/>
      <c r="C34" s="1776"/>
      <c r="D34" s="1776"/>
      <c r="E34" s="1777"/>
      <c r="F34" s="597">
        <f>'Vinyl PO'!F32</f>
        <v>0</v>
      </c>
      <c r="G34" s="1617" t="str">
        <f>'Vinyl PO'!G32</f>
        <v>Hose Bib Mount</v>
      </c>
      <c r="H34" s="1622" t="e">
        <f>'B 1'!#REF!</f>
        <v>#REF!</v>
      </c>
      <c r="I34" s="46" t="str">
        <f>'Vinyl PO'!I32</f>
        <v>White</v>
      </c>
    </row>
    <row r="35" spans="1:9" ht="15" customHeight="1" x14ac:dyDescent="0.25">
      <c r="A35" s="1598"/>
      <c r="B35" s="1599"/>
      <c r="C35" s="1599"/>
      <c r="D35" s="1599"/>
      <c r="E35" s="1600"/>
      <c r="F35" s="597">
        <f>'Vinyl PO'!F33</f>
        <v>0</v>
      </c>
      <c r="G35" s="1617" t="str">
        <f>'Vinyl PO'!G33</f>
        <v>Light Mount</v>
      </c>
      <c r="H35" s="1622" t="e">
        <f>'B 1'!#REF!</f>
        <v>#REF!</v>
      </c>
      <c r="I35" s="46" t="str">
        <f>'Vinyl PO'!I33</f>
        <v>White</v>
      </c>
    </row>
    <row r="36" spans="1:9" x14ac:dyDescent="0.25">
      <c r="A36" s="1462"/>
      <c r="B36" s="1463"/>
      <c r="C36" s="1463"/>
      <c r="D36" s="1463"/>
      <c r="E36" s="1601"/>
      <c r="F36" s="597">
        <f>'Vinyl PO'!F34</f>
        <v>0</v>
      </c>
      <c r="G36" s="1617" t="str">
        <f>'Vinyl PO'!G34</f>
        <v>Fasteners - 2 1/4" Coil Nails - 4.5M/Box</v>
      </c>
      <c r="H36" s="1622" t="e">
        <f>'B 1'!#REF!</f>
        <v>#REF!</v>
      </c>
      <c r="I36" s="46" t="str">
        <f>'Vinyl PO'!I34</f>
        <v>White</v>
      </c>
    </row>
    <row r="37" spans="1:9" x14ac:dyDescent="0.25">
      <c r="A37" s="1462"/>
      <c r="B37" s="1463"/>
      <c r="C37" s="1463"/>
      <c r="D37" s="1463"/>
      <c r="E37" s="1601"/>
      <c r="F37" s="597">
        <f>'Vinyl PO'!F35</f>
        <v>0</v>
      </c>
      <c r="G37" s="1617" t="str">
        <f>'Vinyl PO'!G35</f>
        <v>Caulking - Quad Max (Coloured)</v>
      </c>
      <c r="H37" s="1622" t="e">
        <f>'B 1'!#REF!</f>
        <v>#REF!</v>
      </c>
      <c r="I37" s="46" t="str">
        <f>'Vinyl PO'!I35</f>
        <v>White</v>
      </c>
    </row>
    <row r="38" spans="1:9" ht="15" customHeight="1" x14ac:dyDescent="0.25">
      <c r="A38" s="1462"/>
      <c r="B38" s="1463"/>
      <c r="C38" s="1463"/>
      <c r="D38" s="1463"/>
      <c r="E38" s="1601"/>
      <c r="F38" s="597">
        <f>'Vinyl PO'!F36</f>
        <v>0</v>
      </c>
      <c r="G38" s="1617" t="str">
        <f>'Vinyl PO'!G36</f>
        <v>L trim 28ga.</v>
      </c>
      <c r="H38" s="1622" t="e">
        <f>'B 1'!#REF!</f>
        <v>#REF!</v>
      </c>
      <c r="I38" s="46" t="str">
        <f>'Vinyl PO'!I36</f>
        <v>White</v>
      </c>
    </row>
    <row r="39" spans="1:9" x14ac:dyDescent="0.25">
      <c r="A39" s="1462"/>
      <c r="B39" s="1463"/>
      <c r="C39" s="1463"/>
      <c r="D39" s="1463"/>
      <c r="E39" s="1601"/>
      <c r="F39" s="597">
        <f>'Vinyl PO'!F37</f>
        <v>0</v>
      </c>
      <c r="G39" s="1617" t="str">
        <f>'Vinyl PO'!G37</f>
        <v>James Hardie Siding</v>
      </c>
      <c r="H39" s="1622" t="e">
        <f>'B 1'!#REF!</f>
        <v>#REF!</v>
      </c>
      <c r="I39" s="46" t="str">
        <f>'Vinyl PO'!I37</f>
        <v>White</v>
      </c>
    </row>
    <row r="40" spans="1:9" x14ac:dyDescent="0.25">
      <c r="A40" s="1462"/>
      <c r="B40" s="1463"/>
      <c r="C40" s="1463"/>
      <c r="D40" s="1463"/>
      <c r="E40" s="1601"/>
      <c r="F40" s="597">
        <f>'Vinyl PO'!F38</f>
        <v>0</v>
      </c>
      <c r="G40" s="1617" t="str">
        <f>'Vinyl PO'!G38</f>
        <v>Select Hardie Plank</v>
      </c>
      <c r="H40" s="1622" t="e">
        <f>'B 1'!#REF!</f>
        <v>#REF!</v>
      </c>
      <c r="I40" s="46" t="str">
        <f>'Vinyl PO'!I38</f>
        <v>White</v>
      </c>
    </row>
    <row r="41" spans="1:9" ht="15" customHeight="1" x14ac:dyDescent="0.25">
      <c r="A41" s="1462"/>
      <c r="B41" s="1463"/>
      <c r="C41" s="1463"/>
      <c r="D41" s="1463"/>
      <c r="E41" s="1601"/>
      <c r="F41" s="597">
        <f>'Vinyl PO'!F39</f>
        <v>0</v>
      </c>
      <c r="G41" s="1617" t="str">
        <f>'Vinyl PO'!G39</f>
        <v>Select Shakes ColorPlus</v>
      </c>
      <c r="H41" s="1622" t="e">
        <f>'B 1'!#REF!</f>
        <v>#REF!</v>
      </c>
      <c r="I41" s="46" t="str">
        <f>'Vinyl PO'!I39</f>
        <v>White</v>
      </c>
    </row>
    <row r="42" spans="1:9" x14ac:dyDescent="0.25">
      <c r="A42" s="1462"/>
      <c r="B42" s="1463"/>
      <c r="C42" s="1463"/>
      <c r="D42" s="1463"/>
      <c r="E42" s="1601"/>
      <c r="F42" s="597">
        <f>'Vinyl PO'!F40</f>
        <v>0</v>
      </c>
      <c r="G42" s="1621" t="str">
        <f>'Vinyl PO'!G40</f>
        <v>Polyiso EnerAir 1/2- 4'x8'</v>
      </c>
      <c r="H42" s="1617" t="e">
        <f>'B 1'!#REF!</f>
        <v>#REF!</v>
      </c>
      <c r="I42" s="1622" t="str">
        <f>'Vinyl PO'!I40</f>
        <v>White</v>
      </c>
    </row>
    <row r="43" spans="1:9" x14ac:dyDescent="0.25">
      <c r="A43" s="1462"/>
      <c r="B43" s="1463"/>
      <c r="C43" s="1463"/>
      <c r="D43" s="1463"/>
      <c r="E43" s="1601"/>
      <c r="F43" s="1598"/>
      <c r="G43" s="1599"/>
      <c r="H43" s="1599"/>
      <c r="I43" s="1600"/>
    </row>
    <row r="44" spans="1:9" ht="15" customHeight="1" x14ac:dyDescent="0.25">
      <c r="A44" s="1462"/>
      <c r="B44" s="1463"/>
      <c r="C44" s="1463"/>
      <c r="D44" s="1463"/>
      <c r="E44" s="1601"/>
      <c r="F44" s="1462"/>
      <c r="G44" s="1463"/>
      <c r="H44" s="1463"/>
      <c r="I44" s="1601"/>
    </row>
    <row r="45" spans="1:9" ht="15" customHeight="1" x14ac:dyDescent="0.25">
      <c r="A45" s="1462"/>
      <c r="B45" s="1463"/>
      <c r="C45" s="1463"/>
      <c r="D45" s="1463"/>
      <c r="E45" s="1601"/>
      <c r="F45" s="1462"/>
      <c r="G45" s="1463"/>
      <c r="H45" s="1463"/>
      <c r="I45" s="1601"/>
    </row>
    <row r="46" spans="1:9" x14ac:dyDescent="0.25">
      <c r="A46" s="1462"/>
      <c r="B46" s="1463"/>
      <c r="C46" s="1463"/>
      <c r="D46" s="1463"/>
      <c r="E46" s="1601"/>
      <c r="F46" s="1462"/>
      <c r="G46" s="1463"/>
      <c r="H46" s="1463"/>
      <c r="I46" s="1601"/>
    </row>
    <row r="47" spans="1:9" ht="15" customHeight="1" x14ac:dyDescent="0.25">
      <c r="A47" s="1462"/>
      <c r="B47" s="1463"/>
      <c r="C47" s="1463"/>
      <c r="D47" s="1463"/>
      <c r="E47" s="1601"/>
      <c r="F47" s="1463"/>
      <c r="G47" s="1463"/>
      <c r="H47" s="1463"/>
      <c r="I47" s="1601"/>
    </row>
    <row r="48" spans="1:9" ht="15" customHeight="1" x14ac:dyDescent="0.25">
      <c r="A48" s="1462"/>
      <c r="B48" s="1463"/>
      <c r="C48" s="1463"/>
      <c r="D48" s="1463"/>
      <c r="E48" s="1601"/>
      <c r="F48" s="1463"/>
      <c r="G48" s="1463"/>
      <c r="H48" s="1463"/>
      <c r="I48" s="1601"/>
    </row>
    <row r="49" spans="1:9" ht="15" customHeight="1" x14ac:dyDescent="0.25">
      <c r="A49" s="1602"/>
      <c r="B49" s="1603"/>
      <c r="C49" s="1603"/>
      <c r="D49" s="1603"/>
      <c r="E49" s="1604"/>
      <c r="F49" s="1463"/>
      <c r="G49" s="1463"/>
      <c r="H49" s="1463"/>
      <c r="I49" s="1601"/>
    </row>
    <row r="50" spans="1:9" ht="15" customHeight="1" x14ac:dyDescent="0.25">
      <c r="A50" s="1763" t="s">
        <v>324</v>
      </c>
      <c r="B50" s="1764"/>
      <c r="C50" s="586">
        <f>'B 1'!D279</f>
        <v>1.1000000000000001E-5</v>
      </c>
      <c r="D50" s="587" t="s">
        <v>325</v>
      </c>
      <c r="E50" s="588"/>
      <c r="F50" s="1602"/>
      <c r="G50" s="1603"/>
      <c r="H50" s="1603"/>
      <c r="I50" s="1604"/>
    </row>
    <row r="51" spans="1:9" x14ac:dyDescent="0.25">
      <c r="A51" s="1765" t="s">
        <v>780</v>
      </c>
      <c r="B51" s="1766"/>
      <c r="C51" s="1766"/>
      <c r="D51" s="1766"/>
      <c r="E51" s="1767"/>
      <c r="F51" s="1597"/>
      <c r="G51" s="1597"/>
      <c r="H51" s="1597"/>
      <c r="I51" s="1597"/>
    </row>
    <row r="52" spans="1:9" ht="3" customHeight="1" x14ac:dyDescent="0.25">
      <c r="A52" s="1580"/>
      <c r="B52" s="1581"/>
      <c r="C52" s="1581"/>
      <c r="D52" s="1581"/>
      <c r="E52" s="1581"/>
      <c r="F52" s="1581"/>
      <c r="G52" s="1581"/>
      <c r="H52" s="1581"/>
      <c r="I52" s="1583"/>
    </row>
    <row r="55" spans="1:9" x14ac:dyDescent="0.25">
      <c r="H55" s="589"/>
      <c r="I55" s="48"/>
    </row>
    <row r="56" spans="1:9" x14ac:dyDescent="0.25">
      <c r="H56" s="590"/>
      <c r="I56" s="49"/>
    </row>
    <row r="57" spans="1:9" x14ac:dyDescent="0.25">
      <c r="H57" s="590"/>
      <c r="I57" s="49"/>
    </row>
    <row r="58" spans="1:9" x14ac:dyDescent="0.25">
      <c r="H58" s="590"/>
      <c r="I58" s="49"/>
    </row>
    <row r="59" spans="1:9" x14ac:dyDescent="0.25">
      <c r="H59" s="590"/>
      <c r="I59" s="49"/>
    </row>
    <row r="62" spans="1:9" x14ac:dyDescent="0.25">
      <c r="A62" s="590"/>
      <c r="B62" s="590"/>
      <c r="C62" s="590"/>
      <c r="D62" s="590"/>
      <c r="E62" s="590"/>
      <c r="F62" s="590"/>
      <c r="G62" s="590"/>
      <c r="H62" s="590"/>
      <c r="I62" s="49"/>
    </row>
    <row r="64" spans="1:9" x14ac:dyDescent="0.25">
      <c r="A64" s="590"/>
      <c r="F64" s="590"/>
    </row>
    <row r="65" spans="1:9" x14ac:dyDescent="0.25">
      <c r="A65" s="590"/>
      <c r="F65" s="590"/>
    </row>
    <row r="66" spans="1:9" x14ac:dyDescent="0.25">
      <c r="A66" s="590"/>
      <c r="F66" s="590"/>
    </row>
    <row r="67" spans="1:9" x14ac:dyDescent="0.25">
      <c r="A67" s="590"/>
      <c r="F67" s="590"/>
    </row>
    <row r="68" spans="1:9" x14ac:dyDescent="0.25">
      <c r="A68" s="590"/>
      <c r="D68" s="47"/>
      <c r="E68" s="47"/>
      <c r="F68" s="590"/>
      <c r="G68" s="47"/>
      <c r="H68" s="47"/>
    </row>
    <row r="69" spans="1:9" x14ac:dyDescent="0.25">
      <c r="A69" s="590"/>
      <c r="B69" s="590"/>
      <c r="C69" s="590"/>
      <c r="D69" s="590"/>
      <c r="E69" s="590"/>
      <c r="F69" s="590"/>
      <c r="G69" s="590"/>
      <c r="H69" s="590"/>
      <c r="I69" s="49"/>
    </row>
    <row r="71" spans="1:9" x14ac:dyDescent="0.25">
      <c r="A71" s="590"/>
      <c r="B71" s="590"/>
      <c r="C71" s="590"/>
      <c r="D71" s="590"/>
      <c r="E71" s="49"/>
      <c r="F71" s="590"/>
      <c r="G71" s="590"/>
      <c r="H71" s="590"/>
      <c r="I71" s="49"/>
    </row>
  </sheetData>
  <mergeCells count="72">
    <mergeCell ref="G21:H21"/>
    <mergeCell ref="A16:I16"/>
    <mergeCell ref="A17:E17"/>
    <mergeCell ref="F17:I17"/>
    <mergeCell ref="F18:I18"/>
    <mergeCell ref="G19:H19"/>
    <mergeCell ref="A18:E20"/>
    <mergeCell ref="G20:H20"/>
    <mergeCell ref="D15:E15"/>
    <mergeCell ref="F12:I12"/>
    <mergeCell ref="F15:I15"/>
    <mergeCell ref="B15:C15"/>
    <mergeCell ref="A13:B13"/>
    <mergeCell ref="G40:H40"/>
    <mergeCell ref="G41:H41"/>
    <mergeCell ref="A52:I52"/>
    <mergeCell ref="F43:I43"/>
    <mergeCell ref="F44:I44"/>
    <mergeCell ref="F45:I45"/>
    <mergeCell ref="F46:I46"/>
    <mergeCell ref="F47:I47"/>
    <mergeCell ref="A51:E51"/>
    <mergeCell ref="F51:I51"/>
    <mergeCell ref="F49:I49"/>
    <mergeCell ref="A50:B50"/>
    <mergeCell ref="F48:I48"/>
    <mergeCell ref="F50:I50"/>
    <mergeCell ref="G35:H35"/>
    <mergeCell ref="G36:H36"/>
    <mergeCell ref="G22:H22"/>
    <mergeCell ref="G23:H23"/>
    <mergeCell ref="G25:H25"/>
    <mergeCell ref="G24:H24"/>
    <mergeCell ref="A1:D7"/>
    <mergeCell ref="E1:I1"/>
    <mergeCell ref="E2:I2"/>
    <mergeCell ref="E3:I3"/>
    <mergeCell ref="E4:I4"/>
    <mergeCell ref="E5:E7"/>
    <mergeCell ref="F5:I7"/>
    <mergeCell ref="G37:H37"/>
    <mergeCell ref="G38:H38"/>
    <mergeCell ref="G39:H39"/>
    <mergeCell ref="A10:B10"/>
    <mergeCell ref="C10:D10"/>
    <mergeCell ref="A11:B11"/>
    <mergeCell ref="C11:E11"/>
    <mergeCell ref="H11:I11"/>
    <mergeCell ref="F10:G10"/>
    <mergeCell ref="H10:I10"/>
    <mergeCell ref="A35:E49"/>
    <mergeCell ref="G34:H34"/>
    <mergeCell ref="A28:E28"/>
    <mergeCell ref="G26:H26"/>
    <mergeCell ref="G42:I42"/>
    <mergeCell ref="G32:I32"/>
    <mergeCell ref="F8:I8"/>
    <mergeCell ref="A34:E34"/>
    <mergeCell ref="A25:E25"/>
    <mergeCell ref="A26:E26"/>
    <mergeCell ref="G33:H33"/>
    <mergeCell ref="G27:H27"/>
    <mergeCell ref="G28:H28"/>
    <mergeCell ref="G29:H29"/>
    <mergeCell ref="A27:E27"/>
    <mergeCell ref="A29:E29"/>
    <mergeCell ref="G30:I30"/>
    <mergeCell ref="G31:I31"/>
    <mergeCell ref="A9:I9"/>
    <mergeCell ref="A21:E22"/>
    <mergeCell ref="A23:E24"/>
    <mergeCell ref="B12:E12"/>
  </mergeCells>
  <pageMargins left="0.7" right="0.7" top="0.75" bottom="0.75" header="0.3" footer="0.3"/>
  <pageSetup scale="91" fitToHeight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15D584D-CD35-431D-8494-2CA3E694B226}">
          <x14:formula1>
            <xm:f>'R Data'!$W$60:$W$72</xm:f>
          </x14:formula1>
          <xm:sqref>C10:D10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8F0F5A-3C02-4248-9650-8BD3075812EC}">
  <sheetPr codeName="Sheet11">
    <tabColor theme="4" tint="0.59999389629810485"/>
    <pageSetUpPr fitToPage="1"/>
  </sheetPr>
  <dimension ref="A1:P71"/>
  <sheetViews>
    <sheetView workbookViewId="0">
      <selection activeCell="A8" sqref="A8:D8"/>
    </sheetView>
  </sheetViews>
  <sheetFormatPr defaultRowHeight="15" x14ac:dyDescent="0.25"/>
  <cols>
    <col min="1" max="1" width="7.42578125" style="359" customWidth="1"/>
    <col min="2" max="2" width="11.42578125" style="359" customWidth="1"/>
    <col min="3" max="4" width="9.140625" style="359"/>
    <col min="5" max="5" width="15.28515625" style="359" customWidth="1"/>
    <col min="6" max="6" width="8.42578125" style="359" customWidth="1"/>
    <col min="7" max="8" width="10.28515625" style="359" customWidth="1"/>
    <col min="9" max="9" width="15.7109375" style="47" customWidth="1"/>
    <col min="10" max="16384" width="9.140625" style="359"/>
  </cols>
  <sheetData>
    <row r="1" spans="1:9" x14ac:dyDescent="0.25">
      <c r="A1" s="1463"/>
      <c r="B1" s="1463"/>
      <c r="C1" s="1463"/>
      <c r="D1" s="1463"/>
      <c r="E1" s="1463"/>
      <c r="F1" s="1463"/>
      <c r="G1" s="1463"/>
      <c r="H1" s="1463"/>
      <c r="I1" s="1463"/>
    </row>
    <row r="2" spans="1:9" x14ac:dyDescent="0.25">
      <c r="A2" s="1463"/>
      <c r="B2" s="1463"/>
      <c r="C2" s="1463"/>
      <c r="D2" s="1463"/>
      <c r="E2" s="1640" t="s">
        <v>776</v>
      </c>
      <c r="F2" s="1640"/>
      <c r="G2" s="1640"/>
      <c r="H2" s="1640"/>
      <c r="I2" s="1640"/>
    </row>
    <row r="3" spans="1:9" x14ac:dyDescent="0.25">
      <c r="A3" s="1463"/>
      <c r="B3" s="1463"/>
      <c r="C3" s="1463"/>
      <c r="D3" s="1463"/>
      <c r="E3" s="1639" t="s">
        <v>777</v>
      </c>
      <c r="F3" s="1639"/>
      <c r="G3" s="1639"/>
      <c r="H3" s="1639"/>
      <c r="I3" s="1639"/>
    </row>
    <row r="4" spans="1:9" x14ac:dyDescent="0.25">
      <c r="A4" s="1463"/>
      <c r="B4" s="1463"/>
      <c r="C4" s="1463"/>
      <c r="D4" s="1463"/>
      <c r="E4" s="1640" t="s">
        <v>228</v>
      </c>
      <c r="F4" s="1640"/>
      <c r="G4" s="1640"/>
      <c r="H4" s="1640"/>
      <c r="I4" s="1640"/>
    </row>
    <row r="5" spans="1:9" x14ac:dyDescent="0.25">
      <c r="A5" s="1463"/>
      <c r="B5" s="1463"/>
      <c r="C5" s="1463"/>
      <c r="D5" s="1463"/>
      <c r="E5" s="1641" t="s">
        <v>10087</v>
      </c>
      <c r="F5" s="1641" t="str">
        <f>'B 1'!R1</f>
        <v>RFP -</v>
      </c>
      <c r="G5" s="1641"/>
      <c r="H5" s="1641"/>
      <c r="I5" s="1641"/>
    </row>
    <row r="6" spans="1:9" x14ac:dyDescent="0.25">
      <c r="A6" s="1463"/>
      <c r="B6" s="1463"/>
      <c r="C6" s="1463"/>
      <c r="D6" s="1463"/>
      <c r="E6" s="1641"/>
      <c r="F6" s="1641"/>
      <c r="G6" s="1641"/>
      <c r="H6" s="1641"/>
      <c r="I6" s="1641"/>
    </row>
    <row r="7" spans="1:9" x14ac:dyDescent="0.25">
      <c r="A7" s="1463"/>
      <c r="B7" s="1463"/>
      <c r="C7" s="1463"/>
      <c r="D7" s="1463"/>
      <c r="E7" s="1641"/>
      <c r="F7" s="1641"/>
      <c r="G7" s="1641"/>
      <c r="H7" s="1641"/>
      <c r="I7" s="1641"/>
    </row>
    <row r="8" spans="1:9" ht="18.75" x14ac:dyDescent="0.25">
      <c r="A8" s="1643" t="str" cm="1">
        <f t="array" aca="1" ref="A8" ca="1">MID(CELL("filename",A1),FIND("]",CELL("filename",A1))+1,255)</f>
        <v>ET PO</v>
      </c>
      <c r="B8" s="1643"/>
      <c r="C8" s="1643"/>
      <c r="D8" s="1643"/>
      <c r="E8" s="842"/>
      <c r="F8" s="1643" t="s">
        <v>793</v>
      </c>
      <c r="G8" s="1643"/>
      <c r="H8" s="1643"/>
      <c r="I8" s="1643"/>
    </row>
    <row r="9" spans="1:9" ht="3" customHeight="1" x14ac:dyDescent="0.25">
      <c r="A9" s="1580"/>
      <c r="B9" s="1581"/>
      <c r="C9" s="1581"/>
      <c r="D9" s="1581"/>
      <c r="E9" s="1581"/>
      <c r="F9" s="1581"/>
      <c r="G9" s="1581"/>
      <c r="H9" s="1581"/>
      <c r="I9" s="1583"/>
    </row>
    <row r="10" spans="1:9" x14ac:dyDescent="0.25">
      <c r="A10" s="1578" t="s">
        <v>305</v>
      </c>
      <c r="B10" s="1579"/>
      <c r="C10" s="1635" t="str">
        <f>'B 1'!S3</f>
        <v>Dwight Cameron 403-492-9351 dwight@megaroofing.ca</v>
      </c>
      <c r="D10" s="1635"/>
      <c r="E10" s="1636"/>
      <c r="F10" s="1578" t="s">
        <v>230</v>
      </c>
      <c r="G10" s="1579"/>
      <c r="H10" s="1644">
        <f ca="1">TODAY()</f>
        <v>46240</v>
      </c>
      <c r="I10" s="1645"/>
    </row>
    <row r="11" spans="1:9" ht="15" customHeight="1" x14ac:dyDescent="0.25">
      <c r="A11" s="1633"/>
      <c r="B11" s="1634"/>
      <c r="C11" s="1637"/>
      <c r="D11" s="1637"/>
      <c r="E11" s="1638"/>
      <c r="F11" s="591" t="s">
        <v>994</v>
      </c>
      <c r="G11" s="592"/>
      <c r="H11" s="1631" t="str">
        <f>'B 1'!D2</f>
        <v>Company Name</v>
      </c>
      <c r="I11" s="1632"/>
    </row>
    <row r="12" spans="1:9" ht="15" customHeight="1" x14ac:dyDescent="0.25">
      <c r="A12" s="1589"/>
      <c r="B12" s="1590"/>
      <c r="C12" s="1590"/>
      <c r="D12" s="1590"/>
      <c r="E12" s="1591"/>
      <c r="F12" s="1578" t="s">
        <v>991</v>
      </c>
      <c r="G12" s="1579"/>
      <c r="H12" s="1579"/>
      <c r="I12" s="1584"/>
    </row>
    <row r="13" spans="1:9" ht="15" customHeight="1" x14ac:dyDescent="0.25">
      <c r="A13" s="1592"/>
      <c r="B13" s="1593"/>
      <c r="C13" s="1593"/>
      <c r="D13" s="1593"/>
      <c r="E13" s="1594"/>
      <c r="F13" s="1585" t="str">
        <f>'B 1'!D4</f>
        <v>ADDRESS</v>
      </c>
      <c r="G13" s="1586"/>
      <c r="H13" s="1586"/>
      <c r="I13" s="593" t="s">
        <v>993</v>
      </c>
    </row>
    <row r="14" spans="1:9" ht="3" customHeight="1" x14ac:dyDescent="0.25">
      <c r="A14" s="1580"/>
      <c r="B14" s="1581"/>
      <c r="C14" s="1581"/>
      <c r="D14" s="1581"/>
      <c r="E14" s="1581"/>
      <c r="F14" s="1581"/>
      <c r="G14" s="1581"/>
      <c r="H14" s="1581"/>
      <c r="I14" s="1583"/>
    </row>
    <row r="15" spans="1:9" ht="17.25" customHeight="1" x14ac:dyDescent="0.25">
      <c r="A15" s="1626" t="s">
        <v>794</v>
      </c>
      <c r="B15" s="1627"/>
      <c r="C15" s="1715" t="str">
        <f>F5</f>
        <v>RFP -</v>
      </c>
      <c r="D15" s="1715"/>
      <c r="E15" s="1716"/>
      <c r="F15" s="1587" t="s">
        <v>307</v>
      </c>
      <c r="G15" s="1588"/>
      <c r="H15" s="1588"/>
      <c r="I15" s="1588"/>
    </row>
    <row r="16" spans="1:9" ht="15" customHeight="1" x14ac:dyDescent="0.25">
      <c r="A16" s="1626" t="s">
        <v>1251</v>
      </c>
      <c r="B16" s="1627"/>
      <c r="C16" s="570"/>
      <c r="D16" s="570"/>
      <c r="E16" s="573">
        <v>45917</v>
      </c>
      <c r="F16" s="612" t="s">
        <v>196</v>
      </c>
      <c r="G16" s="613" t="s">
        <v>236</v>
      </c>
      <c r="H16" s="613"/>
      <c r="I16" s="614" t="s">
        <v>234</v>
      </c>
    </row>
    <row r="17" spans="1:16" ht="15" customHeight="1" x14ac:dyDescent="0.25">
      <c r="A17" s="1626" t="s">
        <v>1249</v>
      </c>
      <c r="B17" s="1627"/>
      <c r="C17" s="1623" t="s">
        <v>1250</v>
      </c>
      <c r="D17" s="1623"/>
      <c r="E17" s="1760"/>
      <c r="F17" s="615">
        <f>'B 1'!J124</f>
        <v>0</v>
      </c>
      <c r="G17" s="1617" t="str">
        <f>'B 1'!C124</f>
        <v>Select Fascia</v>
      </c>
      <c r="H17" s="1617"/>
      <c r="I17" s="616" t="s">
        <v>131</v>
      </c>
    </row>
    <row r="18" spans="1:16" ht="15" customHeight="1" x14ac:dyDescent="0.25">
      <c r="A18" s="1626" t="s">
        <v>1252</v>
      </c>
      <c r="B18" s="1627"/>
      <c r="C18" s="570"/>
      <c r="D18" s="572"/>
      <c r="E18" s="573">
        <v>45917</v>
      </c>
      <c r="F18" s="615">
        <f>'B 1'!J125</f>
        <v>0</v>
      </c>
      <c r="G18" s="1617" t="str">
        <f>'B 1'!C125</f>
        <v>Gabel Trim (10' long)</v>
      </c>
      <c r="H18" s="1617"/>
      <c r="I18" s="109" t="str">
        <f>$I$17</f>
        <v>Wolf White</v>
      </c>
      <c r="L18" s="600"/>
      <c r="M18" s="600"/>
      <c r="N18" s="600"/>
      <c r="O18" s="600"/>
      <c r="P18" s="600"/>
    </row>
    <row r="19" spans="1:16" ht="15" customHeight="1" x14ac:dyDescent="0.25">
      <c r="A19" s="1628" t="s">
        <v>10086</v>
      </c>
      <c r="B19" s="1629"/>
      <c r="C19" s="1629"/>
      <c r="D19" s="1629"/>
      <c r="E19" s="1630"/>
      <c r="F19" s="615">
        <f>'B 1'!J126</f>
        <v>0</v>
      </c>
      <c r="G19" s="1617" t="str">
        <f>'B 1'!C126</f>
        <v>Eavestrough 5"</v>
      </c>
      <c r="H19" s="1617"/>
      <c r="I19" s="109" t="str">
        <f t="shared" ref="I19:I30" si="0">$I$17</f>
        <v>Wolf White</v>
      </c>
    </row>
    <row r="20" spans="1:16" ht="15" customHeight="1" x14ac:dyDescent="0.25">
      <c r="A20" s="1562" t="str">
        <f>VLOOKUP(A19,'R Data'!W2:X11,2,FALSE)</f>
        <v>lisa.darwent@abcsupply.com</v>
      </c>
      <c r="B20" s="1563"/>
      <c r="C20" s="1563"/>
      <c r="D20" s="1563"/>
      <c r="E20" s="1564"/>
      <c r="F20" s="615">
        <f>'B 1'!J127</f>
        <v>0</v>
      </c>
      <c r="G20" s="1617" t="str">
        <f>'B 1'!C127</f>
        <v>5" Hanger</v>
      </c>
      <c r="H20" s="1617"/>
      <c r="I20" s="109" t="s">
        <v>792</v>
      </c>
    </row>
    <row r="21" spans="1:16" ht="15" customHeight="1" x14ac:dyDescent="0.25">
      <c r="A21" s="1562" t="str">
        <f>VLOOKUP(A20,'R Data'!X2:Y11,2,FALSE)</f>
        <v xml:space="preserve">10340-50 St. SE </v>
      </c>
      <c r="B21" s="1563"/>
      <c r="C21" s="1563"/>
      <c r="D21" s="1563"/>
      <c r="E21" s="1564"/>
      <c r="F21" s="615">
        <f>'B 1'!J128</f>
        <v>0</v>
      </c>
      <c r="G21" s="1617" t="str">
        <f>'B 1'!C128</f>
        <v>5" End Cap</v>
      </c>
      <c r="H21" s="1617"/>
      <c r="I21" s="109" t="str">
        <f t="shared" si="0"/>
        <v>Wolf White</v>
      </c>
      <c r="L21" s="600"/>
      <c r="M21" s="600"/>
      <c r="N21" s="600"/>
      <c r="O21" s="600"/>
      <c r="P21" s="600"/>
    </row>
    <row r="22" spans="1:16" ht="15" customHeight="1" x14ac:dyDescent="0.25">
      <c r="A22" s="1618" t="s">
        <v>306</v>
      </c>
      <c r="B22" s="1619"/>
      <c r="C22" s="1619"/>
      <c r="D22" s="1619"/>
      <c r="E22" s="1620"/>
      <c r="F22" s="615">
        <f>'B 1'!J129</f>
        <v>0</v>
      </c>
      <c r="G22" s="1617" t="str">
        <f>'B 1'!C129</f>
        <v>Miters</v>
      </c>
      <c r="H22" s="1617"/>
      <c r="I22" s="109" t="str">
        <f t="shared" si="0"/>
        <v>Wolf White</v>
      </c>
      <c r="L22" s="600"/>
      <c r="M22" s="600"/>
      <c r="N22" s="600"/>
      <c r="O22" s="600"/>
      <c r="P22" s="600"/>
    </row>
    <row r="23" spans="1:16" ht="15" customHeight="1" x14ac:dyDescent="0.25">
      <c r="A23" s="1562" t="str">
        <f>VLOOKUP(A21,'R Data'!Y2:Z11,2,FALSE)</f>
        <v>T2C-3E4</v>
      </c>
      <c r="B23" s="1563"/>
      <c r="C23" s="1563"/>
      <c r="D23" s="1563"/>
      <c r="E23" s="1564"/>
      <c r="F23" s="615">
        <f>'B 1'!J130</f>
        <v>0</v>
      </c>
      <c r="G23" s="1617" t="str">
        <f>'B 1'!C130</f>
        <v>Caulking M1 Sealant</v>
      </c>
      <c r="H23" s="1617"/>
      <c r="I23" s="109" t="str">
        <f t="shared" si="0"/>
        <v>Wolf White</v>
      </c>
      <c r="L23" s="600"/>
      <c r="M23" s="600"/>
      <c r="N23" s="600"/>
      <c r="O23" s="600"/>
      <c r="P23" s="600"/>
    </row>
    <row r="24" spans="1:16" ht="15" customHeight="1" x14ac:dyDescent="0.25">
      <c r="A24" s="1562" t="str">
        <f>VLOOKUP(A23,'R Data'!Z2:AA11,2,FALSE)</f>
        <v>403-444-3000</v>
      </c>
      <c r="B24" s="1563"/>
      <c r="C24" s="1563"/>
      <c r="D24" s="1563"/>
      <c r="E24" s="1564"/>
      <c r="F24" s="615">
        <f>'B 1'!J131</f>
        <v>0</v>
      </c>
      <c r="G24" s="1617" t="str">
        <f>'B 1'!C131</f>
        <v>Paint</v>
      </c>
      <c r="H24" s="1617"/>
      <c r="I24" s="109" t="str">
        <f t="shared" si="0"/>
        <v>Wolf White</v>
      </c>
      <c r="L24" s="600"/>
      <c r="M24" s="600"/>
      <c r="N24" s="600"/>
      <c r="O24" s="600"/>
      <c r="P24" s="600"/>
    </row>
    <row r="25" spans="1:16" ht="15" customHeight="1" x14ac:dyDescent="0.25">
      <c r="A25" s="1573" t="s">
        <v>746</v>
      </c>
      <c r="B25" s="1574"/>
      <c r="C25" s="1574"/>
      <c r="D25" s="1574"/>
      <c r="E25" s="569"/>
      <c r="F25" s="615">
        <f>'B 1'!J132</f>
        <v>0</v>
      </c>
      <c r="G25" s="1617" t="str">
        <f>'B 1'!C132</f>
        <v>Outlet 2-5/8</v>
      </c>
      <c r="H25" s="1617"/>
      <c r="I25" s="109" t="s">
        <v>792</v>
      </c>
      <c r="L25" s="600"/>
      <c r="M25" s="600"/>
      <c r="N25" s="600"/>
      <c r="O25" s="600"/>
      <c r="P25" s="600"/>
    </row>
    <row r="26" spans="1:16" ht="15" customHeight="1" x14ac:dyDescent="0.25">
      <c r="A26" s="1565" t="s">
        <v>786</v>
      </c>
      <c r="B26" s="1566"/>
      <c r="C26" s="1566"/>
      <c r="D26" s="1566"/>
      <c r="E26" s="1567"/>
      <c r="F26" s="615">
        <f>'B 1'!J133</f>
        <v>0</v>
      </c>
      <c r="G26" s="1730" t="str">
        <f>'B 1'!C133</f>
        <v>2-5/8" x 2-5/8" Downpipe</v>
      </c>
      <c r="H26" s="1730"/>
      <c r="I26" s="109" t="str">
        <f t="shared" si="0"/>
        <v>Wolf White</v>
      </c>
      <c r="L26" s="600"/>
      <c r="M26" s="600"/>
      <c r="N26" s="600"/>
      <c r="O26" s="600"/>
      <c r="P26" s="600"/>
    </row>
    <row r="27" spans="1:16" ht="15" customHeight="1" x14ac:dyDescent="0.25">
      <c r="A27" s="1571"/>
      <c r="B27" s="1572"/>
      <c r="C27" s="1572"/>
      <c r="D27" s="1572"/>
      <c r="E27" s="1759"/>
      <c r="F27" s="615">
        <f>'B 1'!J134</f>
        <v>0</v>
      </c>
      <c r="G27" s="1617" t="str">
        <f>'B 1'!C134</f>
        <v>2-5/8" Elbow</v>
      </c>
      <c r="H27" s="1617"/>
      <c r="I27" s="109" t="str">
        <f t="shared" si="0"/>
        <v>Wolf White</v>
      </c>
      <c r="L27" s="600"/>
      <c r="M27" s="600"/>
      <c r="N27" s="600"/>
      <c r="O27" s="600"/>
      <c r="P27" s="600"/>
    </row>
    <row r="28" spans="1:16" ht="15" customHeight="1" x14ac:dyDescent="0.25">
      <c r="A28" s="1575" t="s">
        <v>344</v>
      </c>
      <c r="B28" s="1576"/>
      <c r="C28" s="1576"/>
      <c r="D28" s="1576"/>
      <c r="E28" s="1577"/>
      <c r="F28" s="615">
        <f>'B 1'!J135</f>
        <v>0</v>
      </c>
      <c r="G28" s="1617" t="str">
        <f>'B 1'!C135</f>
        <v>Pipe Strap 2-5/8"</v>
      </c>
      <c r="H28" s="1617"/>
      <c r="I28" s="109" t="str">
        <f t="shared" si="0"/>
        <v>Wolf White</v>
      </c>
      <c r="L28" s="600"/>
      <c r="M28" s="600"/>
      <c r="N28" s="600"/>
      <c r="O28" s="600"/>
      <c r="P28" s="600"/>
    </row>
    <row r="29" spans="1:16" ht="15" customHeight="1" x14ac:dyDescent="0.25">
      <c r="A29" s="1750"/>
      <c r="B29" s="1751"/>
      <c r="C29" s="1751"/>
      <c r="D29" s="1751"/>
      <c r="E29" s="1752"/>
      <c r="F29" s="615">
        <f>'B 1'!J136</f>
        <v>0</v>
      </c>
      <c r="G29" s="1730" t="str">
        <f>'B 1'!C136</f>
        <v>Soffits Panels (12' x 16")</v>
      </c>
      <c r="H29" s="1730"/>
      <c r="I29" s="109" t="str">
        <f t="shared" si="0"/>
        <v>Wolf White</v>
      </c>
      <c r="L29" s="600"/>
      <c r="M29" s="600"/>
      <c r="N29" s="600"/>
      <c r="O29" s="600"/>
      <c r="P29" s="600"/>
    </row>
    <row r="30" spans="1:16" ht="15" customHeight="1" x14ac:dyDescent="0.25">
      <c r="A30" s="1753"/>
      <c r="B30" s="1754"/>
      <c r="C30" s="1754"/>
      <c r="D30" s="1754"/>
      <c r="E30" s="1755"/>
      <c r="F30" s="615">
        <f>'B 1'!J137</f>
        <v>0</v>
      </c>
      <c r="G30" s="1617" t="str">
        <f>'B 1'!C137</f>
        <v>J trim (12' long)</v>
      </c>
      <c r="H30" s="1617"/>
      <c r="I30" s="109" t="str">
        <f t="shared" si="0"/>
        <v>Wolf White</v>
      </c>
      <c r="L30" s="600"/>
      <c r="M30" s="600"/>
      <c r="N30" s="600"/>
      <c r="O30" s="600"/>
      <c r="P30" s="600"/>
    </row>
    <row r="31" spans="1:16" ht="15" customHeight="1" x14ac:dyDescent="0.25">
      <c r="A31" s="1753"/>
      <c r="B31" s="1754"/>
      <c r="C31" s="1754"/>
      <c r="D31" s="1754"/>
      <c r="E31" s="1755"/>
      <c r="F31" s="615">
        <f>'B 1'!J139</f>
        <v>0</v>
      </c>
      <c r="G31" s="1617" t="s">
        <v>282</v>
      </c>
      <c r="H31" s="1617"/>
      <c r="I31" s="109" t="s">
        <v>792</v>
      </c>
      <c r="L31" s="600"/>
      <c r="M31" s="600"/>
      <c r="N31" s="600"/>
      <c r="O31" s="600"/>
      <c r="P31" s="600"/>
    </row>
    <row r="32" spans="1:16" ht="15" customHeight="1" x14ac:dyDescent="0.25">
      <c r="A32" s="1753"/>
      <c r="B32" s="1754"/>
      <c r="C32" s="1754"/>
      <c r="D32" s="1754"/>
      <c r="E32" s="1755"/>
      <c r="F32" s="602"/>
      <c r="G32" s="1617"/>
      <c r="H32" s="1617"/>
      <c r="I32" s="109"/>
      <c r="L32" s="600"/>
      <c r="M32" s="600"/>
      <c r="N32" s="600"/>
      <c r="O32" s="600"/>
      <c r="P32" s="600"/>
    </row>
    <row r="33" spans="1:16" ht="15" customHeight="1" x14ac:dyDescent="0.25">
      <c r="A33" s="1753"/>
      <c r="B33" s="1754"/>
      <c r="C33" s="1754"/>
      <c r="D33" s="1754"/>
      <c r="E33" s="1755"/>
      <c r="F33" s="602"/>
      <c r="G33" s="1617"/>
      <c r="H33" s="1617"/>
      <c r="I33" s="109"/>
      <c r="L33" s="600"/>
      <c r="M33" s="600"/>
      <c r="N33" s="600"/>
      <c r="O33" s="600"/>
      <c r="P33" s="600"/>
    </row>
    <row r="34" spans="1:16" ht="15" customHeight="1" x14ac:dyDescent="0.25">
      <c r="A34" s="1753"/>
      <c r="B34" s="1754"/>
      <c r="C34" s="1754"/>
      <c r="D34" s="1754"/>
      <c r="E34" s="1755"/>
      <c r="F34" s="602"/>
      <c r="G34" s="1617"/>
      <c r="H34" s="1617"/>
      <c r="I34" s="109"/>
      <c r="L34" s="600"/>
      <c r="M34" s="600"/>
      <c r="N34" s="600"/>
      <c r="O34" s="600"/>
      <c r="P34" s="600"/>
    </row>
    <row r="35" spans="1:16" ht="15" customHeight="1" x14ac:dyDescent="0.25">
      <c r="A35" s="1753"/>
      <c r="B35" s="1754"/>
      <c r="C35" s="1754"/>
      <c r="D35" s="1754"/>
      <c r="E35" s="1755"/>
      <c r="F35" s="602"/>
      <c r="G35" s="1617"/>
      <c r="H35" s="1617"/>
      <c r="I35" s="109"/>
      <c r="L35" s="603"/>
      <c r="M35" s="601"/>
      <c r="N35" s="601"/>
      <c r="O35" s="601"/>
      <c r="P35" s="601"/>
    </row>
    <row r="36" spans="1:16" ht="15" customHeight="1" x14ac:dyDescent="0.25">
      <c r="A36" s="1753"/>
      <c r="B36" s="1754"/>
      <c r="C36" s="1754"/>
      <c r="D36" s="1754"/>
      <c r="E36" s="1755"/>
      <c r="F36" s="602"/>
      <c r="G36" s="1617"/>
      <c r="H36" s="1617"/>
      <c r="I36" s="109"/>
      <c r="L36" s="600"/>
      <c r="M36" s="600"/>
      <c r="N36" s="600"/>
      <c r="O36" s="600"/>
      <c r="P36" s="600"/>
    </row>
    <row r="37" spans="1:16" ht="15" customHeight="1" x14ac:dyDescent="0.25">
      <c r="A37" s="1753"/>
      <c r="B37" s="1754"/>
      <c r="C37" s="1754"/>
      <c r="D37" s="1754"/>
      <c r="E37" s="1755"/>
      <c r="F37" s="602"/>
      <c r="G37" s="1617"/>
      <c r="H37" s="1617"/>
      <c r="I37" s="109"/>
      <c r="L37" s="604"/>
      <c r="M37" s="601"/>
      <c r="N37" s="601"/>
      <c r="O37" s="601"/>
      <c r="P37" s="601"/>
    </row>
    <row r="38" spans="1:16" ht="15" customHeight="1" x14ac:dyDescent="0.25">
      <c r="A38" s="1753"/>
      <c r="B38" s="1754"/>
      <c r="C38" s="1754"/>
      <c r="D38" s="1754"/>
      <c r="E38" s="1755"/>
      <c r="F38" s="602"/>
      <c r="G38" s="1617"/>
      <c r="H38" s="1617"/>
      <c r="I38" s="109"/>
      <c r="L38" s="600"/>
      <c r="M38" s="600"/>
      <c r="N38" s="600"/>
      <c r="O38" s="600"/>
      <c r="P38" s="600"/>
    </row>
    <row r="39" spans="1:16" ht="15" customHeight="1" x14ac:dyDescent="0.25">
      <c r="A39" s="1753"/>
      <c r="B39" s="1754"/>
      <c r="C39" s="1754"/>
      <c r="D39" s="1754"/>
      <c r="E39" s="1755"/>
      <c r="F39" s="602"/>
      <c r="G39" s="1617"/>
      <c r="H39" s="1617"/>
      <c r="I39" s="109"/>
      <c r="L39" s="604"/>
      <c r="M39" s="601"/>
      <c r="N39" s="601"/>
      <c r="O39" s="601"/>
      <c r="P39" s="601"/>
    </row>
    <row r="40" spans="1:16" ht="15" customHeight="1" x14ac:dyDescent="0.25">
      <c r="A40" s="1753"/>
      <c r="B40" s="1754"/>
      <c r="C40" s="1754"/>
      <c r="D40" s="1754"/>
      <c r="E40" s="1755"/>
      <c r="F40" s="602"/>
      <c r="G40" s="1617"/>
      <c r="H40" s="1617"/>
      <c r="I40" s="109"/>
      <c r="L40" s="600"/>
      <c r="M40" s="600"/>
      <c r="N40" s="600"/>
      <c r="O40" s="600"/>
      <c r="P40" s="600"/>
    </row>
    <row r="41" spans="1:16" ht="15" customHeight="1" x14ac:dyDescent="0.25">
      <c r="A41" s="1753"/>
      <c r="B41" s="1754"/>
      <c r="C41" s="1754"/>
      <c r="D41" s="1754"/>
      <c r="E41" s="1755"/>
      <c r="F41" s="602"/>
      <c r="G41" s="1617"/>
      <c r="H41" s="1617"/>
      <c r="I41" s="109"/>
    </row>
    <row r="42" spans="1:16" ht="15" customHeight="1" x14ac:dyDescent="0.25">
      <c r="A42" s="1753"/>
      <c r="B42" s="1754"/>
      <c r="C42" s="1754"/>
      <c r="D42" s="1754"/>
      <c r="E42" s="1755"/>
      <c r="F42" s="602"/>
      <c r="G42" s="1617"/>
      <c r="H42" s="1617"/>
      <c r="I42" s="109"/>
    </row>
    <row r="43" spans="1:16" ht="15" customHeight="1" x14ac:dyDescent="0.25">
      <c r="A43" s="1753"/>
      <c r="B43" s="1754"/>
      <c r="C43" s="1754"/>
      <c r="D43" s="1754"/>
      <c r="E43" s="1755"/>
      <c r="F43" s="602"/>
      <c r="G43" s="1617"/>
      <c r="H43" s="1617"/>
      <c r="I43" s="109"/>
    </row>
    <row r="44" spans="1:16" ht="15" customHeight="1" x14ac:dyDescent="0.25">
      <c r="A44" s="1753"/>
      <c r="B44" s="1754"/>
      <c r="C44" s="1754"/>
      <c r="D44" s="1754"/>
      <c r="E44" s="1755"/>
      <c r="F44" s="602"/>
      <c r="G44" s="1617"/>
      <c r="H44" s="1617"/>
      <c r="I44" s="109"/>
    </row>
    <row r="45" spans="1:16" ht="15" customHeight="1" x14ac:dyDescent="0.25">
      <c r="A45" s="1753"/>
      <c r="B45" s="1754"/>
      <c r="C45" s="1754"/>
      <c r="D45" s="1754"/>
      <c r="E45" s="1755"/>
      <c r="F45" s="602"/>
      <c r="G45" s="1617"/>
      <c r="H45" s="1617"/>
      <c r="I45" s="109"/>
    </row>
    <row r="46" spans="1:16" ht="15" customHeight="1" x14ac:dyDescent="0.25">
      <c r="A46" s="1753"/>
      <c r="B46" s="1754"/>
      <c r="C46" s="1754"/>
      <c r="D46" s="1754"/>
      <c r="E46" s="1755"/>
      <c r="F46" s="602"/>
      <c r="G46" s="1617"/>
      <c r="H46" s="1617"/>
      <c r="I46" s="109"/>
    </row>
    <row r="47" spans="1:16" ht="15" customHeight="1" x14ac:dyDescent="0.25">
      <c r="A47" s="1753"/>
      <c r="B47" s="1754"/>
      <c r="C47" s="1754"/>
      <c r="D47" s="1754"/>
      <c r="E47" s="1755"/>
      <c r="F47" s="602"/>
      <c r="G47" s="685"/>
      <c r="H47" s="685"/>
      <c r="I47" s="109"/>
    </row>
    <row r="48" spans="1:16" ht="15" customHeight="1" x14ac:dyDescent="0.25">
      <c r="A48" s="1753"/>
      <c r="B48" s="1754"/>
      <c r="C48" s="1754"/>
      <c r="D48" s="1754"/>
      <c r="E48" s="1755"/>
      <c r="F48" s="602"/>
      <c r="G48" s="685"/>
      <c r="H48" s="685"/>
      <c r="I48" s="109"/>
    </row>
    <row r="49" spans="1:9" ht="15" customHeight="1" x14ac:dyDescent="0.25">
      <c r="A49" s="1753"/>
      <c r="B49" s="1754"/>
      <c r="C49" s="1754"/>
      <c r="D49" s="1754"/>
      <c r="E49" s="1755"/>
      <c r="F49" s="602"/>
      <c r="G49" s="1617"/>
      <c r="H49" s="1617"/>
      <c r="I49" s="109"/>
    </row>
    <row r="50" spans="1:9" ht="15" customHeight="1" x14ac:dyDescent="0.25">
      <c r="A50" s="1753"/>
      <c r="B50" s="1754"/>
      <c r="C50" s="1754"/>
      <c r="D50" s="1754"/>
      <c r="E50" s="1755"/>
      <c r="F50" s="602"/>
      <c r="G50" s="1617"/>
      <c r="H50" s="1617"/>
      <c r="I50" s="109"/>
    </row>
    <row r="51" spans="1:9" ht="15" customHeight="1" x14ac:dyDescent="0.25">
      <c r="A51" s="1756"/>
      <c r="B51" s="1757"/>
      <c r="C51" s="1757"/>
      <c r="D51" s="1757"/>
      <c r="E51" s="1758"/>
      <c r="F51" s="1674" t="s">
        <v>780</v>
      </c>
      <c r="G51" s="1674"/>
      <c r="H51" s="1674"/>
      <c r="I51" s="1674"/>
    </row>
    <row r="52" spans="1:9" ht="3" customHeight="1" x14ac:dyDescent="0.25">
      <c r="A52" s="1580"/>
      <c r="B52" s="1581"/>
      <c r="C52" s="1581"/>
      <c r="D52" s="1581"/>
      <c r="E52" s="1581"/>
      <c r="F52" s="1581"/>
      <c r="G52" s="1581"/>
      <c r="H52" s="1581"/>
      <c r="I52" s="1583"/>
    </row>
    <row r="55" spans="1:9" x14ac:dyDescent="0.25">
      <c r="H55" s="589"/>
      <c r="I55" s="48"/>
    </row>
    <row r="56" spans="1:9" x14ac:dyDescent="0.25">
      <c r="H56" s="590"/>
      <c r="I56" s="49"/>
    </row>
    <row r="57" spans="1:9" x14ac:dyDescent="0.25">
      <c r="H57" s="590"/>
      <c r="I57" s="49"/>
    </row>
    <row r="58" spans="1:9" x14ac:dyDescent="0.25">
      <c r="H58" s="590"/>
      <c r="I58" s="49"/>
    </row>
    <row r="59" spans="1:9" x14ac:dyDescent="0.25">
      <c r="H59" s="590"/>
      <c r="I59" s="49"/>
    </row>
    <row r="60" spans="1:9" x14ac:dyDescent="0.25">
      <c r="A60" s="590"/>
      <c r="B60" s="590"/>
      <c r="D60" s="590"/>
    </row>
    <row r="62" spans="1:9" x14ac:dyDescent="0.25">
      <c r="A62" s="590"/>
      <c r="C62" s="590"/>
      <c r="E62" s="590"/>
      <c r="F62" s="590"/>
      <c r="G62" s="590"/>
      <c r="H62" s="590"/>
      <c r="I62" s="49"/>
    </row>
    <row r="63" spans="1:9" x14ac:dyDescent="0.25">
      <c r="A63" s="590"/>
    </row>
    <row r="64" spans="1:9" x14ac:dyDescent="0.25">
      <c r="A64" s="590"/>
      <c r="F64" s="590"/>
    </row>
    <row r="65" spans="1:9" x14ac:dyDescent="0.25">
      <c r="A65" s="590"/>
      <c r="F65" s="590"/>
    </row>
    <row r="66" spans="1:9" x14ac:dyDescent="0.25">
      <c r="A66" s="590"/>
      <c r="D66" s="47"/>
      <c r="F66" s="590"/>
    </row>
    <row r="67" spans="1:9" x14ac:dyDescent="0.25">
      <c r="A67" s="590"/>
      <c r="B67" s="590"/>
      <c r="D67" s="590"/>
      <c r="F67" s="590"/>
    </row>
    <row r="68" spans="1:9" x14ac:dyDescent="0.25">
      <c r="E68" s="47"/>
      <c r="F68" s="590"/>
      <c r="G68" s="47"/>
      <c r="H68" s="47"/>
    </row>
    <row r="69" spans="1:9" x14ac:dyDescent="0.25">
      <c r="A69" s="590"/>
      <c r="B69" s="590"/>
      <c r="C69" s="590"/>
      <c r="D69" s="590"/>
      <c r="E69" s="590"/>
      <c r="F69" s="590"/>
      <c r="G69" s="590"/>
      <c r="H69" s="590"/>
      <c r="I69" s="49"/>
    </row>
    <row r="71" spans="1:9" x14ac:dyDescent="0.25">
      <c r="C71" s="590"/>
      <c r="E71" s="49"/>
      <c r="F71" s="590"/>
      <c r="G71" s="590"/>
      <c r="H71" s="590"/>
      <c r="I71" s="49"/>
    </row>
  </sheetData>
  <mergeCells count="70">
    <mergeCell ref="A29:E51"/>
    <mergeCell ref="A23:E23"/>
    <mergeCell ref="A24:E24"/>
    <mergeCell ref="A25:D25"/>
    <mergeCell ref="A26:E27"/>
    <mergeCell ref="A28:E28"/>
    <mergeCell ref="A52:I52"/>
    <mergeCell ref="A19:E19"/>
    <mergeCell ref="A20:E20"/>
    <mergeCell ref="G38:H38"/>
    <mergeCell ref="G46:H46"/>
    <mergeCell ref="G49:H49"/>
    <mergeCell ref="G50:H50"/>
    <mergeCell ref="F51:I51"/>
    <mergeCell ref="G42:H42"/>
    <mergeCell ref="G43:H43"/>
    <mergeCell ref="G44:H44"/>
    <mergeCell ref="G45:H45"/>
    <mergeCell ref="G37:H37"/>
    <mergeCell ref="G40:H40"/>
    <mergeCell ref="G41:H41"/>
    <mergeCell ref="G39:H39"/>
    <mergeCell ref="G35:H35"/>
    <mergeCell ref="G36:H36"/>
    <mergeCell ref="G32:H32"/>
    <mergeCell ref="G33:H33"/>
    <mergeCell ref="G34:H34"/>
    <mergeCell ref="G29:H29"/>
    <mergeCell ref="G30:H30"/>
    <mergeCell ref="G31:H31"/>
    <mergeCell ref="G26:H26"/>
    <mergeCell ref="G27:H27"/>
    <mergeCell ref="G28:H28"/>
    <mergeCell ref="G23:H23"/>
    <mergeCell ref="G24:H24"/>
    <mergeCell ref="G25:H25"/>
    <mergeCell ref="G18:H18"/>
    <mergeCell ref="G19:H19"/>
    <mergeCell ref="G20:H20"/>
    <mergeCell ref="G21:H21"/>
    <mergeCell ref="F12:I12"/>
    <mergeCell ref="F13:H13"/>
    <mergeCell ref="A15:B15"/>
    <mergeCell ref="C15:E15"/>
    <mergeCell ref="G22:H22"/>
    <mergeCell ref="A12:E13"/>
    <mergeCell ref="C17:E17"/>
    <mergeCell ref="A18:B18"/>
    <mergeCell ref="A21:E21"/>
    <mergeCell ref="A22:E22"/>
    <mergeCell ref="A14:I14"/>
    <mergeCell ref="F15:I15"/>
    <mergeCell ref="G17:H17"/>
    <mergeCell ref="A16:B16"/>
    <mergeCell ref="A17:B17"/>
    <mergeCell ref="A9:I9"/>
    <mergeCell ref="F10:G10"/>
    <mergeCell ref="H10:I10"/>
    <mergeCell ref="E5:E7"/>
    <mergeCell ref="F5:I7"/>
    <mergeCell ref="A1:D7"/>
    <mergeCell ref="E1:I1"/>
    <mergeCell ref="E2:I2"/>
    <mergeCell ref="E3:I3"/>
    <mergeCell ref="E4:I4"/>
    <mergeCell ref="A10:B11"/>
    <mergeCell ref="C10:E11"/>
    <mergeCell ref="H11:I11"/>
    <mergeCell ref="F8:I8"/>
    <mergeCell ref="A8:D8"/>
  </mergeCells>
  <hyperlinks>
    <hyperlink ref="C17" r:id="rId1" xr:uid="{5AE74629-5967-475A-91FB-39FBA25CD272}"/>
  </hyperlinks>
  <pageMargins left="0.7" right="0.7" top="0.75" bottom="0.75" header="0.3" footer="0.3"/>
  <pageSetup scale="93" fitToHeight="0" orientation="portrait" r:id="rId2"/>
  <drawing r:id="rId3"/>
  <legacyDrawing r:id="rId4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AC073557-735C-4D54-9A54-A8C7F8B2384D}">
          <x14:formula1>
            <xm:f>'R Data'!$AH$28:$AH$46</xm:f>
          </x14:formula1>
          <xm:sqref>I17</xm:sqref>
        </x14:dataValidation>
        <x14:dataValidation type="list" allowBlank="1" showInputMessage="1" showErrorMessage="1" xr:uid="{1EB85C97-1431-49C0-8548-B827F24CAA99}">
          <x14:formula1>
            <xm:f>'R Data'!$W$2:$W$11</xm:f>
          </x14:formula1>
          <xm:sqref>A19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9BA3AA-91D9-4B06-959D-A291C3BE029E}">
  <sheetPr codeName="Sheet10">
    <tabColor theme="4" tint="0.39997558519241921"/>
    <pageSetUpPr fitToPage="1"/>
  </sheetPr>
  <dimension ref="A1:P71"/>
  <sheetViews>
    <sheetView workbookViewId="0">
      <selection activeCell="K20" sqref="K20"/>
    </sheetView>
  </sheetViews>
  <sheetFormatPr defaultRowHeight="15" x14ac:dyDescent="0.25"/>
  <cols>
    <col min="1" max="1" width="7.42578125" style="359" customWidth="1"/>
    <col min="2" max="2" width="11.42578125" style="359" customWidth="1"/>
    <col min="3" max="3" width="10.5703125" style="359" customWidth="1"/>
    <col min="4" max="4" width="9.140625" style="359"/>
    <col min="5" max="5" width="15.28515625" style="359" customWidth="1"/>
    <col min="6" max="6" width="8.42578125" style="359" customWidth="1"/>
    <col min="7" max="8" width="10.28515625" style="359" customWidth="1"/>
    <col min="9" max="9" width="15.7109375" style="47" customWidth="1"/>
    <col min="10" max="16384" width="9.140625" style="359"/>
  </cols>
  <sheetData>
    <row r="1" spans="1:9" x14ac:dyDescent="0.25">
      <c r="A1" s="1463"/>
      <c r="B1" s="1463"/>
      <c r="C1" s="1463"/>
      <c r="D1" s="1463"/>
      <c r="E1" s="1463"/>
      <c r="F1" s="1463"/>
      <c r="G1" s="1463"/>
      <c r="H1" s="1463"/>
      <c r="I1" s="1463"/>
    </row>
    <row r="2" spans="1:9" x14ac:dyDescent="0.25">
      <c r="A2" s="1463"/>
      <c r="B2" s="1463"/>
      <c r="C2" s="1463"/>
      <c r="D2" s="1463"/>
      <c r="E2" s="1640" t="s">
        <v>776</v>
      </c>
      <c r="F2" s="1640"/>
      <c r="G2" s="1640"/>
      <c r="H2" s="1640"/>
      <c r="I2" s="1640"/>
    </row>
    <row r="3" spans="1:9" x14ac:dyDescent="0.25">
      <c r="A3" s="1463"/>
      <c r="B3" s="1463"/>
      <c r="C3" s="1463"/>
      <c r="D3" s="1463"/>
      <c r="E3" s="1639" t="s">
        <v>777</v>
      </c>
      <c r="F3" s="1639"/>
      <c r="G3" s="1639"/>
      <c r="H3" s="1639"/>
      <c r="I3" s="1639"/>
    </row>
    <row r="4" spans="1:9" x14ac:dyDescent="0.25">
      <c r="A4" s="1463"/>
      <c r="B4" s="1463"/>
      <c r="C4" s="1463"/>
      <c r="D4" s="1463"/>
      <c r="E4" s="1640" t="s">
        <v>228</v>
      </c>
      <c r="F4" s="1640"/>
      <c r="G4" s="1640"/>
      <c r="H4" s="1640"/>
      <c r="I4" s="1640"/>
    </row>
    <row r="5" spans="1:9" ht="15" customHeight="1" x14ac:dyDescent="0.25">
      <c r="A5" s="1463"/>
      <c r="B5" s="1463"/>
      <c r="C5" s="1463"/>
      <c r="D5" s="1463"/>
      <c r="E5" s="1641" t="s">
        <v>10088</v>
      </c>
      <c r="F5" s="1641" t="str">
        <f>'B 1'!R1</f>
        <v>RFP -</v>
      </c>
      <c r="G5" s="1641"/>
      <c r="H5" s="1641"/>
      <c r="I5" s="1641"/>
    </row>
    <row r="6" spans="1:9" ht="15" customHeight="1" x14ac:dyDescent="0.25">
      <c r="A6" s="1463"/>
      <c r="B6" s="1463"/>
      <c r="C6" s="1463"/>
      <c r="D6" s="1463"/>
      <c r="E6" s="1641"/>
      <c r="F6" s="1641"/>
      <c r="G6" s="1641"/>
      <c r="H6" s="1641"/>
      <c r="I6" s="1641"/>
    </row>
    <row r="7" spans="1:9" ht="15" customHeight="1" x14ac:dyDescent="0.25">
      <c r="A7" s="1463"/>
      <c r="B7" s="1463"/>
      <c r="C7" s="1463"/>
      <c r="D7" s="1463"/>
      <c r="E7" s="1641"/>
      <c r="F7" s="1641"/>
      <c r="G7" s="1641"/>
      <c r="H7" s="1641"/>
      <c r="I7" s="1641"/>
    </row>
    <row r="8" spans="1:9" ht="18.75" x14ac:dyDescent="0.25">
      <c r="B8" s="842"/>
      <c r="C8" s="842"/>
      <c r="D8" s="842"/>
      <c r="E8" s="842"/>
      <c r="F8" s="1643" t="s">
        <v>229</v>
      </c>
      <c r="G8" s="1643"/>
      <c r="H8" s="1643"/>
      <c r="I8" s="1643"/>
    </row>
    <row r="9" spans="1:9" ht="3" customHeight="1" x14ac:dyDescent="0.25">
      <c r="A9" s="1580"/>
      <c r="B9" s="1581"/>
      <c r="C9" s="1581"/>
      <c r="D9" s="1581"/>
      <c r="E9" s="1581"/>
      <c r="F9" s="1581"/>
      <c r="G9" s="1581"/>
      <c r="H9" s="1581"/>
      <c r="I9" s="1583"/>
    </row>
    <row r="10" spans="1:9" x14ac:dyDescent="0.25">
      <c r="A10" s="1578" t="s">
        <v>784</v>
      </c>
      <c r="B10" s="1579"/>
      <c r="C10" s="1693" t="s">
        <v>285</v>
      </c>
      <c r="D10" s="1693"/>
      <c r="E10" s="578" t="e">
        <f>VLOOKUP(C10,'R Data'!W37:AA48,5,FALSE)</f>
        <v>#N/A</v>
      </c>
      <c r="F10" s="1578" t="s">
        <v>230</v>
      </c>
      <c r="G10" s="1579"/>
      <c r="H10" s="1644">
        <f ca="1">TODAY()</f>
        <v>46240</v>
      </c>
      <c r="I10" s="1645"/>
    </row>
    <row r="11" spans="1:9" x14ac:dyDescent="0.25">
      <c r="A11" s="1633"/>
      <c r="B11" s="1634"/>
      <c r="C11" s="1694" t="e">
        <f>VLOOKUP(C10,'R Data'!W37:X48,2,FALSE)</f>
        <v>#N/A</v>
      </c>
      <c r="D11" s="1694"/>
      <c r="E11" s="1695"/>
      <c r="F11" s="579" t="s">
        <v>994</v>
      </c>
      <c r="G11" s="580"/>
      <c r="H11" s="1696" t="str">
        <f>'B 1'!D2</f>
        <v>Company Name</v>
      </c>
      <c r="I11" s="1697"/>
    </row>
    <row r="12" spans="1:9" x14ac:dyDescent="0.25">
      <c r="A12" s="579" t="s">
        <v>1011</v>
      </c>
      <c r="B12" s="1687" t="str">
        <f>'B 1'!S3</f>
        <v>Dwight Cameron 403-492-9351 dwight@megaroofing.ca</v>
      </c>
      <c r="C12" s="1687"/>
      <c r="D12" s="1687"/>
      <c r="E12" s="1688"/>
      <c r="F12" s="1578" t="s">
        <v>991</v>
      </c>
      <c r="G12" s="1579"/>
      <c r="H12" s="1579"/>
      <c r="I12" s="1584"/>
    </row>
    <row r="13" spans="1:9" ht="15" customHeight="1" x14ac:dyDescent="0.25">
      <c r="A13" s="1797"/>
      <c r="B13" s="1798"/>
      <c r="C13" s="620" t="s">
        <v>252</v>
      </c>
      <c r="D13" s="620"/>
      <c r="E13" s="621"/>
      <c r="F13" s="672"/>
      <c r="I13" s="477"/>
    </row>
    <row r="14" spans="1:9" x14ac:dyDescent="0.25">
      <c r="A14" s="626"/>
      <c r="B14" s="627"/>
      <c r="C14" s="690">
        <v>45917</v>
      </c>
      <c r="D14" s="627"/>
      <c r="E14" s="630">
        <v>45421</v>
      </c>
      <c r="F14" s="1690" t="str">
        <f>'B 1'!D4</f>
        <v>ADDRESS</v>
      </c>
      <c r="G14" s="1691"/>
      <c r="H14" s="1691"/>
      <c r="I14" s="1692"/>
    </row>
    <row r="15" spans="1:9" x14ac:dyDescent="0.25">
      <c r="A15" s="584" t="s">
        <v>998</v>
      </c>
      <c r="B15" s="1785" t="s">
        <v>280</v>
      </c>
      <c r="C15" s="1785"/>
      <c r="D15" s="1790" t="str">
        <f>F5</f>
        <v>RFP -</v>
      </c>
      <c r="E15" s="1799"/>
      <c r="F15" s="1681" t="s">
        <v>993</v>
      </c>
      <c r="G15" s="1586"/>
      <c r="H15" s="1586"/>
      <c r="I15" s="1682"/>
    </row>
    <row r="16" spans="1:9" ht="3" customHeight="1" x14ac:dyDescent="0.25">
      <c r="A16" s="1580"/>
      <c r="B16" s="1581"/>
      <c r="C16" s="1581"/>
      <c r="D16" s="1581"/>
      <c r="E16" s="1581"/>
      <c r="F16" s="1581"/>
      <c r="G16" s="1581"/>
      <c r="H16" s="1581"/>
      <c r="I16" s="1583"/>
    </row>
    <row r="17" spans="1:16" ht="17.25" customHeight="1" x14ac:dyDescent="0.25">
      <c r="A17" s="1797" t="s">
        <v>232</v>
      </c>
      <c r="B17" s="1798"/>
      <c r="C17" s="1798"/>
      <c r="D17" s="1798"/>
      <c r="E17" s="1798"/>
      <c r="F17" s="1588" t="s">
        <v>783</v>
      </c>
      <c r="G17" s="1588"/>
      <c r="H17" s="1588"/>
      <c r="I17" s="1588"/>
    </row>
    <row r="18" spans="1:16" ht="15" customHeight="1" x14ac:dyDescent="0.25">
      <c r="A18" s="39" t="s">
        <v>237</v>
      </c>
      <c r="B18" s="40" t="s">
        <v>233</v>
      </c>
      <c r="C18" s="1800" t="s">
        <v>4</v>
      </c>
      <c r="D18" s="1800"/>
      <c r="E18" s="1800"/>
      <c r="F18" s="108" t="s">
        <v>196</v>
      </c>
      <c r="G18" s="42" t="s">
        <v>236</v>
      </c>
      <c r="H18" s="42"/>
      <c r="I18" s="107" t="s">
        <v>234</v>
      </c>
    </row>
    <row r="19" spans="1:16" ht="15" customHeight="1" x14ac:dyDescent="0.25">
      <c r="A19" s="105" t="s">
        <v>238</v>
      </c>
      <c r="B19" s="105" t="s">
        <v>238</v>
      </c>
      <c r="C19" s="1801" t="s">
        <v>239</v>
      </c>
      <c r="D19" s="1802"/>
      <c r="E19" s="1802"/>
      <c r="F19" s="622">
        <f>'B 1'!J124</f>
        <v>0</v>
      </c>
      <c r="G19" s="1803" t="str">
        <f>'B 1'!C124</f>
        <v>Select Fascia</v>
      </c>
      <c r="H19" s="1803"/>
      <c r="I19" s="623" t="s">
        <v>511</v>
      </c>
    </row>
    <row r="20" spans="1:16" ht="15" customHeight="1" x14ac:dyDescent="0.25">
      <c r="A20" s="105" t="s">
        <v>238</v>
      </c>
      <c r="B20" s="105" t="s">
        <v>238</v>
      </c>
      <c r="C20" s="1801" t="s">
        <v>240</v>
      </c>
      <c r="D20" s="1802"/>
      <c r="E20" s="1802"/>
      <c r="F20" s="622">
        <f>'B 1'!J125</f>
        <v>0</v>
      </c>
      <c r="G20" s="1803" t="str">
        <f>'B 1'!C125</f>
        <v>Gabel Trim (10' long)</v>
      </c>
      <c r="H20" s="1803"/>
      <c r="I20" s="623" t="str">
        <f>$I$19</f>
        <v>White</v>
      </c>
      <c r="L20" s="600"/>
      <c r="M20" s="600"/>
      <c r="N20" s="600"/>
      <c r="O20" s="600"/>
      <c r="P20" s="600"/>
    </row>
    <row r="21" spans="1:16" ht="15" customHeight="1" x14ac:dyDescent="0.25">
      <c r="A21" s="105" t="s">
        <v>238</v>
      </c>
      <c r="B21" s="105" t="s">
        <v>238</v>
      </c>
      <c r="C21" s="1801" t="s">
        <v>241</v>
      </c>
      <c r="D21" s="1802"/>
      <c r="E21" s="1802"/>
      <c r="F21" s="622">
        <f>'B 1'!J126</f>
        <v>0</v>
      </c>
      <c r="G21" s="1803" t="str">
        <f>'B 1'!C126</f>
        <v>Eavestrough 5"</v>
      </c>
      <c r="H21" s="1803"/>
      <c r="I21" s="623" t="str">
        <f t="shared" ref="I21:I32" si="0">$I$19</f>
        <v>White</v>
      </c>
    </row>
    <row r="22" spans="1:16" ht="15" customHeight="1" x14ac:dyDescent="0.25">
      <c r="A22" s="1807" t="s">
        <v>238</v>
      </c>
      <c r="B22" s="1807" t="s">
        <v>238</v>
      </c>
      <c r="C22" s="1801" t="s">
        <v>242</v>
      </c>
      <c r="D22" s="1802"/>
      <c r="E22" s="1802"/>
      <c r="F22" s="622">
        <f>'B 1'!J127</f>
        <v>0</v>
      </c>
      <c r="G22" s="1803" t="str">
        <f>'B 1'!C127</f>
        <v>5" Hanger</v>
      </c>
      <c r="H22" s="1803"/>
      <c r="I22" s="623" t="s">
        <v>792</v>
      </c>
    </row>
    <row r="23" spans="1:16" ht="15" customHeight="1" x14ac:dyDescent="0.25">
      <c r="A23" s="1808"/>
      <c r="B23" s="1808"/>
      <c r="C23" s="1804"/>
      <c r="D23" s="1805"/>
      <c r="E23" s="1805"/>
      <c r="F23" s="622">
        <f>'B 1'!J128</f>
        <v>0</v>
      </c>
      <c r="G23" s="1803" t="str">
        <f>'B 1'!C128</f>
        <v>5" End Cap</v>
      </c>
      <c r="H23" s="1803"/>
      <c r="I23" s="623" t="str">
        <f t="shared" si="0"/>
        <v>White</v>
      </c>
      <c r="L23" s="600"/>
      <c r="M23" s="600"/>
      <c r="N23" s="600"/>
      <c r="O23" s="600"/>
      <c r="P23" s="600"/>
    </row>
    <row r="24" spans="1:16" ht="15" customHeight="1" x14ac:dyDescent="0.25">
      <c r="A24" s="1807" t="s">
        <v>238</v>
      </c>
      <c r="B24" s="1807" t="s">
        <v>238</v>
      </c>
      <c r="C24" s="1801" t="s">
        <v>245</v>
      </c>
      <c r="D24" s="1802"/>
      <c r="E24" s="1802"/>
      <c r="F24" s="622">
        <f>'B 1'!J129</f>
        <v>0</v>
      </c>
      <c r="G24" s="1803" t="str">
        <f>'B 1'!C129</f>
        <v>Miters</v>
      </c>
      <c r="H24" s="1803"/>
      <c r="I24" s="623" t="str">
        <f t="shared" si="0"/>
        <v>White</v>
      </c>
      <c r="L24" s="600"/>
      <c r="M24" s="600"/>
      <c r="N24" s="600"/>
      <c r="O24" s="600"/>
      <c r="P24" s="600"/>
    </row>
    <row r="25" spans="1:16" ht="15" customHeight="1" x14ac:dyDescent="0.25">
      <c r="A25" s="1808"/>
      <c r="B25" s="1808"/>
      <c r="C25" s="1804"/>
      <c r="D25" s="1805"/>
      <c r="E25" s="1805"/>
      <c r="F25" s="622">
        <f>'B 1'!J130</f>
        <v>0</v>
      </c>
      <c r="G25" s="1803" t="str">
        <f>'B 1'!C130</f>
        <v>Caulking M1 Sealant</v>
      </c>
      <c r="H25" s="1803"/>
      <c r="I25" s="623" t="str">
        <f t="shared" si="0"/>
        <v>White</v>
      </c>
      <c r="L25" s="600"/>
      <c r="M25" s="600"/>
      <c r="N25" s="600"/>
      <c r="O25" s="600"/>
      <c r="P25" s="600"/>
    </row>
    <row r="26" spans="1:16" ht="15" customHeight="1" x14ac:dyDescent="0.25">
      <c r="A26" s="1807" t="s">
        <v>238</v>
      </c>
      <c r="B26" s="1807" t="s">
        <v>238</v>
      </c>
      <c r="C26" s="1801" t="s">
        <v>243</v>
      </c>
      <c r="D26" s="1802"/>
      <c r="E26" s="1802"/>
      <c r="F26" s="622">
        <f>'B 1'!J131</f>
        <v>0</v>
      </c>
      <c r="G26" s="1803" t="str">
        <f>'B 1'!C131</f>
        <v>Paint</v>
      </c>
      <c r="H26" s="1803"/>
      <c r="I26" s="623" t="str">
        <f t="shared" si="0"/>
        <v>White</v>
      </c>
      <c r="L26" s="600"/>
      <c r="M26" s="600"/>
      <c r="N26" s="600"/>
      <c r="O26" s="600"/>
      <c r="P26" s="600"/>
    </row>
    <row r="27" spans="1:16" ht="15" customHeight="1" x14ac:dyDescent="0.25">
      <c r="A27" s="1808"/>
      <c r="B27" s="1808"/>
      <c r="C27" s="1804"/>
      <c r="D27" s="1805"/>
      <c r="E27" s="1805"/>
      <c r="F27" s="622">
        <f>'B 1'!J132</f>
        <v>0</v>
      </c>
      <c r="G27" s="1803" t="str">
        <f>'B 1'!C132</f>
        <v>Outlet 2-5/8</v>
      </c>
      <c r="H27" s="1803"/>
      <c r="I27" s="623" t="s">
        <v>792</v>
      </c>
      <c r="L27" s="600"/>
      <c r="M27" s="600"/>
      <c r="N27" s="600"/>
      <c r="O27" s="600"/>
      <c r="P27" s="600"/>
    </row>
    <row r="28" spans="1:16" ht="15" customHeight="1" x14ac:dyDescent="0.25">
      <c r="A28" s="105" t="s">
        <v>238</v>
      </c>
      <c r="B28" s="105" t="s">
        <v>238</v>
      </c>
      <c r="C28" s="1801" t="s">
        <v>246</v>
      </c>
      <c r="D28" s="1802"/>
      <c r="E28" s="1802"/>
      <c r="F28" s="622">
        <f>'B 1'!J133</f>
        <v>0</v>
      </c>
      <c r="G28" s="1806" t="str">
        <f>'B 1'!C133</f>
        <v>2-5/8" x 2-5/8" Downpipe</v>
      </c>
      <c r="H28" s="1806"/>
      <c r="I28" s="623" t="str">
        <f t="shared" si="0"/>
        <v>White</v>
      </c>
      <c r="L28" s="600"/>
      <c r="M28" s="600"/>
      <c r="N28" s="600"/>
      <c r="O28" s="600"/>
      <c r="P28" s="600"/>
    </row>
    <row r="29" spans="1:16" ht="15" customHeight="1" x14ac:dyDescent="0.25">
      <c r="A29" s="105" t="s">
        <v>238</v>
      </c>
      <c r="B29" s="105" t="s">
        <v>238</v>
      </c>
      <c r="C29" s="1801" t="s">
        <v>790</v>
      </c>
      <c r="D29" s="1802"/>
      <c r="E29" s="1802"/>
      <c r="F29" s="622">
        <f>'B 1'!J134</f>
        <v>0</v>
      </c>
      <c r="G29" s="1803" t="str">
        <f>'B 1'!C134</f>
        <v>2-5/8" Elbow</v>
      </c>
      <c r="H29" s="1803"/>
      <c r="I29" s="623" t="str">
        <f t="shared" si="0"/>
        <v>White</v>
      </c>
      <c r="L29" s="600"/>
      <c r="M29" s="600"/>
      <c r="N29" s="600"/>
      <c r="O29" s="600"/>
      <c r="P29" s="600"/>
    </row>
    <row r="30" spans="1:16" ht="15" customHeight="1" x14ac:dyDescent="0.25">
      <c r="A30" s="105" t="s">
        <v>238</v>
      </c>
      <c r="B30" s="105" t="s">
        <v>238</v>
      </c>
      <c r="C30" s="1801" t="s">
        <v>791</v>
      </c>
      <c r="D30" s="1802"/>
      <c r="E30" s="1802"/>
      <c r="F30" s="622">
        <f>'B 1'!J135</f>
        <v>0</v>
      </c>
      <c r="G30" s="1803" t="str">
        <f>'B 1'!C135</f>
        <v>Pipe Strap 2-5/8"</v>
      </c>
      <c r="H30" s="1803"/>
      <c r="I30" s="623" t="str">
        <f t="shared" si="0"/>
        <v>White</v>
      </c>
      <c r="L30" s="600"/>
      <c r="M30" s="600"/>
      <c r="N30" s="600"/>
      <c r="O30" s="600"/>
      <c r="P30" s="600"/>
    </row>
    <row r="31" spans="1:16" ht="15" customHeight="1" x14ac:dyDescent="0.25">
      <c r="A31" s="105" t="s">
        <v>238</v>
      </c>
      <c r="B31" s="105" t="s">
        <v>238</v>
      </c>
      <c r="C31" s="1801" t="s">
        <v>247</v>
      </c>
      <c r="D31" s="1802"/>
      <c r="E31" s="1802"/>
      <c r="F31" s="622">
        <f>'B 1'!J136</f>
        <v>0</v>
      </c>
      <c r="G31" s="1806" t="str">
        <f>'B 1'!C136</f>
        <v>Soffits Panels (12' x 16")</v>
      </c>
      <c r="H31" s="1806"/>
      <c r="I31" s="623" t="str">
        <f t="shared" si="0"/>
        <v>White</v>
      </c>
      <c r="L31" s="600"/>
      <c r="M31" s="600"/>
      <c r="N31" s="600"/>
      <c r="O31" s="600"/>
      <c r="P31" s="600"/>
    </row>
    <row r="32" spans="1:16" ht="15" customHeight="1" x14ac:dyDescent="0.25">
      <c r="A32" s="1807" t="s">
        <v>238</v>
      </c>
      <c r="B32" s="1807" t="s">
        <v>238</v>
      </c>
      <c r="C32" s="1801" t="s">
        <v>248</v>
      </c>
      <c r="D32" s="1802"/>
      <c r="E32" s="1802"/>
      <c r="F32" s="622">
        <f>'B 1'!J137</f>
        <v>0</v>
      </c>
      <c r="G32" s="1803" t="str">
        <f>'B 1'!C137</f>
        <v>J trim (12' long)</v>
      </c>
      <c r="H32" s="1803"/>
      <c r="I32" s="623" t="str">
        <f t="shared" si="0"/>
        <v>White</v>
      </c>
      <c r="L32" s="600"/>
      <c r="M32" s="600"/>
      <c r="N32" s="600"/>
      <c r="O32" s="600"/>
      <c r="P32" s="600"/>
    </row>
    <row r="33" spans="1:16" ht="15" customHeight="1" x14ac:dyDescent="0.25">
      <c r="A33" s="1808"/>
      <c r="B33" s="1808"/>
      <c r="C33" s="1804"/>
      <c r="D33" s="1805"/>
      <c r="E33" s="1805"/>
      <c r="F33" s="622">
        <f>'B 1'!J139</f>
        <v>0</v>
      </c>
      <c r="G33" s="1803" t="s">
        <v>282</v>
      </c>
      <c r="H33" s="1803"/>
      <c r="I33" s="623" t="s">
        <v>792</v>
      </c>
      <c r="L33" s="600"/>
      <c r="M33" s="600"/>
      <c r="N33" s="600"/>
      <c r="O33" s="600"/>
      <c r="P33" s="600"/>
    </row>
    <row r="34" spans="1:16" ht="15" customHeight="1" x14ac:dyDescent="0.25">
      <c r="A34" s="1807" t="s">
        <v>238</v>
      </c>
      <c r="B34" s="1807" t="s">
        <v>238</v>
      </c>
      <c r="C34" s="1801" t="s">
        <v>244</v>
      </c>
      <c r="D34" s="1802"/>
      <c r="E34" s="1802"/>
      <c r="F34" s="624"/>
      <c r="G34" s="1812"/>
      <c r="H34" s="1812"/>
      <c r="I34" s="623"/>
      <c r="L34" s="600"/>
      <c r="M34" s="600"/>
      <c r="N34" s="600"/>
      <c r="O34" s="600"/>
      <c r="P34" s="600"/>
    </row>
    <row r="35" spans="1:16" ht="15" customHeight="1" x14ac:dyDescent="0.25">
      <c r="A35" s="1808"/>
      <c r="B35" s="1808"/>
      <c r="C35" s="1804"/>
      <c r="D35" s="1805"/>
      <c r="E35" s="1805"/>
      <c r="F35" s="624"/>
      <c r="G35" s="1812"/>
      <c r="H35" s="1812"/>
      <c r="I35" s="623"/>
      <c r="L35" s="600"/>
      <c r="M35" s="600"/>
      <c r="N35" s="600"/>
      <c r="O35" s="600"/>
      <c r="P35" s="600"/>
    </row>
    <row r="36" spans="1:16" ht="15" customHeight="1" x14ac:dyDescent="0.25">
      <c r="A36" s="106" t="s">
        <v>238</v>
      </c>
      <c r="B36" s="106" t="s">
        <v>238</v>
      </c>
      <c r="C36" s="1810" t="s">
        <v>251</v>
      </c>
      <c r="D36" s="1810"/>
      <c r="E36" s="1811"/>
      <c r="F36" s="624"/>
      <c r="G36" s="1812"/>
      <c r="H36" s="1812"/>
      <c r="I36" s="623"/>
      <c r="L36" s="600"/>
      <c r="M36" s="600"/>
      <c r="N36" s="600"/>
      <c r="O36" s="600"/>
      <c r="P36" s="600"/>
    </row>
    <row r="37" spans="1:16" ht="15" customHeight="1" x14ac:dyDescent="0.25">
      <c r="A37" s="41"/>
      <c r="B37" s="104"/>
      <c r="C37" s="1809"/>
      <c r="D37" s="1809"/>
      <c r="E37" s="1809"/>
      <c r="F37" s="624"/>
      <c r="G37" s="1812"/>
      <c r="H37" s="1812"/>
      <c r="I37" s="623"/>
      <c r="L37" s="603"/>
      <c r="M37" s="601"/>
      <c r="N37" s="601"/>
      <c r="O37" s="601"/>
      <c r="P37" s="601"/>
    </row>
    <row r="38" spans="1:16" ht="15" customHeight="1" x14ac:dyDescent="0.25">
      <c r="A38" s="41"/>
      <c r="B38" s="104"/>
      <c r="C38" s="1809"/>
      <c r="D38" s="1809"/>
      <c r="E38" s="1809"/>
      <c r="F38" s="624"/>
      <c r="G38" s="1812"/>
      <c r="H38" s="1812"/>
      <c r="I38" s="623"/>
      <c r="L38" s="604"/>
      <c r="M38" s="601"/>
      <c r="N38" s="601"/>
      <c r="O38" s="601"/>
      <c r="P38" s="601"/>
    </row>
    <row r="39" spans="1:16" ht="15" customHeight="1" x14ac:dyDescent="0.25">
      <c r="A39" s="41"/>
      <c r="B39" s="104"/>
      <c r="C39" s="1809"/>
      <c r="D39" s="1809"/>
      <c r="E39" s="1809"/>
      <c r="F39" s="624"/>
      <c r="G39" s="1812"/>
      <c r="H39" s="1812"/>
      <c r="I39" s="623"/>
      <c r="L39" s="600"/>
      <c r="M39" s="600"/>
      <c r="N39" s="600"/>
      <c r="O39" s="600"/>
      <c r="P39" s="600"/>
    </row>
    <row r="40" spans="1:16" ht="15" customHeight="1" x14ac:dyDescent="0.25">
      <c r="A40" s="41"/>
      <c r="B40" s="104"/>
      <c r="C40" s="1809"/>
      <c r="D40" s="1809"/>
      <c r="E40" s="1809"/>
      <c r="F40" s="624"/>
      <c r="G40" s="1812"/>
      <c r="H40" s="1812"/>
      <c r="I40" s="623"/>
      <c r="L40" s="604"/>
      <c r="M40" s="601"/>
      <c r="N40" s="601"/>
      <c r="O40" s="601"/>
      <c r="P40" s="601"/>
    </row>
    <row r="41" spans="1:16" ht="15" customHeight="1" x14ac:dyDescent="0.25">
      <c r="A41" s="41"/>
      <c r="B41" s="104"/>
      <c r="C41" s="1809"/>
      <c r="D41" s="1809"/>
      <c r="E41" s="1809"/>
      <c r="F41" s="624"/>
      <c r="G41" s="1812"/>
      <c r="H41" s="1812"/>
      <c r="I41" s="623"/>
      <c r="L41" s="604"/>
      <c r="M41" s="601"/>
      <c r="N41" s="601"/>
      <c r="O41" s="601"/>
      <c r="P41" s="601"/>
    </row>
    <row r="42" spans="1:16" ht="15" customHeight="1" x14ac:dyDescent="0.25">
      <c r="A42" s="41"/>
      <c r="B42" s="104"/>
      <c r="C42" s="1809"/>
      <c r="D42" s="1809"/>
      <c r="E42" s="1809"/>
      <c r="F42" s="624"/>
      <c r="G42" s="1812"/>
      <c r="H42" s="1812"/>
      <c r="I42" s="623"/>
      <c r="L42" s="600"/>
      <c r="M42" s="600"/>
      <c r="N42" s="600"/>
      <c r="O42" s="600"/>
      <c r="P42" s="600"/>
    </row>
    <row r="43" spans="1:16" ht="15" customHeight="1" x14ac:dyDescent="0.25">
      <c r="A43" s="41"/>
      <c r="B43" s="104"/>
      <c r="C43" s="1809"/>
      <c r="D43" s="1809"/>
      <c r="E43" s="1809"/>
      <c r="F43" s="624"/>
      <c r="G43" s="1812"/>
      <c r="H43" s="1812"/>
      <c r="I43" s="623"/>
    </row>
    <row r="44" spans="1:16" ht="15" customHeight="1" x14ac:dyDescent="0.25">
      <c r="A44" s="41"/>
      <c r="B44" s="104"/>
      <c r="C44" s="1809"/>
      <c r="D44" s="1809"/>
      <c r="E44" s="1809"/>
      <c r="F44" s="624"/>
      <c r="G44" s="1812"/>
      <c r="H44" s="1812"/>
      <c r="I44" s="623"/>
    </row>
    <row r="45" spans="1:16" ht="15" customHeight="1" x14ac:dyDescent="0.25">
      <c r="A45" s="41"/>
      <c r="B45" s="104"/>
      <c r="C45" s="1809"/>
      <c r="D45" s="1809"/>
      <c r="E45" s="1809"/>
      <c r="F45" s="624"/>
      <c r="G45" s="1812"/>
      <c r="H45" s="1812"/>
      <c r="I45" s="623"/>
    </row>
    <row r="46" spans="1:16" ht="15" customHeight="1" x14ac:dyDescent="0.25">
      <c r="A46" s="1801" t="s">
        <v>250</v>
      </c>
      <c r="B46" s="1802"/>
      <c r="C46" s="1802"/>
      <c r="D46" s="1802"/>
      <c r="E46" s="1802"/>
      <c r="F46" s="624"/>
      <c r="G46" s="1812"/>
      <c r="H46" s="1812"/>
      <c r="I46" s="623"/>
    </row>
    <row r="47" spans="1:16" ht="15" customHeight="1" x14ac:dyDescent="0.25">
      <c r="A47" s="1804"/>
      <c r="B47" s="1805"/>
      <c r="C47" s="1805"/>
      <c r="D47" s="1805"/>
      <c r="E47" s="1805"/>
      <c r="F47" s="624"/>
      <c r="G47" s="1812"/>
      <c r="H47" s="1812"/>
      <c r="I47" s="623"/>
    </row>
    <row r="48" spans="1:16" ht="15" customHeight="1" x14ac:dyDescent="0.25">
      <c r="A48" s="1811" t="s">
        <v>235</v>
      </c>
      <c r="B48" s="1813"/>
      <c r="C48" s="1813"/>
      <c r="D48" s="1813"/>
      <c r="E48" s="1813"/>
      <c r="F48" s="624"/>
      <c r="G48" s="1812"/>
      <c r="H48" s="1812"/>
      <c r="I48" s="623"/>
    </row>
    <row r="49" spans="1:9" ht="15" customHeight="1" x14ac:dyDescent="0.25">
      <c r="A49" s="1801" t="s">
        <v>249</v>
      </c>
      <c r="B49" s="1802"/>
      <c r="C49" s="1802"/>
      <c r="D49" s="1802"/>
      <c r="E49" s="1802"/>
      <c r="F49" s="624"/>
      <c r="G49" s="1812"/>
      <c r="H49" s="1812"/>
      <c r="I49" s="623"/>
    </row>
    <row r="50" spans="1:9" ht="15" customHeight="1" x14ac:dyDescent="0.25">
      <c r="A50" s="1814"/>
      <c r="B50" s="1809"/>
      <c r="C50" s="1809"/>
      <c r="D50" s="1809"/>
      <c r="E50" s="1809"/>
      <c r="F50" s="624"/>
      <c r="G50" s="1812"/>
      <c r="H50" s="1812"/>
      <c r="I50" s="623"/>
    </row>
    <row r="51" spans="1:9" ht="15" customHeight="1" x14ac:dyDescent="0.25">
      <c r="A51" s="1804"/>
      <c r="B51" s="1805"/>
      <c r="C51" s="1805"/>
      <c r="D51" s="1805"/>
      <c r="E51" s="1805"/>
      <c r="F51" s="1674" t="s">
        <v>780</v>
      </c>
      <c r="G51" s="1674"/>
      <c r="H51" s="1674"/>
      <c r="I51" s="1674"/>
    </row>
    <row r="52" spans="1:9" ht="3" customHeight="1" x14ac:dyDescent="0.25">
      <c r="A52" s="1580"/>
      <c r="B52" s="1581"/>
      <c r="C52" s="1581"/>
      <c r="D52" s="1581"/>
      <c r="E52" s="1581"/>
      <c r="F52" s="1581"/>
      <c r="G52" s="1581"/>
      <c r="H52" s="1581"/>
      <c r="I52" s="1583"/>
    </row>
    <row r="55" spans="1:9" x14ac:dyDescent="0.25">
      <c r="H55" s="589"/>
      <c r="I55" s="48"/>
    </row>
    <row r="56" spans="1:9" x14ac:dyDescent="0.25">
      <c r="H56" s="590"/>
      <c r="I56" s="49"/>
    </row>
    <row r="57" spans="1:9" x14ac:dyDescent="0.25">
      <c r="H57" s="590"/>
      <c r="I57" s="49"/>
    </row>
    <row r="58" spans="1:9" x14ac:dyDescent="0.25">
      <c r="H58" s="590"/>
      <c r="I58" s="49"/>
    </row>
    <row r="59" spans="1:9" x14ac:dyDescent="0.25">
      <c r="H59" s="590"/>
      <c r="I59" s="49"/>
    </row>
    <row r="60" spans="1:9" x14ac:dyDescent="0.25">
      <c r="A60" s="590"/>
      <c r="B60" s="590"/>
      <c r="D60" s="590"/>
    </row>
    <row r="62" spans="1:9" x14ac:dyDescent="0.25">
      <c r="A62" s="590"/>
      <c r="C62" s="590"/>
      <c r="E62" s="590"/>
      <c r="F62" s="590"/>
      <c r="G62" s="590"/>
      <c r="H62" s="590"/>
      <c r="I62" s="49"/>
    </row>
    <row r="63" spans="1:9" x14ac:dyDescent="0.25">
      <c r="A63" s="590"/>
    </row>
    <row r="64" spans="1:9" x14ac:dyDescent="0.25">
      <c r="A64" s="590"/>
      <c r="F64" s="590"/>
    </row>
    <row r="65" spans="1:9" x14ac:dyDescent="0.25">
      <c r="A65" s="590"/>
      <c r="F65" s="590"/>
    </row>
    <row r="66" spans="1:9" x14ac:dyDescent="0.25">
      <c r="A66" s="590"/>
      <c r="D66" s="47"/>
      <c r="F66" s="590"/>
    </row>
    <row r="67" spans="1:9" x14ac:dyDescent="0.25">
      <c r="A67" s="590"/>
      <c r="B67" s="590"/>
      <c r="D67" s="590"/>
      <c r="F67" s="590"/>
    </row>
    <row r="68" spans="1:9" x14ac:dyDescent="0.25">
      <c r="E68" s="47"/>
      <c r="F68" s="590"/>
      <c r="G68" s="47"/>
      <c r="H68" s="47"/>
    </row>
    <row r="69" spans="1:9" x14ac:dyDescent="0.25">
      <c r="A69" s="590"/>
      <c r="B69" s="590"/>
      <c r="C69" s="590"/>
      <c r="D69" s="590"/>
      <c r="E69" s="590"/>
      <c r="F69" s="590"/>
      <c r="G69" s="590"/>
      <c r="H69" s="590"/>
      <c r="I69" s="49"/>
    </row>
    <row r="71" spans="1:9" x14ac:dyDescent="0.25">
      <c r="C71" s="590"/>
      <c r="E71" s="49"/>
      <c r="F71" s="590"/>
      <c r="G71" s="590"/>
      <c r="H71" s="590"/>
      <c r="I71" s="49"/>
    </row>
  </sheetData>
  <mergeCells count="96">
    <mergeCell ref="G48:H48"/>
    <mergeCell ref="G49:H49"/>
    <mergeCell ref="G50:H50"/>
    <mergeCell ref="C40:E40"/>
    <mergeCell ref="G40:H40"/>
    <mergeCell ref="C42:E42"/>
    <mergeCell ref="G42:H42"/>
    <mergeCell ref="C41:E41"/>
    <mergeCell ref="G47:H47"/>
    <mergeCell ref="A48:E48"/>
    <mergeCell ref="A46:E47"/>
    <mergeCell ref="A49:E51"/>
    <mergeCell ref="C44:E44"/>
    <mergeCell ref="C45:E45"/>
    <mergeCell ref="G39:H39"/>
    <mergeCell ref="G43:H43"/>
    <mergeCell ref="G44:H44"/>
    <mergeCell ref="G45:H45"/>
    <mergeCell ref="G46:H46"/>
    <mergeCell ref="G41:H41"/>
    <mergeCell ref="G37:H37"/>
    <mergeCell ref="G38:H38"/>
    <mergeCell ref="G35:H35"/>
    <mergeCell ref="G36:H36"/>
    <mergeCell ref="G33:H33"/>
    <mergeCell ref="G34:H34"/>
    <mergeCell ref="A22:A23"/>
    <mergeCell ref="A26:A27"/>
    <mergeCell ref="A24:A25"/>
    <mergeCell ref="A32:A33"/>
    <mergeCell ref="C32:E33"/>
    <mergeCell ref="C28:E28"/>
    <mergeCell ref="B22:B23"/>
    <mergeCell ref="B24:B25"/>
    <mergeCell ref="B26:B27"/>
    <mergeCell ref="B32:B33"/>
    <mergeCell ref="A34:A35"/>
    <mergeCell ref="C37:E37"/>
    <mergeCell ref="C38:E38"/>
    <mergeCell ref="C39:E39"/>
    <mergeCell ref="C43:E43"/>
    <mergeCell ref="C34:E35"/>
    <mergeCell ref="C36:E36"/>
    <mergeCell ref="B34:B35"/>
    <mergeCell ref="G29:H29"/>
    <mergeCell ref="C30:E30"/>
    <mergeCell ref="G30:H30"/>
    <mergeCell ref="C31:E31"/>
    <mergeCell ref="G31:H31"/>
    <mergeCell ref="G28:H28"/>
    <mergeCell ref="G24:H24"/>
    <mergeCell ref="G25:H25"/>
    <mergeCell ref="C24:E25"/>
    <mergeCell ref="C26:E27"/>
    <mergeCell ref="A52:I52"/>
    <mergeCell ref="C18:E18"/>
    <mergeCell ref="C19:E19"/>
    <mergeCell ref="G19:H19"/>
    <mergeCell ref="C20:E20"/>
    <mergeCell ref="G32:H32"/>
    <mergeCell ref="G26:H26"/>
    <mergeCell ref="C29:E29"/>
    <mergeCell ref="G20:H20"/>
    <mergeCell ref="G23:H23"/>
    <mergeCell ref="C22:E23"/>
    <mergeCell ref="C21:E21"/>
    <mergeCell ref="G21:H21"/>
    <mergeCell ref="G22:H22"/>
    <mergeCell ref="F51:I51"/>
    <mergeCell ref="G27:H27"/>
    <mergeCell ref="A16:I16"/>
    <mergeCell ref="A17:E17"/>
    <mergeCell ref="F17:I17"/>
    <mergeCell ref="D15:E15"/>
    <mergeCell ref="F12:I12"/>
    <mergeCell ref="F14:I14"/>
    <mergeCell ref="F15:I15"/>
    <mergeCell ref="B15:C15"/>
    <mergeCell ref="A13:B13"/>
    <mergeCell ref="E5:E7"/>
    <mergeCell ref="F5:I7"/>
    <mergeCell ref="A10:B10"/>
    <mergeCell ref="A1:D7"/>
    <mergeCell ref="E1:I1"/>
    <mergeCell ref="E2:I2"/>
    <mergeCell ref="E3:I3"/>
    <mergeCell ref="E4:I4"/>
    <mergeCell ref="C10:D10"/>
    <mergeCell ref="F8:I8"/>
    <mergeCell ref="A11:B11"/>
    <mergeCell ref="C11:E11"/>
    <mergeCell ref="B12:E12"/>
    <mergeCell ref="H11:I11"/>
    <mergeCell ref="A9:I9"/>
    <mergeCell ref="F10:G10"/>
    <mergeCell ref="H10:I10"/>
  </mergeCells>
  <pageMargins left="0.7" right="0.7" top="0.75" bottom="0.75" header="0.3" footer="0.3"/>
  <pageSetup scale="91" fitToHeight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EEB9A968-24CC-4311-809E-38718EDA9BBC}">
          <x14:formula1>
            <xm:f>'R Data'!$W$37:$W$48</xm:f>
          </x14:formula1>
          <xm:sqref>C10:D10</xm:sqref>
        </x14:dataValidation>
        <x14:dataValidation type="list" allowBlank="1" showInputMessage="1" showErrorMessage="1" xr:uid="{747BC495-645A-41BD-AF83-1DDC986E25AD}">
          <x14:formula1>
            <xm:f>'R Data'!$W$2:$W$11</xm:f>
          </x14:formula1>
          <xm:sqref>B17 D17:E17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04B06D-4E2F-4F4F-A122-0D16CAC030FD}">
  <sheetPr codeName="Sheet12">
    <tabColor rgb="FF0066FF"/>
    <pageSetUpPr fitToPage="1"/>
  </sheetPr>
  <dimension ref="A1:L71"/>
  <sheetViews>
    <sheetView workbookViewId="0">
      <selection activeCell="O34" sqref="O34"/>
    </sheetView>
  </sheetViews>
  <sheetFormatPr defaultRowHeight="15" outlineLevelRow="1" x14ac:dyDescent="0.25"/>
  <cols>
    <col min="1" max="1" width="7.42578125" style="359" customWidth="1"/>
    <col min="2" max="2" width="11.42578125" style="359" customWidth="1"/>
    <col min="3" max="4" width="9.140625" style="359"/>
    <col min="5" max="5" width="15.28515625" style="359" customWidth="1"/>
    <col min="6" max="6" width="8.42578125" style="359" customWidth="1"/>
    <col min="7" max="8" width="10.28515625" style="359" customWidth="1"/>
    <col min="9" max="9" width="15.7109375" style="47" customWidth="1"/>
    <col min="10" max="16384" width="9.140625" style="359"/>
  </cols>
  <sheetData>
    <row r="1" spans="1:9" x14ac:dyDescent="0.25">
      <c r="A1" s="1463"/>
      <c r="B1" s="1463"/>
      <c r="C1" s="1463"/>
      <c r="D1" s="1463"/>
      <c r="E1" s="1463"/>
      <c r="F1" s="1463"/>
      <c r="G1" s="1463"/>
      <c r="H1" s="1463"/>
      <c r="I1" s="1463"/>
    </row>
    <row r="2" spans="1:9" x14ac:dyDescent="0.25">
      <c r="A2" s="1463"/>
      <c r="B2" s="1463"/>
      <c r="C2" s="1463"/>
      <c r="D2" s="1463"/>
      <c r="E2" s="1640" t="s">
        <v>776</v>
      </c>
      <c r="F2" s="1640"/>
      <c r="G2" s="1640"/>
      <c r="H2" s="1640"/>
      <c r="I2" s="1640"/>
    </row>
    <row r="3" spans="1:9" x14ac:dyDescent="0.25">
      <c r="A3" s="1463"/>
      <c r="B3" s="1463"/>
      <c r="C3" s="1463"/>
      <c r="D3" s="1463"/>
      <c r="E3" s="1639" t="s">
        <v>777</v>
      </c>
      <c r="F3" s="1639"/>
      <c r="G3" s="1639"/>
      <c r="H3" s="1639"/>
      <c r="I3" s="1639"/>
    </row>
    <row r="4" spans="1:9" x14ac:dyDescent="0.25">
      <c r="A4" s="1463"/>
      <c r="B4" s="1463"/>
      <c r="C4" s="1463"/>
      <c r="D4" s="1463"/>
      <c r="E4" s="1640" t="s">
        <v>228</v>
      </c>
      <c r="F4" s="1640"/>
      <c r="G4" s="1640"/>
      <c r="H4" s="1640"/>
      <c r="I4" s="1640"/>
    </row>
    <row r="5" spans="1:9" x14ac:dyDescent="0.25">
      <c r="A5" s="1463"/>
      <c r="B5" s="1463"/>
      <c r="C5" s="1463"/>
      <c r="D5" s="1463"/>
      <c r="E5" s="1641" t="s">
        <v>10087</v>
      </c>
      <c r="F5" s="1641" t="str">
        <f>'B 1'!R1</f>
        <v>RFP -</v>
      </c>
      <c r="G5" s="1641"/>
      <c r="H5" s="1641"/>
      <c r="I5" s="1641"/>
    </row>
    <row r="6" spans="1:9" x14ac:dyDescent="0.25">
      <c r="A6" s="1463"/>
      <c r="B6" s="1463"/>
      <c r="C6" s="1463"/>
      <c r="D6" s="1463"/>
      <c r="E6" s="1641"/>
      <c r="F6" s="1641"/>
      <c r="G6" s="1641"/>
      <c r="H6" s="1641"/>
      <c r="I6" s="1641"/>
    </row>
    <row r="7" spans="1:9" x14ac:dyDescent="0.25">
      <c r="A7" s="1463"/>
      <c r="B7" s="1463"/>
      <c r="C7" s="1463"/>
      <c r="D7" s="1463"/>
      <c r="E7" s="1641"/>
      <c r="F7" s="1641"/>
      <c r="G7" s="1641"/>
      <c r="H7" s="1641"/>
      <c r="I7" s="1641"/>
    </row>
    <row r="8" spans="1:9" ht="18.75" x14ac:dyDescent="0.25">
      <c r="A8" s="1643" t="str" cm="1">
        <f t="array" aca="1" ref="A8" ca="1">MID(CELL("filename",A1),FIND("]",CELL("filename",A1))+1,255)</f>
        <v>Jay's PO</v>
      </c>
      <c r="B8" s="1643"/>
      <c r="C8" s="1643"/>
      <c r="D8" s="1643"/>
      <c r="E8" s="842"/>
      <c r="F8" s="1643" t="s">
        <v>10371</v>
      </c>
      <c r="G8" s="1643"/>
      <c r="H8" s="1643"/>
      <c r="I8" s="1643"/>
    </row>
    <row r="9" spans="1:9" ht="3" customHeight="1" x14ac:dyDescent="0.25">
      <c r="A9" s="1580"/>
      <c r="B9" s="1581"/>
      <c r="C9" s="1581"/>
      <c r="D9" s="1581"/>
      <c r="E9" s="1581"/>
      <c r="F9" s="1581"/>
      <c r="G9" s="1581"/>
      <c r="H9" s="1581"/>
      <c r="I9" s="1583"/>
    </row>
    <row r="10" spans="1:9" x14ac:dyDescent="0.25">
      <c r="A10" s="1578" t="s">
        <v>305</v>
      </c>
      <c r="B10" s="1579"/>
      <c r="C10" s="1635" t="str">
        <f>'B 1'!S3</f>
        <v>Dwight Cameron 403-492-9351 dwight@megaroofing.ca</v>
      </c>
      <c r="D10" s="1635"/>
      <c r="E10" s="1636"/>
      <c r="F10" s="1578" t="s">
        <v>230</v>
      </c>
      <c r="G10" s="1579"/>
      <c r="H10" s="1644">
        <f ca="1">TODAY()</f>
        <v>46240</v>
      </c>
      <c r="I10" s="1645"/>
    </row>
    <row r="11" spans="1:9" ht="15" customHeight="1" x14ac:dyDescent="0.25">
      <c r="A11" s="1633"/>
      <c r="B11" s="1634"/>
      <c r="C11" s="1637"/>
      <c r="D11" s="1637"/>
      <c r="E11" s="1638"/>
      <c r="F11" s="591" t="s">
        <v>994</v>
      </c>
      <c r="G11" s="592"/>
      <c r="H11" s="1631" t="str">
        <f>'B 1'!D2</f>
        <v>Company Name</v>
      </c>
      <c r="I11" s="1632"/>
    </row>
    <row r="12" spans="1:9" ht="15" customHeight="1" x14ac:dyDescent="0.25">
      <c r="A12" s="1589"/>
      <c r="B12" s="1590"/>
      <c r="C12" s="1590"/>
      <c r="D12" s="1590"/>
      <c r="E12" s="1591"/>
      <c r="F12" s="1578" t="s">
        <v>991</v>
      </c>
      <c r="G12" s="1579"/>
      <c r="H12" s="1579"/>
      <c r="I12" s="1584"/>
    </row>
    <row r="13" spans="1:9" x14ac:dyDescent="0.25">
      <c r="A13" s="1592"/>
      <c r="B13" s="1593"/>
      <c r="C13" s="1593"/>
      <c r="D13" s="1593"/>
      <c r="E13" s="1594"/>
      <c r="F13" s="1585" t="str">
        <f>'B 1'!D4</f>
        <v>ADDRESS</v>
      </c>
      <c r="G13" s="1586"/>
      <c r="H13" s="1586"/>
      <c r="I13" s="593" t="s">
        <v>993</v>
      </c>
    </row>
    <row r="14" spans="1:9" ht="3" customHeight="1" x14ac:dyDescent="0.25">
      <c r="A14" s="1580"/>
      <c r="B14" s="1581"/>
      <c r="C14" s="1581"/>
      <c r="D14" s="1581"/>
      <c r="E14" s="1581"/>
      <c r="F14" s="1581"/>
      <c r="G14" s="1581"/>
      <c r="H14" s="1581"/>
      <c r="I14" s="1583"/>
    </row>
    <row r="15" spans="1:9" ht="15.75" x14ac:dyDescent="0.25">
      <c r="A15" s="1578" t="s">
        <v>794</v>
      </c>
      <c r="B15" s="1579"/>
      <c r="C15" s="1788" t="str">
        <f>F5</f>
        <v>RFP -</v>
      </c>
      <c r="D15" s="1788"/>
      <c r="E15" s="1789"/>
      <c r="F15" s="1587" t="s">
        <v>307</v>
      </c>
      <c r="G15" s="1588"/>
      <c r="H15" s="1588"/>
      <c r="I15" s="1588"/>
    </row>
    <row r="16" spans="1:9" ht="17.25" customHeight="1" outlineLevel="1" x14ac:dyDescent="0.25">
      <c r="A16" s="1626" t="s">
        <v>1251</v>
      </c>
      <c r="B16" s="1627"/>
      <c r="C16" s="570"/>
      <c r="D16" s="570"/>
      <c r="E16" s="573">
        <v>45917</v>
      </c>
      <c r="F16" s="1615" t="s">
        <v>779</v>
      </c>
      <c r="G16" s="1820"/>
      <c r="H16" s="1820"/>
      <c r="I16" s="1615"/>
    </row>
    <row r="17" spans="1:12" outlineLevel="1" x14ac:dyDescent="0.25">
      <c r="A17" s="1626" t="s">
        <v>1249</v>
      </c>
      <c r="B17" s="1627"/>
      <c r="C17" s="1623" t="s">
        <v>1250</v>
      </c>
      <c r="D17" s="1624"/>
      <c r="E17" s="1625"/>
      <c r="F17" s="607">
        <f>'B 1'!J20</f>
        <v>0</v>
      </c>
      <c r="G17" s="608" t="str">
        <f>'B 1'!C20</f>
        <v xml:space="preserve">Drip Edge - 26ga - 1.5" </v>
      </c>
      <c r="H17" s="609"/>
      <c r="I17" s="571" t="s">
        <v>148</v>
      </c>
    </row>
    <row r="18" spans="1:12" ht="15" customHeight="1" outlineLevel="1" x14ac:dyDescent="0.25">
      <c r="A18" s="1626" t="s">
        <v>1252</v>
      </c>
      <c r="B18" s="1627"/>
      <c r="C18" s="570"/>
      <c r="D18" s="572"/>
      <c r="E18" s="573">
        <v>45917</v>
      </c>
      <c r="F18" s="607">
        <f>'B 1'!J21</f>
        <v>0</v>
      </c>
      <c r="G18" s="608" t="str">
        <f>'B 1'!C21</f>
        <v xml:space="preserve">Rake Edge - 26ga - 1" </v>
      </c>
      <c r="H18" s="609"/>
      <c r="I18" s="109" t="str">
        <f>I17</f>
        <v>Black</v>
      </c>
    </row>
    <row r="19" spans="1:12" outlineLevel="1" x14ac:dyDescent="0.25">
      <c r="A19" s="1628" t="s">
        <v>351</v>
      </c>
      <c r="B19" s="1629"/>
      <c r="C19" s="1629"/>
      <c r="D19" s="1629"/>
      <c r="E19" s="1630"/>
      <c r="F19" s="607">
        <f>'B 1'!J22</f>
        <v>0</v>
      </c>
      <c r="G19" s="608" t="str">
        <f>'B 1'!C22</f>
        <v xml:space="preserve">Valley Flashing - 28ga </v>
      </c>
      <c r="H19" s="610"/>
      <c r="I19" s="46" t="str">
        <f>I18</f>
        <v>Black</v>
      </c>
    </row>
    <row r="20" spans="1:12" ht="15" customHeight="1" outlineLevel="1" x14ac:dyDescent="0.25">
      <c r="A20" s="1562" t="str">
        <f>VLOOKUP(A19,'R Data'!W2:X11,2,FALSE)</f>
        <v>desk1@jaysmetal.com</v>
      </c>
      <c r="B20" s="1563"/>
      <c r="C20" s="1563"/>
      <c r="D20" s="1563"/>
      <c r="E20" s="1564"/>
      <c r="F20" s="607">
        <f>'B 1'!J23</f>
        <v>0</v>
      </c>
      <c r="G20" s="608" t="str">
        <f>'B 1'!C23</f>
        <v>Transition Flashing</v>
      </c>
      <c r="H20" s="313"/>
      <c r="I20" s="46" t="str">
        <f>I19</f>
        <v>Black</v>
      </c>
    </row>
    <row r="21" spans="1:12" ht="15" customHeight="1" outlineLevel="1" x14ac:dyDescent="0.25">
      <c r="A21" s="1562" t="str">
        <f>VLOOKUP(A20,'R Data'!X2:Y11,2,FALSE)</f>
        <v>Unit 160 - 1324 36 Ave NE</v>
      </c>
      <c r="B21" s="1563"/>
      <c r="C21" s="1563"/>
      <c r="D21" s="1563"/>
      <c r="E21" s="1564"/>
      <c r="F21" s="607">
        <f>'B 1'!J25</f>
        <v>0</v>
      </c>
      <c r="G21" s="608" t="str">
        <f>'B 1'!C25</f>
        <v>Wall Flashing - 30ga</v>
      </c>
      <c r="H21" s="313"/>
      <c r="I21" s="46" t="str">
        <f>I20</f>
        <v>Black</v>
      </c>
    </row>
    <row r="22" spans="1:12" ht="15" customHeight="1" x14ac:dyDescent="0.25">
      <c r="A22" s="1618" t="s">
        <v>306</v>
      </c>
      <c r="B22" s="1619"/>
      <c r="C22" s="1619"/>
      <c r="D22" s="1619"/>
      <c r="E22" s="1620"/>
      <c r="F22" s="607">
        <f>'B 1'!J37</f>
        <v>8.0000000000000008E-11</v>
      </c>
      <c r="G22" s="608" t="str">
        <f>'B 1'!C37</f>
        <v>Screws</v>
      </c>
      <c r="H22" s="313"/>
      <c r="I22" s="46" t="str">
        <f>I21</f>
        <v>Black</v>
      </c>
    </row>
    <row r="23" spans="1:12" ht="15" customHeight="1" x14ac:dyDescent="0.25">
      <c r="A23" s="1562" t="str">
        <f>VLOOKUP(A21,'R Data'!Y2:Z11,2,FALSE)</f>
        <v>T2E 8S1</v>
      </c>
      <c r="B23" s="1563"/>
      <c r="C23" s="1563"/>
      <c r="D23" s="1563"/>
      <c r="E23" s="1564"/>
      <c r="F23" s="1615"/>
      <c r="G23" s="1615"/>
      <c r="H23" s="1615"/>
      <c r="I23" s="1615"/>
    </row>
    <row r="24" spans="1:12" x14ac:dyDescent="0.25">
      <c r="A24" s="1562" t="str">
        <f>VLOOKUP(A23,'R Data'!Z2:AA11,2,FALSE)</f>
        <v>403-276-6062</v>
      </c>
      <c r="B24" s="1563"/>
      <c r="C24" s="1563"/>
      <c r="D24" s="1563"/>
      <c r="E24" s="1564"/>
      <c r="F24" s="1615"/>
      <c r="G24" s="1615"/>
      <c r="H24" s="1615"/>
      <c r="I24" s="1615"/>
      <c r="L24" s="96"/>
    </row>
    <row r="25" spans="1:12" x14ac:dyDescent="0.25">
      <c r="A25" s="1573" t="s">
        <v>746</v>
      </c>
      <c r="B25" s="1574"/>
      <c r="C25" s="1574"/>
      <c r="D25" s="1574"/>
      <c r="E25" s="569"/>
      <c r="F25" s="1615"/>
      <c r="G25" s="1615"/>
      <c r="H25" s="1615"/>
      <c r="I25" s="1615"/>
      <c r="L25" s="96"/>
    </row>
    <row r="26" spans="1:12" x14ac:dyDescent="0.25">
      <c r="A26" s="1568" t="s">
        <v>786</v>
      </c>
      <c r="B26" s="1815"/>
      <c r="C26" s="1815"/>
      <c r="D26" s="1815"/>
      <c r="E26" s="1816"/>
      <c r="F26" s="1615"/>
      <c r="G26" s="1615"/>
      <c r="H26" s="1615"/>
      <c r="I26" s="1615"/>
    </row>
    <row r="27" spans="1:12" x14ac:dyDescent="0.25">
      <c r="A27" s="1817"/>
      <c r="B27" s="1818"/>
      <c r="C27" s="1818"/>
      <c r="D27" s="1818"/>
      <c r="E27" s="1819"/>
      <c r="F27" s="1615"/>
      <c r="G27" s="1615"/>
      <c r="H27" s="1615"/>
      <c r="I27" s="1615"/>
    </row>
    <row r="28" spans="1:12" ht="15" customHeight="1" x14ac:dyDescent="0.25">
      <c r="A28" s="1575" t="s">
        <v>344</v>
      </c>
      <c r="B28" s="1576"/>
      <c r="C28" s="1576"/>
      <c r="D28" s="1576"/>
      <c r="E28" s="1577"/>
      <c r="F28" s="1615"/>
      <c r="G28" s="1615"/>
      <c r="H28" s="1615"/>
      <c r="I28" s="1615"/>
    </row>
    <row r="29" spans="1:12" x14ac:dyDescent="0.25">
      <c r="A29" s="1595"/>
      <c r="B29" s="1821"/>
      <c r="C29" s="1821"/>
      <c r="D29" s="1821"/>
      <c r="E29" s="1596"/>
      <c r="F29" s="1615"/>
      <c r="G29" s="1615"/>
      <c r="H29" s="1615"/>
      <c r="I29" s="1615"/>
    </row>
    <row r="30" spans="1:12" ht="15" customHeight="1" x14ac:dyDescent="0.25">
      <c r="A30" s="1618"/>
      <c r="B30" s="1619"/>
      <c r="C30" s="1619"/>
      <c r="D30" s="1619"/>
      <c r="E30" s="1620"/>
      <c r="F30" s="1615"/>
      <c r="G30" s="1615"/>
      <c r="H30" s="1615"/>
      <c r="I30" s="1615"/>
    </row>
    <row r="31" spans="1:12" x14ac:dyDescent="0.25">
      <c r="A31" s="1618"/>
      <c r="B31" s="1619"/>
      <c r="C31" s="1619"/>
      <c r="D31" s="1619"/>
      <c r="E31" s="1620"/>
      <c r="F31" s="1615"/>
      <c r="G31" s="1615"/>
      <c r="H31" s="1615"/>
      <c r="I31" s="1615"/>
    </row>
    <row r="32" spans="1:12" x14ac:dyDescent="0.25">
      <c r="A32" s="1618"/>
      <c r="B32" s="1619"/>
      <c r="C32" s="1619"/>
      <c r="D32" s="1619"/>
      <c r="E32" s="1620"/>
      <c r="F32" s="1615"/>
      <c r="G32" s="1615"/>
      <c r="H32" s="1615"/>
      <c r="I32" s="1615"/>
    </row>
    <row r="33" spans="1:11" ht="15" customHeight="1" x14ac:dyDescent="0.25">
      <c r="A33" s="1618"/>
      <c r="B33" s="1619"/>
      <c r="C33" s="1619"/>
      <c r="D33" s="1619"/>
      <c r="E33" s="1620"/>
      <c r="F33" s="1615"/>
      <c r="G33" s="1615"/>
      <c r="H33" s="1615"/>
      <c r="I33" s="1615"/>
    </row>
    <row r="34" spans="1:11" x14ac:dyDescent="0.25">
      <c r="A34" s="1618"/>
      <c r="B34" s="1619"/>
      <c r="C34" s="1619"/>
      <c r="D34" s="1619"/>
      <c r="E34" s="1620"/>
      <c r="F34" s="1615"/>
      <c r="G34" s="1615"/>
      <c r="H34" s="1615"/>
      <c r="I34" s="1615"/>
    </row>
    <row r="35" spans="1:11" x14ac:dyDescent="0.25">
      <c r="A35" s="1618"/>
      <c r="B35" s="1619"/>
      <c r="C35" s="1619"/>
      <c r="D35" s="1619"/>
      <c r="E35" s="1620"/>
      <c r="F35" s="1615"/>
      <c r="G35" s="1615"/>
      <c r="H35" s="1615"/>
      <c r="I35" s="1615"/>
    </row>
    <row r="36" spans="1:11" ht="15" customHeight="1" x14ac:dyDescent="0.25">
      <c r="A36" s="1618"/>
      <c r="B36" s="1619"/>
      <c r="C36" s="1619"/>
      <c r="D36" s="1619"/>
      <c r="E36" s="1620"/>
      <c r="F36" s="1615"/>
      <c r="G36" s="1615"/>
      <c r="H36" s="1615"/>
      <c r="I36" s="1615"/>
    </row>
    <row r="37" spans="1:11" x14ac:dyDescent="0.25">
      <c r="A37" s="1618"/>
      <c r="B37" s="1619"/>
      <c r="C37" s="1619"/>
      <c r="D37" s="1619"/>
      <c r="E37" s="1620"/>
      <c r="F37" s="1615"/>
      <c r="G37" s="1615"/>
      <c r="H37" s="1615"/>
      <c r="I37" s="1615"/>
    </row>
    <row r="38" spans="1:11" x14ac:dyDescent="0.25">
      <c r="A38" s="1618"/>
      <c r="B38" s="1619"/>
      <c r="C38" s="1619"/>
      <c r="D38" s="1619"/>
      <c r="E38" s="1620"/>
      <c r="F38" s="1615"/>
      <c r="G38" s="1615"/>
      <c r="H38" s="1615"/>
      <c r="I38" s="1615"/>
    </row>
    <row r="39" spans="1:11" ht="15" customHeight="1" x14ac:dyDescent="0.25">
      <c r="A39" s="1618"/>
      <c r="B39" s="1619"/>
      <c r="C39" s="1619"/>
      <c r="D39" s="1619"/>
      <c r="E39" s="1620"/>
      <c r="F39" s="1615"/>
      <c r="G39" s="1615"/>
      <c r="H39" s="1615"/>
      <c r="I39" s="1615"/>
    </row>
    <row r="40" spans="1:11" x14ac:dyDescent="0.25">
      <c r="A40" s="1618"/>
      <c r="B40" s="1619"/>
      <c r="C40" s="1619"/>
      <c r="D40" s="1619"/>
      <c r="E40" s="1620"/>
      <c r="F40" s="1615"/>
      <c r="G40" s="1615"/>
      <c r="H40" s="1615"/>
      <c r="I40" s="1615"/>
    </row>
    <row r="41" spans="1:11" x14ac:dyDescent="0.25">
      <c r="A41" s="1618"/>
      <c r="B41" s="1619"/>
      <c r="C41" s="1619"/>
      <c r="D41" s="1619"/>
      <c r="E41" s="1620"/>
      <c r="F41" s="1615"/>
      <c r="G41" s="1615"/>
      <c r="H41" s="1615"/>
      <c r="I41" s="1615"/>
    </row>
    <row r="42" spans="1:11" x14ac:dyDescent="0.25">
      <c r="A42" s="1618"/>
      <c r="B42" s="1619"/>
      <c r="C42" s="1619"/>
      <c r="D42" s="1619"/>
      <c r="E42" s="1620"/>
      <c r="F42" s="1615"/>
      <c r="G42" s="1615"/>
      <c r="H42" s="1615"/>
      <c r="I42" s="1615"/>
    </row>
    <row r="43" spans="1:11" x14ac:dyDescent="0.25">
      <c r="A43" s="1618"/>
      <c r="B43" s="1619"/>
      <c r="C43" s="1619"/>
      <c r="D43" s="1619"/>
      <c r="E43" s="1620"/>
      <c r="F43" s="1615"/>
      <c r="G43" s="1615"/>
      <c r="H43" s="1615"/>
      <c r="I43" s="1615"/>
    </row>
    <row r="44" spans="1:11" x14ac:dyDescent="0.25">
      <c r="A44" s="1618"/>
      <c r="B44" s="1619"/>
      <c r="C44" s="1619"/>
      <c r="D44" s="1619"/>
      <c r="E44" s="1620"/>
      <c r="F44" s="1615"/>
      <c r="G44" s="1615"/>
      <c r="H44" s="1615"/>
      <c r="I44" s="1615"/>
      <c r="K44" s="594"/>
    </row>
    <row r="45" spans="1:11" x14ac:dyDescent="0.25">
      <c r="A45" s="1618"/>
      <c r="B45" s="1619"/>
      <c r="C45" s="1619"/>
      <c r="D45" s="1619"/>
      <c r="E45" s="1620"/>
      <c r="F45" s="1615"/>
      <c r="G45" s="1615"/>
      <c r="H45" s="1615"/>
      <c r="I45" s="1615"/>
    </row>
    <row r="46" spans="1:11" x14ac:dyDescent="0.25">
      <c r="A46" s="1618"/>
      <c r="B46" s="1619"/>
      <c r="C46" s="1619"/>
      <c r="D46" s="1619"/>
      <c r="E46" s="1620"/>
      <c r="F46" s="1615"/>
      <c r="G46" s="1615"/>
      <c r="H46" s="1615"/>
      <c r="I46" s="1615"/>
    </row>
    <row r="47" spans="1:11" x14ac:dyDescent="0.25">
      <c r="A47" s="1618"/>
      <c r="B47" s="1619"/>
      <c r="C47" s="1619"/>
      <c r="D47" s="1619"/>
      <c r="E47" s="1620"/>
      <c r="F47" s="1615"/>
      <c r="G47" s="1615"/>
      <c r="H47" s="1615"/>
      <c r="I47" s="1615"/>
    </row>
    <row r="48" spans="1:11" ht="15" customHeight="1" x14ac:dyDescent="0.25">
      <c r="A48" s="1618"/>
      <c r="B48" s="1619"/>
      <c r="C48" s="1619"/>
      <c r="D48" s="1619"/>
      <c r="E48" s="1620"/>
      <c r="F48" s="1615"/>
      <c r="G48" s="1615"/>
      <c r="H48" s="1615"/>
      <c r="I48" s="1615"/>
    </row>
    <row r="49" spans="1:9" ht="15" customHeight="1" x14ac:dyDescent="0.25">
      <c r="A49" s="1618"/>
      <c r="B49" s="1619"/>
      <c r="C49" s="1619"/>
      <c r="D49" s="1619"/>
      <c r="E49" s="1620"/>
      <c r="F49" s="1615"/>
      <c r="G49" s="1615"/>
      <c r="H49" s="1615"/>
      <c r="I49" s="1615"/>
    </row>
    <row r="50" spans="1:9" ht="15" customHeight="1" x14ac:dyDescent="0.25">
      <c r="A50" s="1618"/>
      <c r="B50" s="1619"/>
      <c r="C50" s="1619"/>
      <c r="D50" s="1619"/>
      <c r="E50" s="1620"/>
      <c r="F50" s="1615"/>
      <c r="G50" s="1615"/>
      <c r="H50" s="1615"/>
      <c r="I50" s="1615"/>
    </row>
    <row r="51" spans="1:9" x14ac:dyDescent="0.25">
      <c r="A51" s="1822"/>
      <c r="B51" s="1694"/>
      <c r="C51" s="1694"/>
      <c r="D51" s="1694"/>
      <c r="E51" s="1695"/>
      <c r="F51" s="1588" t="s">
        <v>780</v>
      </c>
      <c r="G51" s="1588"/>
      <c r="H51" s="1588"/>
      <c r="I51" s="1588"/>
    </row>
    <row r="52" spans="1:9" ht="3" customHeight="1" x14ac:dyDescent="0.25">
      <c r="A52" s="1580"/>
      <c r="B52" s="1581"/>
      <c r="C52" s="1581"/>
      <c r="D52" s="1581"/>
      <c r="E52" s="1581"/>
      <c r="F52" s="1581"/>
      <c r="G52" s="1581"/>
      <c r="H52" s="1581"/>
      <c r="I52" s="1583"/>
    </row>
    <row r="55" spans="1:9" x14ac:dyDescent="0.25">
      <c r="H55" s="589"/>
      <c r="I55" s="48"/>
    </row>
    <row r="56" spans="1:9" x14ac:dyDescent="0.25">
      <c r="H56" s="590"/>
      <c r="I56" s="49"/>
    </row>
    <row r="57" spans="1:9" x14ac:dyDescent="0.25">
      <c r="H57" s="590"/>
      <c r="I57" s="49"/>
    </row>
    <row r="58" spans="1:9" x14ac:dyDescent="0.25">
      <c r="H58" s="590"/>
      <c r="I58" s="49"/>
    </row>
    <row r="59" spans="1:9" x14ac:dyDescent="0.25">
      <c r="H59" s="590"/>
      <c r="I59" s="49"/>
    </row>
    <row r="62" spans="1:9" x14ac:dyDescent="0.25">
      <c r="A62" s="590"/>
      <c r="B62" s="590"/>
      <c r="C62" s="590"/>
      <c r="D62" s="590"/>
      <c r="E62" s="590"/>
      <c r="F62" s="590"/>
      <c r="G62" s="590"/>
      <c r="H62" s="590"/>
      <c r="I62" s="49"/>
    </row>
    <row r="64" spans="1:9" x14ac:dyDescent="0.25">
      <c r="A64" s="590"/>
      <c r="F64" s="590"/>
    </row>
    <row r="65" spans="1:9" x14ac:dyDescent="0.25">
      <c r="A65" s="590"/>
      <c r="F65" s="590"/>
    </row>
    <row r="66" spans="1:9" x14ac:dyDescent="0.25">
      <c r="A66" s="590"/>
      <c r="F66" s="590"/>
    </row>
    <row r="67" spans="1:9" x14ac:dyDescent="0.25">
      <c r="A67" s="590"/>
      <c r="F67" s="590"/>
    </row>
    <row r="68" spans="1:9" x14ac:dyDescent="0.25">
      <c r="A68" s="590"/>
      <c r="D68" s="47"/>
      <c r="E68" s="47"/>
      <c r="F68" s="590"/>
      <c r="G68" s="47"/>
      <c r="H68" s="47"/>
    </row>
    <row r="69" spans="1:9" x14ac:dyDescent="0.25">
      <c r="A69" s="590"/>
      <c r="B69" s="590"/>
      <c r="C69" s="590"/>
      <c r="D69" s="590"/>
      <c r="E69" s="590"/>
      <c r="F69" s="590"/>
      <c r="G69" s="590"/>
      <c r="H69" s="590"/>
      <c r="I69" s="49"/>
    </row>
    <row r="71" spans="1:9" x14ac:dyDescent="0.25">
      <c r="A71" s="590"/>
      <c r="B71" s="590"/>
      <c r="C71" s="590"/>
      <c r="D71" s="590"/>
      <c r="E71" s="49"/>
      <c r="F71" s="590"/>
      <c r="G71" s="590"/>
      <c r="H71" s="590"/>
      <c r="I71" s="49"/>
    </row>
  </sheetData>
  <mergeCells count="67">
    <mergeCell ref="A9:I9"/>
    <mergeCell ref="F10:G10"/>
    <mergeCell ref="A21:E21"/>
    <mergeCell ref="A14:I14"/>
    <mergeCell ref="F15:I15"/>
    <mergeCell ref="H10:I10"/>
    <mergeCell ref="H11:I11"/>
    <mergeCell ref="A10:B11"/>
    <mergeCell ref="C10:E11"/>
    <mergeCell ref="F12:I12"/>
    <mergeCell ref="A16:B16"/>
    <mergeCell ref="A17:B17"/>
    <mergeCell ref="C17:E17"/>
    <mergeCell ref="F13:H13"/>
    <mergeCell ref="C15:E15"/>
    <mergeCell ref="A12:E13"/>
    <mergeCell ref="E5:E7"/>
    <mergeCell ref="F5:I7"/>
    <mergeCell ref="A1:D7"/>
    <mergeCell ref="E1:I1"/>
    <mergeCell ref="E2:I2"/>
    <mergeCell ref="E3:I3"/>
    <mergeCell ref="E4:I4"/>
    <mergeCell ref="F49:I49"/>
    <mergeCell ref="F36:I36"/>
    <mergeCell ref="F37:I37"/>
    <mergeCell ref="F39:I39"/>
    <mergeCell ref="F27:I27"/>
    <mergeCell ref="F28:I28"/>
    <mergeCell ref="F29:I29"/>
    <mergeCell ref="F30:I30"/>
    <mergeCell ref="F35:I35"/>
    <mergeCell ref="F40:I40"/>
    <mergeCell ref="F43:I43"/>
    <mergeCell ref="F41:I41"/>
    <mergeCell ref="F16:I16"/>
    <mergeCell ref="A15:B15"/>
    <mergeCell ref="F42:I42"/>
    <mergeCell ref="F24:I24"/>
    <mergeCell ref="F25:I25"/>
    <mergeCell ref="A18:B18"/>
    <mergeCell ref="A19:E19"/>
    <mergeCell ref="A20:E20"/>
    <mergeCell ref="A23:E23"/>
    <mergeCell ref="F23:I23"/>
    <mergeCell ref="A22:E22"/>
    <mergeCell ref="F26:I26"/>
    <mergeCell ref="A28:E28"/>
    <mergeCell ref="A29:E51"/>
    <mergeCell ref="F51:I51"/>
    <mergeCell ref="F50:I50"/>
    <mergeCell ref="F8:I8"/>
    <mergeCell ref="A8:D8"/>
    <mergeCell ref="A52:I52"/>
    <mergeCell ref="F48:I48"/>
    <mergeCell ref="F46:I46"/>
    <mergeCell ref="F47:I47"/>
    <mergeCell ref="A24:E24"/>
    <mergeCell ref="A25:D25"/>
    <mergeCell ref="A26:E27"/>
    <mergeCell ref="F31:I31"/>
    <mergeCell ref="F32:I32"/>
    <mergeCell ref="F33:I33"/>
    <mergeCell ref="F34:I34"/>
    <mergeCell ref="F38:I38"/>
    <mergeCell ref="F44:I44"/>
    <mergeCell ref="F45:I45"/>
  </mergeCells>
  <hyperlinks>
    <hyperlink ref="C17" r:id="rId1" xr:uid="{D316F204-DCE7-4F3E-A32A-4050FCE01013}"/>
  </hyperlinks>
  <pageMargins left="0.7" right="0.7" top="0.75" bottom="0.75" header="0.3" footer="0.3"/>
  <pageSetup scale="93" fitToHeight="0" orientation="portrait" r:id="rId2"/>
  <drawing r:id="rId3"/>
  <legacyDrawing r:id="rId4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225EF3DF-9E4F-4E4A-8FF7-7C05838D6CFB}">
          <x14:formula1>
            <xm:f>'R Data'!$W$2:$W$11</xm:f>
          </x14:formula1>
          <xm:sqref>A19</xm:sqref>
        </x14:dataValidation>
        <x14:dataValidation type="list" allowBlank="1" showInputMessage="1" showErrorMessage="1" xr:uid="{82BA9BF8-CAE7-4AE1-A12F-2DDADD1F5005}">
          <x14:formula1>
            <xm:f>'R Data'!$C$36:$C$41</xm:f>
          </x14:formula1>
          <xm:sqref>I17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2DB2BC-8450-4D49-91D6-A5982E9B6775}">
  <sheetPr codeName="Sheet13">
    <tabColor rgb="FF7030A0"/>
    <pageSetUpPr fitToPage="1"/>
  </sheetPr>
  <dimension ref="A1:I69"/>
  <sheetViews>
    <sheetView workbookViewId="0">
      <selection activeCell="M24" sqref="M24"/>
    </sheetView>
  </sheetViews>
  <sheetFormatPr defaultRowHeight="15" outlineLevelRow="1" x14ac:dyDescent="0.25"/>
  <cols>
    <col min="1" max="1" width="7.5703125" style="359" customWidth="1"/>
    <col min="2" max="2" width="11.42578125" style="359" customWidth="1"/>
    <col min="3" max="3" width="9.140625" style="359" customWidth="1"/>
    <col min="4" max="4" width="9.140625" style="359"/>
    <col min="5" max="5" width="13.28515625" style="359" bestFit="1" customWidth="1"/>
    <col min="6" max="6" width="8.42578125" style="359" customWidth="1"/>
    <col min="7" max="8" width="10.28515625" style="359" customWidth="1"/>
    <col min="9" max="9" width="15.7109375" style="47" customWidth="1"/>
    <col min="10" max="16384" width="9.140625" style="359"/>
  </cols>
  <sheetData>
    <row r="1" spans="1:9" x14ac:dyDescent="0.25">
      <c r="A1" s="1463"/>
      <c r="B1" s="1463"/>
      <c r="C1" s="1463"/>
      <c r="D1" s="1463"/>
      <c r="E1" s="1463"/>
      <c r="F1" s="1463"/>
      <c r="G1" s="1463"/>
      <c r="H1" s="1463"/>
      <c r="I1" s="1463"/>
    </row>
    <row r="2" spans="1:9" x14ac:dyDescent="0.25">
      <c r="A2" s="1463"/>
      <c r="B2" s="1463"/>
      <c r="C2" s="1463"/>
      <c r="D2" s="1463"/>
      <c r="E2" s="1640" t="s">
        <v>776</v>
      </c>
      <c r="F2" s="1640"/>
      <c r="G2" s="1640"/>
      <c r="H2" s="1640"/>
      <c r="I2" s="1640"/>
    </row>
    <row r="3" spans="1:9" x14ac:dyDescent="0.25">
      <c r="A3" s="1463"/>
      <c r="B3" s="1463"/>
      <c r="C3" s="1463"/>
      <c r="D3" s="1463"/>
      <c r="E3" s="1639" t="s">
        <v>777</v>
      </c>
      <c r="F3" s="1639"/>
      <c r="G3" s="1639"/>
      <c r="H3" s="1639"/>
      <c r="I3" s="1639"/>
    </row>
    <row r="4" spans="1:9" x14ac:dyDescent="0.25">
      <c r="A4" s="1463"/>
      <c r="B4" s="1463"/>
      <c r="C4" s="1463"/>
      <c r="D4" s="1463"/>
      <c r="E4" s="1640" t="s">
        <v>228</v>
      </c>
      <c r="F4" s="1640"/>
      <c r="G4" s="1640"/>
      <c r="H4" s="1640"/>
      <c r="I4" s="1640"/>
    </row>
    <row r="5" spans="1:9" x14ac:dyDescent="0.25">
      <c r="A5" s="1463"/>
      <c r="B5" s="1463"/>
      <c r="C5" s="1463"/>
      <c r="D5" s="1463"/>
      <c r="E5" s="1641" t="s">
        <v>10087</v>
      </c>
      <c r="F5" s="1641" t="str">
        <f>'B 1'!R1</f>
        <v>RFP -</v>
      </c>
      <c r="G5" s="1641"/>
      <c r="H5" s="1641"/>
      <c r="I5" s="1641"/>
    </row>
    <row r="6" spans="1:9" x14ac:dyDescent="0.25">
      <c r="A6" s="1463"/>
      <c r="B6" s="1463"/>
      <c r="C6" s="1463"/>
      <c r="D6" s="1463"/>
      <c r="E6" s="1641"/>
      <c r="F6" s="1641"/>
      <c r="G6" s="1641"/>
      <c r="H6" s="1641"/>
      <c r="I6" s="1641"/>
    </row>
    <row r="7" spans="1:9" x14ac:dyDescent="0.25">
      <c r="A7" s="1463"/>
      <c r="B7" s="1463"/>
      <c r="C7" s="1463"/>
      <c r="D7" s="1463"/>
      <c r="E7" s="1641"/>
      <c r="F7" s="1641"/>
      <c r="G7" s="1641"/>
      <c r="H7" s="1641"/>
      <c r="I7" s="1641"/>
    </row>
    <row r="8" spans="1:9" ht="18.75" x14ac:dyDescent="0.25">
      <c r="B8" s="842"/>
      <c r="C8" s="842"/>
      <c r="D8" s="842"/>
      <c r="E8" s="842"/>
      <c r="F8" s="1643" t="s">
        <v>852</v>
      </c>
      <c r="G8" s="1643"/>
      <c r="H8" s="1643"/>
      <c r="I8" s="1643"/>
    </row>
    <row r="9" spans="1:9" ht="3" customHeight="1" x14ac:dyDescent="0.25">
      <c r="A9" s="1580"/>
      <c r="B9" s="1581"/>
      <c r="C9" s="1581"/>
      <c r="D9" s="1581"/>
      <c r="E9" s="1581"/>
      <c r="F9" s="1581"/>
      <c r="G9" s="1581"/>
      <c r="H9" s="1581"/>
      <c r="I9" s="1583"/>
    </row>
    <row r="10" spans="1:9" x14ac:dyDescent="0.25">
      <c r="A10" s="1578" t="s">
        <v>305</v>
      </c>
      <c r="B10" s="1579"/>
      <c r="C10" s="1635" t="str">
        <f>'B 1'!S3</f>
        <v>Dwight Cameron 403-492-9351 dwight@megaroofing.ca</v>
      </c>
      <c r="D10" s="1635"/>
      <c r="E10" s="1636"/>
      <c r="F10" s="1578" t="s">
        <v>230</v>
      </c>
      <c r="G10" s="1579"/>
      <c r="H10" s="1644">
        <f ca="1">TODAY()</f>
        <v>46240</v>
      </c>
      <c r="I10" s="1645"/>
    </row>
    <row r="11" spans="1:9" ht="15" customHeight="1" x14ac:dyDescent="0.25">
      <c r="A11" s="1633"/>
      <c r="B11" s="1634"/>
      <c r="C11" s="1637"/>
      <c r="D11" s="1637"/>
      <c r="E11" s="1638"/>
      <c r="F11" s="591" t="s">
        <v>994</v>
      </c>
      <c r="G11" s="592"/>
      <c r="H11" s="1631" t="str">
        <f>'B 1'!D2</f>
        <v>Company Name</v>
      </c>
      <c r="I11" s="1632"/>
    </row>
    <row r="12" spans="1:9" ht="15" customHeight="1" x14ac:dyDescent="0.25">
      <c r="A12" s="1589"/>
      <c r="B12" s="1590"/>
      <c r="C12" s="1590"/>
      <c r="D12" s="1590"/>
      <c r="E12" s="1591"/>
      <c r="F12" s="1578" t="s">
        <v>991</v>
      </c>
      <c r="G12" s="1579"/>
      <c r="H12" s="1579"/>
      <c r="I12" s="1584"/>
    </row>
    <row r="13" spans="1:9" ht="15" customHeight="1" x14ac:dyDescent="0.25">
      <c r="A13" s="1592"/>
      <c r="B13" s="1593"/>
      <c r="C13" s="1593"/>
      <c r="D13" s="1593"/>
      <c r="E13" s="1594"/>
      <c r="F13" s="1585" t="str">
        <f>'B 1'!D4</f>
        <v>ADDRESS</v>
      </c>
      <c r="G13" s="1586"/>
      <c r="H13" s="1586"/>
      <c r="I13" s="593" t="s">
        <v>993</v>
      </c>
    </row>
    <row r="14" spans="1:9" ht="3" customHeight="1" x14ac:dyDescent="0.25">
      <c r="A14" s="1580"/>
      <c r="B14" s="1581"/>
      <c r="C14" s="1581"/>
      <c r="D14" s="1581"/>
      <c r="E14" s="1581"/>
      <c r="F14" s="1581"/>
      <c r="G14" s="1581"/>
      <c r="H14" s="1581"/>
      <c r="I14" s="1583"/>
    </row>
    <row r="15" spans="1:9" ht="15.75" x14ac:dyDescent="0.25">
      <c r="A15" s="1578" t="s">
        <v>794</v>
      </c>
      <c r="B15" s="1579"/>
      <c r="C15" s="1788" t="str">
        <f>F5</f>
        <v>RFP -</v>
      </c>
      <c r="D15" s="1788"/>
      <c r="E15" s="1789"/>
      <c r="F15" s="1587" t="s">
        <v>851</v>
      </c>
      <c r="G15" s="1588"/>
      <c r="H15" s="1588"/>
      <c r="I15" s="1588"/>
    </row>
    <row r="16" spans="1:9" ht="17.25" customHeight="1" outlineLevel="1" x14ac:dyDescent="0.25">
      <c r="A16" s="1626" t="s">
        <v>1251</v>
      </c>
      <c r="B16" s="1627"/>
      <c r="C16" s="570"/>
      <c r="D16" s="570"/>
      <c r="E16" s="693">
        <v>45917</v>
      </c>
      <c r="F16" s="1615" t="s">
        <v>1181</v>
      </c>
      <c r="G16" s="1615"/>
      <c r="H16" s="1615"/>
      <c r="I16" s="1615"/>
    </row>
    <row r="17" spans="1:9" outlineLevel="1" x14ac:dyDescent="0.25">
      <c r="A17" s="1626" t="s">
        <v>1249</v>
      </c>
      <c r="B17" s="1627"/>
      <c r="C17" s="1623" t="s">
        <v>1250</v>
      </c>
      <c r="D17" s="1624"/>
      <c r="E17" s="1625"/>
      <c r="F17" s="1615"/>
      <c r="G17" s="1615"/>
      <c r="H17" s="1615"/>
      <c r="I17" s="1615"/>
    </row>
    <row r="18" spans="1:9" ht="15" customHeight="1" outlineLevel="1" x14ac:dyDescent="0.25">
      <c r="A18" s="1626" t="s">
        <v>1252</v>
      </c>
      <c r="B18" s="1627"/>
      <c r="C18" s="570"/>
      <c r="D18" s="572"/>
      <c r="E18" s="693">
        <v>45917</v>
      </c>
      <c r="F18" s="1615"/>
      <c r="G18" s="1615"/>
      <c r="H18" s="1615"/>
      <c r="I18" s="1615"/>
    </row>
    <row r="19" spans="1:9" outlineLevel="1" x14ac:dyDescent="0.25">
      <c r="A19" s="1628" t="s">
        <v>1018</v>
      </c>
      <c r="B19" s="1629"/>
      <c r="C19" s="1629"/>
      <c r="D19" s="1629"/>
      <c r="E19" s="1630"/>
      <c r="F19" s="1615"/>
      <c r="G19" s="1615"/>
      <c r="H19" s="1615"/>
      <c r="I19" s="1615"/>
    </row>
    <row r="20" spans="1:9" ht="15" customHeight="1" outlineLevel="1" x14ac:dyDescent="0.25">
      <c r="A20" s="1562" t="str">
        <f>VLOOKUP(A19,'R Data'!W2:X53,2,FALSE)</f>
        <v>Simon.Gibson@sunbeltrentals.com</v>
      </c>
      <c r="B20" s="1563"/>
      <c r="C20" s="1563"/>
      <c r="D20" s="1563"/>
      <c r="E20" s="1564"/>
      <c r="F20" s="1615"/>
      <c r="G20" s="1615"/>
      <c r="H20" s="1615"/>
      <c r="I20" s="1615"/>
    </row>
    <row r="21" spans="1:9" ht="15" customHeight="1" outlineLevel="1" x14ac:dyDescent="0.25">
      <c r="A21" s="1562" t="str">
        <f>VLOOKUP(A20,'R Data'!X2:Y53,2,FALSE)</f>
        <v>301 Manitou Road SE.</v>
      </c>
      <c r="B21" s="1563"/>
      <c r="C21" s="1563"/>
      <c r="D21" s="1563"/>
      <c r="E21" s="1564"/>
      <c r="F21" s="1615"/>
      <c r="G21" s="1615"/>
      <c r="H21" s="1615"/>
      <c r="I21" s="1615"/>
    </row>
    <row r="22" spans="1:9" ht="15" customHeight="1" x14ac:dyDescent="0.25">
      <c r="A22" s="1618" t="s">
        <v>306</v>
      </c>
      <c r="B22" s="1619"/>
      <c r="C22" s="1619"/>
      <c r="D22" s="1619"/>
      <c r="E22" s="1620"/>
      <c r="F22" s="1615"/>
      <c r="G22" s="1615"/>
      <c r="H22" s="1615"/>
      <c r="I22" s="1615"/>
    </row>
    <row r="23" spans="1:9" ht="15" customHeight="1" x14ac:dyDescent="0.25">
      <c r="A23" s="1562" t="str">
        <f>VLOOKUP(A21,'R Data'!Y2:Z53,2,FALSE)</f>
        <v xml:space="preserve">T2G 4C2  </v>
      </c>
      <c r="B23" s="1563"/>
      <c r="C23" s="1563"/>
      <c r="D23" s="1563"/>
      <c r="E23" s="1564"/>
      <c r="F23" s="1615"/>
      <c r="G23" s="1615"/>
      <c r="H23" s="1615"/>
      <c r="I23" s="1615"/>
    </row>
    <row r="24" spans="1:9" x14ac:dyDescent="0.25">
      <c r="A24" s="1562" t="str">
        <f>VLOOKUP(A23,'R Data'!Z2:AA53,2,FALSE)</f>
        <v xml:space="preserve">403-669-7300 </v>
      </c>
      <c r="B24" s="1563"/>
      <c r="C24" s="1563"/>
      <c r="D24" s="1563"/>
      <c r="E24" s="1564"/>
      <c r="F24" s="1615"/>
      <c r="G24" s="1615"/>
      <c r="H24" s="1615"/>
      <c r="I24" s="1615"/>
    </row>
    <row r="25" spans="1:9" x14ac:dyDescent="0.25">
      <c r="A25" s="1573" t="s">
        <v>765</v>
      </c>
      <c r="B25" s="1574"/>
      <c r="C25" s="1574"/>
      <c r="D25" s="1574"/>
      <c r="E25" s="569"/>
      <c r="F25" s="1615"/>
      <c r="G25" s="1615"/>
      <c r="H25" s="1615"/>
      <c r="I25" s="1615"/>
    </row>
    <row r="26" spans="1:9" x14ac:dyDescent="0.25">
      <c r="A26" s="1568" t="s">
        <v>853</v>
      </c>
      <c r="B26" s="1815"/>
      <c r="C26" s="1815"/>
      <c r="D26" s="1815"/>
      <c r="E26" s="1816"/>
      <c r="F26" s="1615"/>
      <c r="G26" s="1615"/>
      <c r="H26" s="1615"/>
      <c r="I26" s="1615"/>
    </row>
    <row r="27" spans="1:9" x14ac:dyDescent="0.25">
      <c r="A27" s="1817"/>
      <c r="B27" s="1818"/>
      <c r="C27" s="1818"/>
      <c r="D27" s="1818"/>
      <c r="E27" s="1819"/>
      <c r="F27" s="1615"/>
      <c r="G27" s="1615"/>
      <c r="H27" s="1615"/>
      <c r="I27" s="1615"/>
    </row>
    <row r="28" spans="1:9" ht="15" customHeight="1" x14ac:dyDescent="0.25">
      <c r="A28" s="1575" t="s">
        <v>344</v>
      </c>
      <c r="B28" s="1576"/>
      <c r="C28" s="1576"/>
      <c r="D28" s="1576"/>
      <c r="E28" s="1577"/>
      <c r="F28" s="1615"/>
      <c r="G28" s="1615"/>
      <c r="H28" s="1615"/>
      <c r="I28" s="1615"/>
    </row>
    <row r="29" spans="1:9" x14ac:dyDescent="0.25">
      <c r="A29" s="1823"/>
      <c r="B29" s="1824"/>
      <c r="C29" s="1824"/>
      <c r="D29" s="1824"/>
      <c r="E29" s="1825"/>
      <c r="F29" s="1615"/>
      <c r="G29" s="1615"/>
      <c r="H29" s="1615"/>
      <c r="I29" s="1615"/>
    </row>
    <row r="30" spans="1:9" ht="15" customHeight="1" x14ac:dyDescent="0.25">
      <c r="A30" s="1826"/>
      <c r="B30" s="1827"/>
      <c r="C30" s="1827"/>
      <c r="D30" s="1827"/>
      <c r="E30" s="1828"/>
      <c r="F30" s="1615"/>
      <c r="G30" s="1615"/>
      <c r="H30" s="1615"/>
      <c r="I30" s="1615"/>
    </row>
    <row r="31" spans="1:9" x14ac:dyDescent="0.25">
      <c r="A31" s="1826"/>
      <c r="B31" s="1827"/>
      <c r="C31" s="1827"/>
      <c r="D31" s="1827"/>
      <c r="E31" s="1828"/>
      <c r="F31" s="1615"/>
      <c r="G31" s="1615"/>
      <c r="H31" s="1615"/>
      <c r="I31" s="1615"/>
    </row>
    <row r="32" spans="1:9" x14ac:dyDescent="0.25">
      <c r="A32" s="1826"/>
      <c r="B32" s="1827"/>
      <c r="C32" s="1827"/>
      <c r="D32" s="1827"/>
      <c r="E32" s="1828"/>
      <c r="F32" s="1615"/>
      <c r="G32" s="1615"/>
      <c r="H32" s="1615"/>
      <c r="I32" s="1615"/>
    </row>
    <row r="33" spans="1:9" ht="15" customHeight="1" x14ac:dyDescent="0.25">
      <c r="A33" s="1826"/>
      <c r="B33" s="1827"/>
      <c r="C33" s="1827"/>
      <c r="D33" s="1827"/>
      <c r="E33" s="1828"/>
      <c r="F33" s="1615"/>
      <c r="G33" s="1615"/>
      <c r="H33" s="1615"/>
      <c r="I33" s="1615"/>
    </row>
    <row r="34" spans="1:9" x14ac:dyDescent="0.25">
      <c r="A34" s="1826"/>
      <c r="B34" s="1827"/>
      <c r="C34" s="1827"/>
      <c r="D34" s="1827"/>
      <c r="E34" s="1828"/>
      <c r="F34" s="1615"/>
      <c r="G34" s="1615"/>
      <c r="H34" s="1615"/>
      <c r="I34" s="1615"/>
    </row>
    <row r="35" spans="1:9" x14ac:dyDescent="0.25">
      <c r="A35" s="1826"/>
      <c r="B35" s="1827"/>
      <c r="C35" s="1827"/>
      <c r="D35" s="1827"/>
      <c r="E35" s="1828"/>
      <c r="F35" s="1615"/>
      <c r="G35" s="1615"/>
      <c r="H35" s="1615"/>
      <c r="I35" s="1615"/>
    </row>
    <row r="36" spans="1:9" ht="15" customHeight="1" x14ac:dyDescent="0.25">
      <c r="A36" s="1826"/>
      <c r="B36" s="1827"/>
      <c r="C36" s="1827"/>
      <c r="D36" s="1827"/>
      <c r="E36" s="1828"/>
      <c r="F36" s="1615"/>
      <c r="G36" s="1615"/>
      <c r="H36" s="1615"/>
      <c r="I36" s="1615"/>
    </row>
    <row r="37" spans="1:9" x14ac:dyDescent="0.25">
      <c r="A37" s="1826"/>
      <c r="B37" s="1827"/>
      <c r="C37" s="1827"/>
      <c r="D37" s="1827"/>
      <c r="E37" s="1828"/>
      <c r="F37" s="1615"/>
      <c r="G37" s="1615"/>
      <c r="H37" s="1615"/>
      <c r="I37" s="1615"/>
    </row>
    <row r="38" spans="1:9" x14ac:dyDescent="0.25">
      <c r="A38" s="1826"/>
      <c r="B38" s="1827"/>
      <c r="C38" s="1827"/>
      <c r="D38" s="1827"/>
      <c r="E38" s="1828"/>
      <c r="F38" s="1615"/>
      <c r="G38" s="1615"/>
      <c r="H38" s="1615"/>
      <c r="I38" s="1615"/>
    </row>
    <row r="39" spans="1:9" ht="15" customHeight="1" x14ac:dyDescent="0.25">
      <c r="A39" s="1826"/>
      <c r="B39" s="1827"/>
      <c r="C39" s="1827"/>
      <c r="D39" s="1827"/>
      <c r="E39" s="1828"/>
      <c r="F39" s="1615"/>
      <c r="G39" s="1615"/>
      <c r="H39" s="1615"/>
      <c r="I39" s="1615"/>
    </row>
    <row r="40" spans="1:9" x14ac:dyDescent="0.25">
      <c r="A40" s="1826"/>
      <c r="B40" s="1827"/>
      <c r="C40" s="1827"/>
      <c r="D40" s="1827"/>
      <c r="E40" s="1828"/>
      <c r="F40" s="1615"/>
      <c r="G40" s="1615"/>
      <c r="H40" s="1615"/>
      <c r="I40" s="1615"/>
    </row>
    <row r="41" spans="1:9" x14ac:dyDescent="0.25">
      <c r="A41" s="1826"/>
      <c r="B41" s="1827"/>
      <c r="C41" s="1827"/>
      <c r="D41" s="1827"/>
      <c r="E41" s="1828"/>
      <c r="F41" s="1615"/>
      <c r="G41" s="1615"/>
      <c r="H41" s="1615"/>
      <c r="I41" s="1615"/>
    </row>
    <row r="42" spans="1:9" x14ac:dyDescent="0.25">
      <c r="A42" s="1826"/>
      <c r="B42" s="1827"/>
      <c r="C42" s="1827"/>
      <c r="D42" s="1827"/>
      <c r="E42" s="1828"/>
      <c r="F42" s="1615"/>
      <c r="G42" s="1615"/>
      <c r="H42" s="1615"/>
      <c r="I42" s="1615"/>
    </row>
    <row r="43" spans="1:9" x14ac:dyDescent="0.25">
      <c r="A43" s="1826"/>
      <c r="B43" s="1827"/>
      <c r="C43" s="1827"/>
      <c r="D43" s="1827"/>
      <c r="E43" s="1828"/>
      <c r="F43" s="1615"/>
      <c r="G43" s="1615"/>
      <c r="H43" s="1615"/>
      <c r="I43" s="1615"/>
    </row>
    <row r="44" spans="1:9" x14ac:dyDescent="0.25">
      <c r="A44" s="1826"/>
      <c r="B44" s="1827"/>
      <c r="C44" s="1827"/>
      <c r="D44" s="1827"/>
      <c r="E44" s="1828"/>
      <c r="F44" s="1615"/>
      <c r="G44" s="1615"/>
      <c r="H44" s="1615"/>
      <c r="I44" s="1615"/>
    </row>
    <row r="45" spans="1:9" x14ac:dyDescent="0.25">
      <c r="A45" s="1826"/>
      <c r="B45" s="1827"/>
      <c r="C45" s="1827"/>
      <c r="D45" s="1827"/>
      <c r="E45" s="1828"/>
      <c r="F45" s="1615"/>
      <c r="G45" s="1615"/>
      <c r="H45" s="1615"/>
      <c r="I45" s="1615"/>
    </row>
    <row r="46" spans="1:9" ht="15" customHeight="1" x14ac:dyDescent="0.25">
      <c r="A46" s="1826"/>
      <c r="B46" s="1827"/>
      <c r="C46" s="1827"/>
      <c r="D46" s="1827"/>
      <c r="E46" s="1828"/>
      <c r="F46" s="1615"/>
      <c r="G46" s="1615"/>
      <c r="H46" s="1615"/>
      <c r="I46" s="1615"/>
    </row>
    <row r="47" spans="1:9" ht="15" customHeight="1" x14ac:dyDescent="0.25">
      <c r="A47" s="1826"/>
      <c r="B47" s="1827"/>
      <c r="C47" s="1827"/>
      <c r="D47" s="1827"/>
      <c r="E47" s="1828"/>
      <c r="F47" s="1615"/>
      <c r="G47" s="1615"/>
      <c r="H47" s="1615"/>
      <c r="I47" s="1615"/>
    </row>
    <row r="48" spans="1:9" ht="15" customHeight="1" x14ac:dyDescent="0.25">
      <c r="A48" s="1826"/>
      <c r="B48" s="1827"/>
      <c r="C48" s="1827"/>
      <c r="D48" s="1827"/>
      <c r="E48" s="1828"/>
      <c r="F48" s="1615"/>
      <c r="G48" s="1615"/>
      <c r="H48" s="1615"/>
      <c r="I48" s="1615"/>
    </row>
    <row r="49" spans="1:9" x14ac:dyDescent="0.25">
      <c r="A49" s="1829"/>
      <c r="B49" s="1702"/>
      <c r="C49" s="1702"/>
      <c r="D49" s="1702"/>
      <c r="E49" s="1703"/>
      <c r="F49" s="1588" t="s">
        <v>780</v>
      </c>
      <c r="G49" s="1588"/>
      <c r="H49" s="1588"/>
      <c r="I49" s="1588"/>
    </row>
    <row r="50" spans="1:9" ht="3" customHeight="1" x14ac:dyDescent="0.25">
      <c r="A50" s="1580"/>
      <c r="B50" s="1581"/>
      <c r="C50" s="1581"/>
      <c r="D50" s="1581"/>
      <c r="E50" s="1581"/>
      <c r="F50" s="1581"/>
      <c r="G50" s="1581"/>
      <c r="H50" s="1581"/>
      <c r="I50" s="1583"/>
    </row>
    <row r="53" spans="1:9" x14ac:dyDescent="0.25">
      <c r="H53" s="589"/>
      <c r="I53" s="48"/>
    </row>
    <row r="54" spans="1:9" x14ac:dyDescent="0.25">
      <c r="H54" s="590"/>
      <c r="I54" s="49"/>
    </row>
    <row r="55" spans="1:9" x14ac:dyDescent="0.25">
      <c r="H55" s="590"/>
      <c r="I55" s="49"/>
    </row>
    <row r="56" spans="1:9" x14ac:dyDescent="0.25">
      <c r="H56" s="590"/>
      <c r="I56" s="49"/>
    </row>
    <row r="57" spans="1:9" x14ac:dyDescent="0.25">
      <c r="H57" s="590"/>
      <c r="I57" s="49"/>
    </row>
    <row r="58" spans="1:9" x14ac:dyDescent="0.25">
      <c r="B58" s="590"/>
      <c r="D58" s="590"/>
    </row>
    <row r="60" spans="1:9" x14ac:dyDescent="0.25">
      <c r="A60" s="590"/>
      <c r="C60" s="590"/>
      <c r="E60" s="590"/>
      <c r="F60" s="590"/>
      <c r="G60" s="590"/>
      <c r="H60" s="590"/>
      <c r="I60" s="49"/>
    </row>
    <row r="62" spans="1:9" x14ac:dyDescent="0.25">
      <c r="A62" s="590"/>
      <c r="F62" s="590"/>
    </row>
    <row r="63" spans="1:9" x14ac:dyDescent="0.25">
      <c r="A63" s="590"/>
      <c r="F63" s="590"/>
    </row>
    <row r="64" spans="1:9" x14ac:dyDescent="0.25">
      <c r="A64" s="590"/>
      <c r="D64" s="47"/>
      <c r="F64" s="590"/>
    </row>
    <row r="65" spans="1:9" x14ac:dyDescent="0.25">
      <c r="A65" s="590"/>
      <c r="B65" s="590"/>
      <c r="D65" s="590"/>
      <c r="F65" s="590"/>
    </row>
    <row r="66" spans="1:9" x14ac:dyDescent="0.25">
      <c r="A66" s="590"/>
      <c r="E66" s="47"/>
      <c r="F66" s="590"/>
      <c r="G66" s="47"/>
      <c r="H66" s="47"/>
    </row>
    <row r="67" spans="1:9" x14ac:dyDescent="0.25">
      <c r="A67" s="590"/>
      <c r="B67" s="590"/>
      <c r="C67" s="590"/>
      <c r="D67" s="590"/>
      <c r="E67" s="590"/>
      <c r="F67" s="590"/>
      <c r="G67" s="590"/>
      <c r="H67" s="590"/>
      <c r="I67" s="49"/>
    </row>
    <row r="69" spans="1:9" x14ac:dyDescent="0.25">
      <c r="A69" s="590"/>
      <c r="C69" s="590"/>
      <c r="E69" s="49"/>
      <c r="F69" s="590"/>
      <c r="G69" s="590"/>
      <c r="H69" s="590"/>
      <c r="I69" s="49"/>
    </row>
  </sheetData>
  <mergeCells count="70">
    <mergeCell ref="C10:E11"/>
    <mergeCell ref="A1:D7"/>
    <mergeCell ref="E1:I1"/>
    <mergeCell ref="E2:I2"/>
    <mergeCell ref="E3:I3"/>
    <mergeCell ref="E4:I4"/>
    <mergeCell ref="E5:E7"/>
    <mergeCell ref="F5:I7"/>
    <mergeCell ref="A9:I9"/>
    <mergeCell ref="F10:G10"/>
    <mergeCell ref="H10:I10"/>
    <mergeCell ref="H11:I11"/>
    <mergeCell ref="A10:B11"/>
    <mergeCell ref="F8:I8"/>
    <mergeCell ref="F12:I12"/>
    <mergeCell ref="F13:H13"/>
    <mergeCell ref="A12:E13"/>
    <mergeCell ref="F44:I44"/>
    <mergeCell ref="A22:E22"/>
    <mergeCell ref="A23:E23"/>
    <mergeCell ref="A14:I14"/>
    <mergeCell ref="A19:E19"/>
    <mergeCell ref="F15:I15"/>
    <mergeCell ref="A20:E20"/>
    <mergeCell ref="F16:I16"/>
    <mergeCell ref="A15:B15"/>
    <mergeCell ref="C15:E15"/>
    <mergeCell ref="A16:B16"/>
    <mergeCell ref="A17:B17"/>
    <mergeCell ref="C17:E17"/>
    <mergeCell ref="A18:B18"/>
    <mergeCell ref="F17:I17"/>
    <mergeCell ref="F18:I18"/>
    <mergeCell ref="F38:I38"/>
    <mergeCell ref="F35:I35"/>
    <mergeCell ref="F34:I34"/>
    <mergeCell ref="A21:E21"/>
    <mergeCell ref="F19:I19"/>
    <mergeCell ref="F20:I20"/>
    <mergeCell ref="F32:I32"/>
    <mergeCell ref="F33:I33"/>
    <mergeCell ref="F24:I24"/>
    <mergeCell ref="F25:I25"/>
    <mergeCell ref="F26:I26"/>
    <mergeCell ref="F27:I27"/>
    <mergeCell ref="F28:I28"/>
    <mergeCell ref="A50:I50"/>
    <mergeCell ref="F21:I21"/>
    <mergeCell ref="F22:I22"/>
    <mergeCell ref="F46:I46"/>
    <mergeCell ref="F47:I47"/>
    <mergeCell ref="F48:I48"/>
    <mergeCell ref="F39:I39"/>
    <mergeCell ref="F40:I40"/>
    <mergeCell ref="F41:I41"/>
    <mergeCell ref="F42:I42"/>
    <mergeCell ref="F45:I45"/>
    <mergeCell ref="F43:I43"/>
    <mergeCell ref="F23:I23"/>
    <mergeCell ref="F29:I29"/>
    <mergeCell ref="F30:I30"/>
    <mergeCell ref="A25:D25"/>
    <mergeCell ref="A26:E27"/>
    <mergeCell ref="A24:E24"/>
    <mergeCell ref="A28:E28"/>
    <mergeCell ref="A29:E49"/>
    <mergeCell ref="F49:I49"/>
    <mergeCell ref="F36:I36"/>
    <mergeCell ref="F37:I37"/>
    <mergeCell ref="F31:I31"/>
  </mergeCells>
  <hyperlinks>
    <hyperlink ref="C17" r:id="rId1" xr:uid="{05AB1969-994D-457E-B462-4E8625848D9C}"/>
  </hyperlinks>
  <pageMargins left="0.7" right="0.7" top="0.75" bottom="0.75" header="0.3" footer="0.3"/>
  <pageSetup scale="94" fitToHeight="0" orientation="portrait" r:id="rId2"/>
  <drawing r:id="rId3"/>
  <legacyDrawing r:id="rId4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B413330-15CC-4FB3-9DFE-5127238A3201}">
          <x14:formula1>
            <xm:f>'R Data'!$W$30:$W$36</xm:f>
          </x14:formula1>
          <xm:sqref>A19:E19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602265-0568-4E91-B277-DEB9B4B450AD}">
  <sheetPr codeName="Sheet21">
    <tabColor theme="2" tint="-0.249977111117893"/>
    <pageSetUpPr fitToPage="1"/>
  </sheetPr>
  <dimension ref="A1:O71"/>
  <sheetViews>
    <sheetView workbookViewId="0">
      <selection activeCell="A9" sqref="A9:I9"/>
    </sheetView>
  </sheetViews>
  <sheetFormatPr defaultRowHeight="15" outlineLevelRow="1" x14ac:dyDescent="0.25"/>
  <cols>
    <col min="1" max="1" width="7.5703125" style="359" customWidth="1"/>
    <col min="2" max="2" width="11.42578125" style="359" customWidth="1"/>
    <col min="3" max="4" width="9.140625" style="359"/>
    <col min="5" max="5" width="15.28515625" style="359" customWidth="1"/>
    <col min="6" max="6" width="8.42578125" style="359" customWidth="1"/>
    <col min="7" max="8" width="10.28515625" style="359" customWidth="1"/>
    <col min="9" max="9" width="14.28515625" style="47" customWidth="1"/>
    <col min="10" max="16384" width="9.140625" style="359"/>
  </cols>
  <sheetData>
    <row r="1" spans="1:9" ht="17.25" x14ac:dyDescent="0.25">
      <c r="A1" s="1463"/>
      <c r="B1" s="1463"/>
      <c r="C1" s="1463"/>
      <c r="D1" s="1463"/>
      <c r="E1" s="1642" t="s">
        <v>1248</v>
      </c>
      <c r="F1" s="1830"/>
      <c r="G1" s="1830"/>
      <c r="H1" s="1830"/>
      <c r="I1" s="1830"/>
    </row>
    <row r="2" spans="1:9" x14ac:dyDescent="0.25">
      <c r="A2" s="1463"/>
      <c r="B2" s="1463"/>
      <c r="C2" s="1463"/>
      <c r="D2" s="1463"/>
      <c r="E2" s="1640" t="s">
        <v>776</v>
      </c>
      <c r="F2" s="1640"/>
      <c r="G2" s="1640"/>
      <c r="H2" s="1640"/>
      <c r="I2" s="1640"/>
    </row>
    <row r="3" spans="1:9" x14ac:dyDescent="0.25">
      <c r="A3" s="1463"/>
      <c r="B3" s="1463"/>
      <c r="C3" s="1463"/>
      <c r="D3" s="1463"/>
      <c r="E3" s="1639" t="s">
        <v>777</v>
      </c>
      <c r="F3" s="1639"/>
      <c r="G3" s="1639"/>
      <c r="H3" s="1639"/>
      <c r="I3" s="1639"/>
    </row>
    <row r="4" spans="1:9" x14ac:dyDescent="0.25">
      <c r="A4" s="1463"/>
      <c r="B4" s="1463"/>
      <c r="C4" s="1463"/>
      <c r="D4" s="1463"/>
      <c r="E4" s="1640" t="s">
        <v>1253</v>
      </c>
      <c r="F4" s="1640"/>
      <c r="G4" s="1640"/>
      <c r="H4" s="1640"/>
      <c r="I4" s="1640"/>
    </row>
    <row r="5" spans="1:9" x14ac:dyDescent="0.25">
      <c r="A5" s="1463"/>
      <c r="B5" s="1463"/>
      <c r="C5" s="1463"/>
      <c r="D5" s="1463"/>
      <c r="E5" s="1641" t="s">
        <v>10087</v>
      </c>
      <c r="F5" s="1641" t="str">
        <f>'B 1'!R1</f>
        <v>RFP -</v>
      </c>
      <c r="G5" s="1641"/>
      <c r="H5" s="1641"/>
      <c r="I5" s="1641"/>
    </row>
    <row r="6" spans="1:9" x14ac:dyDescent="0.25">
      <c r="A6" s="1463"/>
      <c r="B6" s="1463"/>
      <c r="C6" s="1463"/>
      <c r="D6" s="1463"/>
      <c r="E6" s="1641"/>
      <c r="F6" s="1641"/>
      <c r="G6" s="1641"/>
      <c r="H6" s="1641"/>
      <c r="I6" s="1641"/>
    </row>
    <row r="7" spans="1:9" x14ac:dyDescent="0.25">
      <c r="A7" s="1463"/>
      <c r="B7" s="1463"/>
      <c r="C7" s="1463"/>
      <c r="D7" s="1463"/>
      <c r="E7" s="1641"/>
      <c r="F7" s="1641"/>
      <c r="G7" s="1641"/>
      <c r="H7" s="1641"/>
      <c r="I7" s="1641"/>
    </row>
    <row r="8" spans="1:9" ht="18.75" x14ac:dyDescent="0.25">
      <c r="B8" s="842"/>
      <c r="C8" s="842"/>
      <c r="D8" s="842"/>
      <c r="E8" s="842"/>
      <c r="F8" s="1643" t="s">
        <v>10370</v>
      </c>
      <c r="G8" s="1643"/>
      <c r="H8" s="1643"/>
      <c r="I8" s="1643"/>
    </row>
    <row r="9" spans="1:9" ht="3" customHeight="1" x14ac:dyDescent="0.25">
      <c r="A9" s="1580"/>
      <c r="B9" s="1581"/>
      <c r="C9" s="1581"/>
      <c r="D9" s="1581"/>
      <c r="E9" s="1581"/>
      <c r="F9" s="1581"/>
      <c r="G9" s="1581"/>
      <c r="H9" s="1581"/>
      <c r="I9" s="1583"/>
    </row>
    <row r="10" spans="1:9" x14ac:dyDescent="0.25">
      <c r="A10" s="1578" t="s">
        <v>305</v>
      </c>
      <c r="B10" s="1579"/>
      <c r="C10" s="1635" t="str">
        <f>'B 1'!S3</f>
        <v>Dwight Cameron 403-492-9351 dwight@megaroofing.ca</v>
      </c>
      <c r="D10" s="1635"/>
      <c r="E10" s="1636"/>
      <c r="F10" s="1578" t="s">
        <v>230</v>
      </c>
      <c r="G10" s="1579"/>
      <c r="H10" s="1644">
        <f ca="1">TODAY()</f>
        <v>46240</v>
      </c>
      <c r="I10" s="1645"/>
    </row>
    <row r="11" spans="1:9" ht="15" customHeight="1" x14ac:dyDescent="0.25">
      <c r="A11" s="1633"/>
      <c r="B11" s="1634"/>
      <c r="C11" s="1637"/>
      <c r="D11" s="1637"/>
      <c r="E11" s="1638"/>
      <c r="F11" s="591" t="s">
        <v>994</v>
      </c>
      <c r="G11" s="592"/>
      <c r="H11" s="1631" t="str">
        <f>'B 1'!D2</f>
        <v>Company Name</v>
      </c>
      <c r="I11" s="1632"/>
    </row>
    <row r="12" spans="1:9" ht="15" customHeight="1" x14ac:dyDescent="0.25">
      <c r="A12" s="1589"/>
      <c r="B12" s="1590"/>
      <c r="C12" s="1590"/>
      <c r="D12" s="1590"/>
      <c r="E12" s="1591"/>
      <c r="F12" s="1578" t="s">
        <v>991</v>
      </c>
      <c r="G12" s="1579"/>
      <c r="H12" s="1579"/>
      <c r="I12" s="1584"/>
    </row>
    <row r="13" spans="1:9" ht="15" customHeight="1" x14ac:dyDescent="0.25">
      <c r="A13" s="1592"/>
      <c r="B13" s="1593"/>
      <c r="C13" s="1593"/>
      <c r="D13" s="1593"/>
      <c r="E13" s="1594"/>
      <c r="F13" s="1585" t="str">
        <f>'B 1'!D4</f>
        <v>ADDRESS</v>
      </c>
      <c r="G13" s="1586"/>
      <c r="H13" s="1586"/>
      <c r="I13" s="593" t="s">
        <v>993</v>
      </c>
    </row>
    <row r="14" spans="1:9" ht="3" customHeight="1" x14ac:dyDescent="0.25">
      <c r="A14" s="1580"/>
      <c r="B14" s="1581"/>
      <c r="C14" s="1581"/>
      <c r="D14" s="1581"/>
      <c r="E14" s="1581"/>
      <c r="F14" s="1582"/>
      <c r="G14" s="1581"/>
      <c r="H14" s="1581"/>
      <c r="I14" s="1583"/>
    </row>
    <row r="15" spans="1:9" ht="15.75" x14ac:dyDescent="0.25">
      <c r="A15" s="1578" t="s">
        <v>794</v>
      </c>
      <c r="B15" s="1579"/>
      <c r="C15" s="1788" t="str">
        <f>F5</f>
        <v>RFP -</v>
      </c>
      <c r="D15" s="1788"/>
      <c r="E15" s="1789"/>
      <c r="F15" s="1587" t="s">
        <v>763</v>
      </c>
      <c r="G15" s="1588"/>
      <c r="H15" s="1588"/>
      <c r="I15" s="1588"/>
    </row>
    <row r="16" spans="1:9" ht="17.25" customHeight="1" outlineLevel="1" x14ac:dyDescent="0.25">
      <c r="A16" s="1626" t="s">
        <v>1251</v>
      </c>
      <c r="B16" s="1627"/>
      <c r="C16" s="570"/>
      <c r="D16" s="570"/>
      <c r="E16" s="573">
        <v>45917</v>
      </c>
      <c r="F16" s="1840"/>
      <c r="G16" s="1841"/>
      <c r="H16" s="1841"/>
      <c r="I16" s="1842"/>
    </row>
    <row r="17" spans="1:15" outlineLevel="1" x14ac:dyDescent="0.25">
      <c r="A17" s="1626" t="s">
        <v>1249</v>
      </c>
      <c r="B17" s="1627"/>
      <c r="C17" s="1623" t="s">
        <v>1250</v>
      </c>
      <c r="D17" s="1624"/>
      <c r="E17" s="1625"/>
      <c r="F17" s="1843"/>
      <c r="G17" s="1844"/>
      <c r="H17" s="1844"/>
      <c r="I17" s="1845"/>
    </row>
    <row r="18" spans="1:15" ht="15" customHeight="1" outlineLevel="1" x14ac:dyDescent="0.25">
      <c r="A18" s="1626" t="s">
        <v>1252</v>
      </c>
      <c r="B18" s="1627"/>
      <c r="C18" s="570"/>
      <c r="D18" s="572"/>
      <c r="E18" s="573">
        <v>45917</v>
      </c>
      <c r="F18" s="1843"/>
      <c r="G18" s="1844"/>
      <c r="H18" s="1844"/>
      <c r="I18" s="1845"/>
    </row>
    <row r="19" spans="1:15" outlineLevel="1" x14ac:dyDescent="0.25">
      <c r="A19" s="1628" t="s">
        <v>797</v>
      </c>
      <c r="B19" s="1629"/>
      <c r="C19" s="1629"/>
      <c r="D19" s="1629"/>
      <c r="E19" s="1630"/>
      <c r="F19" s="1843"/>
      <c r="G19" s="1844"/>
      <c r="H19" s="1844"/>
      <c r="I19" s="1845"/>
    </row>
    <row r="20" spans="1:15" ht="15" customHeight="1" outlineLevel="1" x14ac:dyDescent="0.25">
      <c r="A20" s="1562" t="str">
        <f>VLOOKUP(A19,'R Data'!W8:X54,2,FALSE)</f>
        <v>kyle@kingscaffolding.ca</v>
      </c>
      <c r="B20" s="1563"/>
      <c r="C20" s="1563"/>
      <c r="D20" s="1563"/>
      <c r="E20" s="1564"/>
      <c r="F20" s="1843"/>
      <c r="G20" s="1844"/>
      <c r="H20" s="1844"/>
      <c r="I20" s="1845"/>
      <c r="O20" s="594"/>
    </row>
    <row r="21" spans="1:15" ht="15" customHeight="1" outlineLevel="1" x14ac:dyDescent="0.25">
      <c r="A21" s="1562" t="str">
        <f>VLOOKUP(A20,'R Data'!X8:Y54,2,FALSE)</f>
        <v>3349 Cutler Crescent SW, Edmonton, AB</v>
      </c>
      <c r="B21" s="1563"/>
      <c r="C21" s="1563"/>
      <c r="D21" s="1563"/>
      <c r="E21" s="1564"/>
      <c r="F21" s="1843"/>
      <c r="G21" s="1844"/>
      <c r="H21" s="1844"/>
      <c r="I21" s="1845"/>
    </row>
    <row r="22" spans="1:15" ht="15" customHeight="1" x14ac:dyDescent="0.25">
      <c r="A22" s="1618" t="s">
        <v>306</v>
      </c>
      <c r="B22" s="1619"/>
      <c r="C22" s="1619"/>
      <c r="D22" s="1619"/>
      <c r="E22" s="1620"/>
      <c r="F22" s="1843"/>
      <c r="G22" s="1844"/>
      <c r="H22" s="1844"/>
      <c r="I22" s="1845"/>
    </row>
    <row r="23" spans="1:15" ht="15" customHeight="1" x14ac:dyDescent="0.25">
      <c r="A23" s="1562" t="str">
        <f>VLOOKUP(A21,'R Data'!Y8:Z54,2,FALSE)</f>
        <v>T6W 2N4</v>
      </c>
      <c r="B23" s="1563"/>
      <c r="C23" s="1563"/>
      <c r="D23" s="1563"/>
      <c r="E23" s="1564"/>
      <c r="F23" s="1843"/>
      <c r="G23" s="1844"/>
      <c r="H23" s="1844"/>
      <c r="I23" s="1845"/>
    </row>
    <row r="24" spans="1:15" ht="15" customHeight="1" x14ac:dyDescent="0.25">
      <c r="A24" s="1562" t="str">
        <f>VLOOKUP(A23,'R Data'!Z8:AA54,2,FALSE)</f>
        <v>403-785-6038</v>
      </c>
      <c r="B24" s="1563"/>
      <c r="C24" s="1563"/>
      <c r="D24" s="1563"/>
      <c r="E24" s="1564"/>
      <c r="F24" s="1843"/>
      <c r="G24" s="1844"/>
      <c r="H24" s="1844"/>
      <c r="I24" s="1845"/>
    </row>
    <row r="25" spans="1:15" ht="15" customHeight="1" x14ac:dyDescent="0.25">
      <c r="A25" s="1573" t="s">
        <v>765</v>
      </c>
      <c r="B25" s="1574"/>
      <c r="C25" s="1574"/>
      <c r="D25" s="1574"/>
      <c r="E25" s="569"/>
      <c r="F25" s="1843"/>
      <c r="G25" s="1844"/>
      <c r="H25" s="1844"/>
      <c r="I25" s="1845"/>
    </row>
    <row r="26" spans="1:15" ht="15" customHeight="1" x14ac:dyDescent="0.25">
      <c r="A26" s="1575" t="s">
        <v>344</v>
      </c>
      <c r="B26" s="1576"/>
      <c r="C26" s="1576"/>
      <c r="D26" s="1576"/>
      <c r="E26" s="1577"/>
      <c r="F26" s="1843"/>
      <c r="G26" s="1844"/>
      <c r="H26" s="1844"/>
      <c r="I26" s="1845"/>
    </row>
    <row r="27" spans="1:15" ht="15" customHeight="1" x14ac:dyDescent="0.25">
      <c r="A27" s="1831"/>
      <c r="B27" s="1832"/>
      <c r="C27" s="1832"/>
      <c r="D27" s="1832"/>
      <c r="E27" s="1833"/>
      <c r="F27" s="1843"/>
      <c r="G27" s="1844"/>
      <c r="H27" s="1844"/>
      <c r="I27" s="1845"/>
      <c r="L27" s="594"/>
    </row>
    <row r="28" spans="1:15" ht="15" customHeight="1" x14ac:dyDescent="0.25">
      <c r="A28" s="1834"/>
      <c r="B28" s="1835"/>
      <c r="C28" s="1835"/>
      <c r="D28" s="1835"/>
      <c r="E28" s="1836"/>
      <c r="F28" s="1843"/>
      <c r="G28" s="1844"/>
      <c r="H28" s="1844"/>
      <c r="I28" s="1845"/>
    </row>
    <row r="29" spans="1:15" ht="15" customHeight="1" x14ac:dyDescent="0.25">
      <c r="A29" s="1834"/>
      <c r="B29" s="1835"/>
      <c r="C29" s="1835"/>
      <c r="D29" s="1835"/>
      <c r="E29" s="1836"/>
      <c r="F29" s="1843"/>
      <c r="G29" s="1844"/>
      <c r="H29" s="1844"/>
      <c r="I29" s="1845"/>
    </row>
    <row r="30" spans="1:15" ht="15" customHeight="1" x14ac:dyDescent="0.25">
      <c r="A30" s="1834"/>
      <c r="B30" s="1835"/>
      <c r="C30" s="1835"/>
      <c r="D30" s="1835"/>
      <c r="E30" s="1836"/>
      <c r="F30" s="1843"/>
      <c r="G30" s="1844"/>
      <c r="H30" s="1844"/>
      <c r="I30" s="1845"/>
    </row>
    <row r="31" spans="1:15" ht="15" customHeight="1" x14ac:dyDescent="0.25">
      <c r="A31" s="1834"/>
      <c r="B31" s="1835"/>
      <c r="C31" s="1835"/>
      <c r="D31" s="1835"/>
      <c r="E31" s="1836"/>
      <c r="F31" s="1843"/>
      <c r="G31" s="1844"/>
      <c r="H31" s="1844"/>
      <c r="I31" s="1845"/>
    </row>
    <row r="32" spans="1:15" ht="15" customHeight="1" x14ac:dyDescent="0.25">
      <c r="A32" s="1834"/>
      <c r="B32" s="1835"/>
      <c r="C32" s="1835"/>
      <c r="D32" s="1835"/>
      <c r="E32" s="1836"/>
      <c r="F32" s="1843"/>
      <c r="G32" s="1844"/>
      <c r="H32" s="1844"/>
      <c r="I32" s="1845"/>
    </row>
    <row r="33" spans="1:14" ht="15" customHeight="1" x14ac:dyDescent="0.25">
      <c r="A33" s="1834"/>
      <c r="B33" s="1835"/>
      <c r="C33" s="1835"/>
      <c r="D33" s="1835"/>
      <c r="E33" s="1836"/>
      <c r="F33" s="1843"/>
      <c r="G33" s="1844"/>
      <c r="H33" s="1844"/>
      <c r="I33" s="1845"/>
    </row>
    <row r="34" spans="1:14" ht="15" customHeight="1" x14ac:dyDescent="0.25">
      <c r="A34" s="1834"/>
      <c r="B34" s="1835"/>
      <c r="C34" s="1835"/>
      <c r="D34" s="1835"/>
      <c r="E34" s="1836"/>
      <c r="F34" s="1843"/>
      <c r="G34" s="1844"/>
      <c r="H34" s="1844"/>
      <c r="I34" s="1845"/>
      <c r="N34" s="594"/>
    </row>
    <row r="35" spans="1:14" ht="15" customHeight="1" x14ac:dyDescent="0.25">
      <c r="A35" s="1834"/>
      <c r="B35" s="1835"/>
      <c r="C35" s="1835"/>
      <c r="D35" s="1835"/>
      <c r="E35" s="1836"/>
      <c r="F35" s="1843"/>
      <c r="G35" s="1844"/>
      <c r="H35" s="1844"/>
      <c r="I35" s="1845"/>
    </row>
    <row r="36" spans="1:14" ht="15" customHeight="1" x14ac:dyDescent="0.25">
      <c r="A36" s="1834"/>
      <c r="B36" s="1835"/>
      <c r="C36" s="1835"/>
      <c r="D36" s="1835"/>
      <c r="E36" s="1836"/>
      <c r="F36" s="1843"/>
      <c r="G36" s="1844"/>
      <c r="H36" s="1844"/>
      <c r="I36" s="1845"/>
    </row>
    <row r="37" spans="1:14" ht="15" customHeight="1" x14ac:dyDescent="0.25">
      <c r="A37" s="1834"/>
      <c r="B37" s="1835"/>
      <c r="C37" s="1835"/>
      <c r="D37" s="1835"/>
      <c r="E37" s="1836"/>
      <c r="F37" s="1843"/>
      <c r="G37" s="1844"/>
      <c r="H37" s="1844"/>
      <c r="I37" s="1845"/>
    </row>
    <row r="38" spans="1:14" ht="15" customHeight="1" x14ac:dyDescent="0.25">
      <c r="A38" s="1834"/>
      <c r="B38" s="1835"/>
      <c r="C38" s="1835"/>
      <c r="D38" s="1835"/>
      <c r="E38" s="1836"/>
      <c r="F38" s="1843"/>
      <c r="G38" s="1844"/>
      <c r="H38" s="1844"/>
      <c r="I38" s="1845"/>
    </row>
    <row r="39" spans="1:14" ht="15" customHeight="1" x14ac:dyDescent="0.25">
      <c r="A39" s="1834"/>
      <c r="B39" s="1835"/>
      <c r="C39" s="1835"/>
      <c r="D39" s="1835"/>
      <c r="E39" s="1836"/>
      <c r="F39" s="1843"/>
      <c r="G39" s="1844"/>
      <c r="H39" s="1844"/>
      <c r="I39" s="1845"/>
    </row>
    <row r="40" spans="1:14" ht="15" customHeight="1" x14ac:dyDescent="0.25">
      <c r="A40" s="1834"/>
      <c r="B40" s="1835"/>
      <c r="C40" s="1835"/>
      <c r="D40" s="1835"/>
      <c r="E40" s="1836"/>
      <c r="F40" s="1843"/>
      <c r="G40" s="1844"/>
      <c r="H40" s="1844"/>
      <c r="I40" s="1845"/>
    </row>
    <row r="41" spans="1:14" ht="15" customHeight="1" x14ac:dyDescent="0.25">
      <c r="A41" s="1834"/>
      <c r="B41" s="1835"/>
      <c r="C41" s="1835"/>
      <c r="D41" s="1835"/>
      <c r="E41" s="1836"/>
      <c r="F41" s="1843"/>
      <c r="G41" s="1844"/>
      <c r="H41" s="1844"/>
      <c r="I41" s="1845"/>
    </row>
    <row r="42" spans="1:14" ht="15" customHeight="1" x14ac:dyDescent="0.25">
      <c r="A42" s="1834"/>
      <c r="B42" s="1835"/>
      <c r="C42" s="1835"/>
      <c r="D42" s="1835"/>
      <c r="E42" s="1836"/>
      <c r="F42" s="1843"/>
      <c r="G42" s="1844"/>
      <c r="H42" s="1844"/>
      <c r="I42" s="1845"/>
    </row>
    <row r="43" spans="1:14" ht="15" customHeight="1" x14ac:dyDescent="0.25">
      <c r="A43" s="1834"/>
      <c r="B43" s="1835"/>
      <c r="C43" s="1835"/>
      <c r="D43" s="1835"/>
      <c r="E43" s="1836"/>
      <c r="F43" s="1843"/>
      <c r="G43" s="1844"/>
      <c r="H43" s="1844"/>
      <c r="I43" s="1845"/>
    </row>
    <row r="44" spans="1:14" ht="15" customHeight="1" x14ac:dyDescent="0.25">
      <c r="A44" s="1834"/>
      <c r="B44" s="1835"/>
      <c r="C44" s="1835"/>
      <c r="D44" s="1835"/>
      <c r="E44" s="1836"/>
      <c r="F44" s="1843"/>
      <c r="G44" s="1844"/>
      <c r="H44" s="1844"/>
      <c r="I44" s="1845"/>
    </row>
    <row r="45" spans="1:14" ht="15" customHeight="1" x14ac:dyDescent="0.25">
      <c r="A45" s="1834"/>
      <c r="B45" s="1835"/>
      <c r="C45" s="1835"/>
      <c r="D45" s="1835"/>
      <c r="E45" s="1836"/>
      <c r="F45" s="1843"/>
      <c r="G45" s="1844"/>
      <c r="H45" s="1844"/>
      <c r="I45" s="1845"/>
    </row>
    <row r="46" spans="1:14" ht="15" customHeight="1" x14ac:dyDescent="0.25">
      <c r="A46" s="1834"/>
      <c r="B46" s="1835"/>
      <c r="C46" s="1835"/>
      <c r="D46" s="1835"/>
      <c r="E46" s="1836"/>
      <c r="F46" s="1843"/>
      <c r="G46" s="1844"/>
      <c r="H46" s="1844"/>
      <c r="I46" s="1845"/>
    </row>
    <row r="47" spans="1:14" ht="15" customHeight="1" x14ac:dyDescent="0.25">
      <c r="A47" s="1834"/>
      <c r="B47" s="1835"/>
      <c r="C47" s="1835"/>
      <c r="D47" s="1835"/>
      <c r="E47" s="1836"/>
      <c r="F47" s="1843"/>
      <c r="G47" s="1844"/>
      <c r="H47" s="1844"/>
      <c r="I47" s="1845"/>
    </row>
    <row r="48" spans="1:14" ht="15" customHeight="1" x14ac:dyDescent="0.25">
      <c r="A48" s="1834"/>
      <c r="B48" s="1835"/>
      <c r="C48" s="1835"/>
      <c r="D48" s="1835"/>
      <c r="E48" s="1836"/>
      <c r="F48" s="1843"/>
      <c r="G48" s="1844"/>
      <c r="H48" s="1844"/>
      <c r="I48" s="1845"/>
    </row>
    <row r="49" spans="1:9" ht="15" customHeight="1" x14ac:dyDescent="0.25">
      <c r="A49" s="1834"/>
      <c r="B49" s="1835"/>
      <c r="C49" s="1835"/>
      <c r="D49" s="1835"/>
      <c r="E49" s="1836"/>
      <c r="F49" s="1843"/>
      <c r="G49" s="1844"/>
      <c r="H49" s="1844"/>
      <c r="I49" s="1845"/>
    </row>
    <row r="50" spans="1:9" ht="15" customHeight="1" x14ac:dyDescent="0.25">
      <c r="A50" s="1834"/>
      <c r="B50" s="1835"/>
      <c r="C50" s="1835"/>
      <c r="D50" s="1835"/>
      <c r="E50" s="1836"/>
      <c r="F50" s="1846"/>
      <c r="G50" s="1847"/>
      <c r="H50" s="1847"/>
      <c r="I50" s="1848"/>
    </row>
    <row r="51" spans="1:9" x14ac:dyDescent="0.25">
      <c r="A51" s="1837"/>
      <c r="B51" s="1838"/>
      <c r="C51" s="1838"/>
      <c r="D51" s="1838"/>
      <c r="E51" s="1839"/>
      <c r="F51" s="1597" t="s">
        <v>780</v>
      </c>
      <c r="G51" s="1597"/>
      <c r="H51" s="1597"/>
      <c r="I51" s="1597"/>
    </row>
    <row r="52" spans="1:9" ht="3" customHeight="1" x14ac:dyDescent="0.25">
      <c r="A52" s="1580"/>
      <c r="B52" s="1581"/>
      <c r="C52" s="1581"/>
      <c r="D52" s="1581"/>
      <c r="E52" s="1581"/>
      <c r="F52" s="1581"/>
      <c r="G52" s="1581"/>
      <c r="H52" s="1581"/>
      <c r="I52" s="1583"/>
    </row>
    <row r="55" spans="1:9" x14ac:dyDescent="0.25">
      <c r="H55" s="589"/>
      <c r="I55" s="48"/>
    </row>
    <row r="56" spans="1:9" x14ac:dyDescent="0.25">
      <c r="H56" s="590"/>
      <c r="I56" s="49"/>
    </row>
    <row r="57" spans="1:9" x14ac:dyDescent="0.25">
      <c r="H57" s="590"/>
      <c r="I57" s="49"/>
    </row>
    <row r="58" spans="1:9" x14ac:dyDescent="0.25">
      <c r="H58" s="590"/>
      <c r="I58" s="49"/>
    </row>
    <row r="59" spans="1:9" x14ac:dyDescent="0.25">
      <c r="H59" s="590"/>
      <c r="I59" s="49"/>
    </row>
    <row r="62" spans="1:9" x14ac:dyDescent="0.25">
      <c r="A62" s="590"/>
      <c r="B62" s="590"/>
      <c r="C62" s="590"/>
      <c r="D62" s="590"/>
      <c r="E62" s="590"/>
      <c r="F62" s="590"/>
      <c r="G62" s="590"/>
      <c r="H62" s="590"/>
      <c r="I62" s="49"/>
    </row>
    <row r="64" spans="1:9" x14ac:dyDescent="0.25">
      <c r="A64" s="590"/>
      <c r="F64" s="590"/>
    </row>
    <row r="65" spans="1:9" x14ac:dyDescent="0.25">
      <c r="A65" s="590"/>
      <c r="F65" s="590"/>
    </row>
    <row r="66" spans="1:9" x14ac:dyDescent="0.25">
      <c r="A66" s="590"/>
      <c r="F66" s="590"/>
    </row>
    <row r="67" spans="1:9" x14ac:dyDescent="0.25">
      <c r="A67" s="590"/>
      <c r="F67" s="590"/>
    </row>
    <row r="68" spans="1:9" x14ac:dyDescent="0.25">
      <c r="A68" s="590"/>
      <c r="D68" s="47"/>
      <c r="E68" s="47"/>
      <c r="F68" s="590"/>
      <c r="G68" s="47"/>
      <c r="H68" s="47"/>
    </row>
    <row r="69" spans="1:9" x14ac:dyDescent="0.25">
      <c r="A69" s="590"/>
      <c r="B69" s="590"/>
      <c r="C69" s="590"/>
      <c r="D69" s="590"/>
      <c r="E69" s="590"/>
      <c r="F69" s="590"/>
      <c r="G69" s="590"/>
      <c r="H69" s="590"/>
      <c r="I69" s="49"/>
    </row>
    <row r="71" spans="1:9" x14ac:dyDescent="0.25">
      <c r="A71" s="590"/>
      <c r="B71" s="590"/>
      <c r="C71" s="590"/>
      <c r="D71" s="590"/>
      <c r="E71" s="49"/>
      <c r="F71" s="590"/>
      <c r="G71" s="590"/>
      <c r="H71" s="590"/>
      <c r="I71" s="49"/>
    </row>
  </sheetData>
  <mergeCells count="37">
    <mergeCell ref="F51:I51"/>
    <mergeCell ref="A52:I52"/>
    <mergeCell ref="A27:E51"/>
    <mergeCell ref="F16:I50"/>
    <mergeCell ref="A24:E24"/>
    <mergeCell ref="A25:D25"/>
    <mergeCell ref="A26:E26"/>
    <mergeCell ref="A20:E20"/>
    <mergeCell ref="A21:E21"/>
    <mergeCell ref="A22:E22"/>
    <mergeCell ref="A23:E23"/>
    <mergeCell ref="A17:B17"/>
    <mergeCell ref="C17:E17"/>
    <mergeCell ref="A18:B18"/>
    <mergeCell ref="A19:E19"/>
    <mergeCell ref="A14:I14"/>
    <mergeCell ref="A15:B15"/>
    <mergeCell ref="C15:E15"/>
    <mergeCell ref="F15:I15"/>
    <mergeCell ref="A16:B16"/>
    <mergeCell ref="F12:I12"/>
    <mergeCell ref="F13:H13"/>
    <mergeCell ref="A12:E13"/>
    <mergeCell ref="A9:I9"/>
    <mergeCell ref="A10:B11"/>
    <mergeCell ref="C10:E11"/>
    <mergeCell ref="F10:G10"/>
    <mergeCell ref="H10:I10"/>
    <mergeCell ref="H11:I11"/>
    <mergeCell ref="F8:I8"/>
    <mergeCell ref="A1:D7"/>
    <mergeCell ref="E1:I1"/>
    <mergeCell ref="E2:I2"/>
    <mergeCell ref="E3:I3"/>
    <mergeCell ref="E4:I4"/>
    <mergeCell ref="E5:E7"/>
    <mergeCell ref="F5:I7"/>
  </mergeCells>
  <hyperlinks>
    <hyperlink ref="C17" r:id="rId1" xr:uid="{76E548BC-D7EB-4ECE-9568-7342370E3ACD}"/>
  </hyperlinks>
  <pageMargins left="0.7" right="0.7" top="0.75" bottom="0.75" header="0.3" footer="0.3"/>
  <pageSetup scale="93" orientation="portrait" r:id="rId2"/>
  <drawing r:id="rId3"/>
  <legacyDrawing r:id="rId4"/>
  <picture r:id="rId5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F4C24C8E-A1B2-40A3-839D-26EDCC7D7ED9}">
          <x14:formula1>
            <xm:f>'R Data'!$W$41:$W$45</xm:f>
          </x14:formula1>
          <xm:sqref>A19 C19</xm:sqref>
        </x14:dataValidation>
        <x14:dataValidation type="list" allowBlank="1" showInputMessage="1" showErrorMessage="1" xr:uid="{51C2DB90-0A87-41F4-A0E1-6F4B9EE23F03}">
          <x14:formula1>
            <xm:f>'R Data'!$W$2:$W$11</xm:f>
          </x14:formula1>
          <xm:sqref>B19 D19:E19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EAAE3D-BEF3-4463-97CE-316E91635826}">
  <sheetPr codeName="Sheet16">
    <tabColor rgb="FFCCFFCC"/>
    <pageSetUpPr fitToPage="1"/>
  </sheetPr>
  <dimension ref="A1:I71"/>
  <sheetViews>
    <sheetView workbookViewId="0">
      <selection activeCell="K21" sqref="K21"/>
    </sheetView>
  </sheetViews>
  <sheetFormatPr defaultRowHeight="15" outlineLevelRow="1" x14ac:dyDescent="0.25"/>
  <cols>
    <col min="1" max="1" width="7.7109375" style="359" customWidth="1"/>
    <col min="2" max="2" width="11.42578125" style="359" customWidth="1"/>
    <col min="3" max="3" width="10.140625" style="359" bestFit="1" customWidth="1"/>
    <col min="4" max="4" width="9.140625" style="359"/>
    <col min="5" max="5" width="15.28515625" style="359" customWidth="1"/>
    <col min="6" max="6" width="8.42578125" style="359" customWidth="1"/>
    <col min="7" max="8" width="10.28515625" style="359" customWidth="1"/>
    <col min="9" max="9" width="15.7109375" style="47" customWidth="1"/>
    <col min="10" max="16384" width="9.140625" style="359"/>
  </cols>
  <sheetData>
    <row r="1" spans="1:9" x14ac:dyDescent="0.25">
      <c r="A1" s="1463"/>
      <c r="B1" s="1463"/>
      <c r="C1" s="1463"/>
      <c r="D1" s="1463"/>
      <c r="E1" s="1463"/>
      <c r="F1" s="1463"/>
      <c r="G1" s="1463"/>
      <c r="H1" s="1463"/>
      <c r="I1" s="1463"/>
    </row>
    <row r="2" spans="1:9" x14ac:dyDescent="0.25">
      <c r="A2" s="1463"/>
      <c r="B2" s="1463"/>
      <c r="C2" s="1463"/>
      <c r="D2" s="1463"/>
      <c r="E2" s="1640" t="s">
        <v>776</v>
      </c>
      <c r="F2" s="1640"/>
      <c r="G2" s="1640"/>
      <c r="H2" s="1640"/>
      <c r="I2" s="1640"/>
    </row>
    <row r="3" spans="1:9" x14ac:dyDescent="0.25">
      <c r="A3" s="1463"/>
      <c r="B3" s="1463"/>
      <c r="C3" s="1463"/>
      <c r="D3" s="1463"/>
      <c r="E3" s="1639" t="s">
        <v>777</v>
      </c>
      <c r="F3" s="1639"/>
      <c r="G3" s="1639"/>
      <c r="H3" s="1639"/>
      <c r="I3" s="1639"/>
    </row>
    <row r="4" spans="1:9" x14ac:dyDescent="0.25">
      <c r="A4" s="1463"/>
      <c r="B4" s="1463"/>
      <c r="C4" s="1463"/>
      <c r="D4" s="1463"/>
      <c r="E4" s="1640" t="s">
        <v>228</v>
      </c>
      <c r="F4" s="1640"/>
      <c r="G4" s="1640"/>
      <c r="H4" s="1640"/>
      <c r="I4" s="1640"/>
    </row>
    <row r="5" spans="1:9" ht="15" customHeight="1" x14ac:dyDescent="0.25">
      <c r="A5" s="1463"/>
      <c r="B5" s="1463"/>
      <c r="C5" s="1463"/>
      <c r="D5" s="1463"/>
      <c r="E5" s="1641" t="s">
        <v>10087</v>
      </c>
      <c r="F5" s="1641" t="str">
        <f>'B 1'!R1</f>
        <v>RFP -</v>
      </c>
      <c r="G5" s="1641"/>
      <c r="H5" s="1641"/>
      <c r="I5" s="1641"/>
    </row>
    <row r="6" spans="1:9" ht="15" customHeight="1" x14ac:dyDescent="0.25">
      <c r="A6" s="1463"/>
      <c r="B6" s="1463"/>
      <c r="C6" s="1463"/>
      <c r="D6" s="1463"/>
      <c r="E6" s="1641"/>
      <c r="F6" s="1641"/>
      <c r="G6" s="1641"/>
      <c r="H6" s="1641"/>
      <c r="I6" s="1641"/>
    </row>
    <row r="7" spans="1:9" ht="15" customHeight="1" x14ac:dyDescent="0.25">
      <c r="A7" s="1463"/>
      <c r="B7" s="1463"/>
      <c r="C7" s="1463"/>
      <c r="D7" s="1463"/>
      <c r="E7" s="1641"/>
      <c r="F7" s="1641"/>
      <c r="G7" s="1641"/>
      <c r="H7" s="1641"/>
      <c r="I7" s="1641"/>
    </row>
    <row r="8" spans="1:9" ht="18.75" x14ac:dyDescent="0.25">
      <c r="B8" s="843"/>
      <c r="C8" s="843"/>
      <c r="D8" s="843"/>
      <c r="E8" s="843"/>
      <c r="F8" s="1643" t="s">
        <v>761</v>
      </c>
      <c r="G8" s="1643"/>
      <c r="H8" s="1643"/>
      <c r="I8" s="1643"/>
    </row>
    <row r="9" spans="1:9" ht="3" customHeight="1" x14ac:dyDescent="0.25">
      <c r="A9" s="1580"/>
      <c r="B9" s="1581"/>
      <c r="C9" s="1581"/>
      <c r="D9" s="1581"/>
      <c r="E9" s="1581"/>
      <c r="F9" s="1581"/>
      <c r="G9" s="1581"/>
      <c r="H9" s="1581"/>
      <c r="I9" s="1583"/>
    </row>
    <row r="10" spans="1:9" x14ac:dyDescent="0.25">
      <c r="A10" s="1589"/>
      <c r="B10" s="1590"/>
      <c r="C10" s="1590"/>
      <c r="D10" s="1590"/>
      <c r="E10" s="1591"/>
      <c r="F10" s="1578" t="s">
        <v>230</v>
      </c>
      <c r="G10" s="1579"/>
      <c r="H10" s="1644">
        <f ca="1">TODAY()</f>
        <v>46240</v>
      </c>
      <c r="I10" s="1645"/>
    </row>
    <row r="11" spans="1:9" x14ac:dyDescent="0.25">
      <c r="A11" s="1592"/>
      <c r="B11" s="1593"/>
      <c r="C11" s="1593"/>
      <c r="D11" s="1593"/>
      <c r="E11" s="1594"/>
      <c r="F11" s="579" t="s">
        <v>994</v>
      </c>
      <c r="G11" s="580"/>
      <c r="H11" s="1696" t="str">
        <f>'B 1'!D2</f>
        <v>Company Name</v>
      </c>
      <c r="I11" s="1697"/>
    </row>
    <row r="12" spans="1:9" x14ac:dyDescent="0.25">
      <c r="A12" s="579" t="s">
        <v>1011</v>
      </c>
      <c r="B12" s="1687" t="str">
        <f>'B 1'!S3</f>
        <v>Dwight Cameron 403-492-9351 dwight@megaroofing.ca</v>
      </c>
      <c r="C12" s="1687"/>
      <c r="D12" s="1687"/>
      <c r="E12" s="1688"/>
      <c r="F12" s="1578" t="s">
        <v>991</v>
      </c>
      <c r="G12" s="1579"/>
      <c r="H12" s="1579"/>
      <c r="I12" s="1584"/>
    </row>
    <row r="13" spans="1:9" ht="15" customHeight="1" x14ac:dyDescent="0.25">
      <c r="A13" s="605"/>
      <c r="B13" s="1849" t="s">
        <v>252</v>
      </c>
      <c r="C13" s="1849">
        <v>2</v>
      </c>
      <c r="D13" s="1849"/>
      <c r="E13" s="606"/>
      <c r="F13" s="672"/>
      <c r="I13" s="477"/>
    </row>
    <row r="14" spans="1:9" x14ac:dyDescent="0.25">
      <c r="A14" s="626"/>
      <c r="B14" s="627"/>
      <c r="C14" s="690">
        <v>45917</v>
      </c>
      <c r="D14" s="627"/>
      <c r="E14" s="630"/>
      <c r="F14" s="1690" t="str">
        <f>'B 1'!D4</f>
        <v>ADDRESS</v>
      </c>
      <c r="G14" s="1691"/>
      <c r="H14" s="1691"/>
      <c r="I14" s="1692"/>
    </row>
    <row r="15" spans="1:9" x14ac:dyDescent="0.25">
      <c r="A15" s="584" t="s">
        <v>998</v>
      </c>
      <c r="B15" s="1785" t="s">
        <v>280</v>
      </c>
      <c r="C15" s="1785"/>
      <c r="D15" s="1790" t="str">
        <f>F5</f>
        <v>RFP -</v>
      </c>
      <c r="E15" s="1799"/>
      <c r="F15" s="1681" t="s">
        <v>993</v>
      </c>
      <c r="G15" s="1586"/>
      <c r="H15" s="1586"/>
      <c r="I15" s="1682"/>
    </row>
    <row r="16" spans="1:9" ht="3" customHeight="1" x14ac:dyDescent="0.25">
      <c r="A16" s="1580"/>
      <c r="B16" s="1581"/>
      <c r="C16" s="1581"/>
      <c r="D16" s="1581"/>
      <c r="E16" s="1581"/>
      <c r="F16" s="1581"/>
      <c r="G16" s="1581"/>
      <c r="H16" s="1581"/>
      <c r="I16" s="1583"/>
    </row>
    <row r="17" spans="1:9" x14ac:dyDescent="0.25">
      <c r="A17" s="1628" t="s">
        <v>762</v>
      </c>
      <c r="B17" s="1629"/>
      <c r="C17" s="1629"/>
      <c r="D17" s="1629"/>
      <c r="E17" s="1630"/>
      <c r="F17" s="1587" t="s">
        <v>763</v>
      </c>
      <c r="G17" s="1588"/>
      <c r="H17" s="1588"/>
      <c r="I17" s="1588"/>
    </row>
    <row r="18" spans="1:9" ht="17.25" customHeight="1" outlineLevel="1" x14ac:dyDescent="0.25">
      <c r="A18" s="1562" t="str">
        <f>VLOOKUP(A17,'R Data'!W2:X34,2,FALSE)</f>
        <v>sam@acepaintingcalgary.com</v>
      </c>
      <c r="B18" s="1563"/>
      <c r="C18" s="1563"/>
      <c r="D18" s="1563"/>
      <c r="E18" s="1564"/>
      <c r="F18" s="1614" t="s">
        <v>764</v>
      </c>
      <c r="G18" s="1615"/>
      <c r="H18" s="1615"/>
      <c r="I18" s="1615"/>
    </row>
    <row r="19" spans="1:9" ht="15" customHeight="1" outlineLevel="1" x14ac:dyDescent="0.25">
      <c r="A19" s="1562" t="str">
        <f>VLOOKUP(A18,'R Data'!X2:Y34,2,FALSE)</f>
        <v>10512 Waneta Cr SE,</v>
      </c>
      <c r="B19" s="1563"/>
      <c r="C19" s="1563"/>
      <c r="D19" s="1563"/>
      <c r="E19" s="1564"/>
      <c r="F19" s="1615"/>
      <c r="G19" s="1615"/>
      <c r="H19" s="1615"/>
      <c r="I19" s="1615"/>
    </row>
    <row r="20" spans="1:9" ht="15" customHeight="1" outlineLevel="1" x14ac:dyDescent="0.25">
      <c r="A20" s="1618" t="s">
        <v>306</v>
      </c>
      <c r="B20" s="1619"/>
      <c r="C20" s="1619"/>
      <c r="D20" s="1619"/>
      <c r="E20" s="1620"/>
      <c r="F20" s="1615"/>
      <c r="G20" s="1615"/>
      <c r="H20" s="1615"/>
      <c r="I20" s="1615"/>
    </row>
    <row r="21" spans="1:9" ht="15" customHeight="1" outlineLevel="1" x14ac:dyDescent="0.25">
      <c r="A21" s="1562" t="str">
        <f>VLOOKUP(A19,'R Data'!Y2:Z34,2,FALSE)</f>
        <v>T2J 1J6</v>
      </c>
      <c r="B21" s="1563"/>
      <c r="C21" s="1563"/>
      <c r="D21" s="1563"/>
      <c r="E21" s="1564"/>
      <c r="F21" s="1615"/>
      <c r="G21" s="1615"/>
      <c r="H21" s="1615"/>
      <c r="I21" s="1615"/>
    </row>
    <row r="22" spans="1:9" ht="15" customHeight="1" outlineLevel="1" x14ac:dyDescent="0.25">
      <c r="A22" s="1562" t="str">
        <f>VLOOKUP(A21,'R Data'!Z2:AA34,2,FALSE)</f>
        <v>403-992-2237</v>
      </c>
      <c r="B22" s="1563"/>
      <c r="C22" s="1563"/>
      <c r="D22" s="1563"/>
      <c r="E22" s="1564"/>
      <c r="F22" s="1615"/>
      <c r="G22" s="1615"/>
      <c r="H22" s="1615"/>
      <c r="I22" s="1615"/>
    </row>
    <row r="23" spans="1:9" ht="15" customHeight="1" outlineLevel="1" x14ac:dyDescent="0.25">
      <c r="A23" s="1573" t="s">
        <v>765</v>
      </c>
      <c r="B23" s="1574"/>
      <c r="C23" s="1574"/>
      <c r="D23" s="1574"/>
      <c r="E23" s="569"/>
      <c r="F23" s="1615"/>
      <c r="G23" s="1615"/>
      <c r="H23" s="1615"/>
      <c r="I23" s="1615"/>
    </row>
    <row r="24" spans="1:9" x14ac:dyDescent="0.25">
      <c r="A24" s="1568" t="s">
        <v>344</v>
      </c>
      <c r="B24" s="1815"/>
      <c r="C24" s="1815"/>
      <c r="D24" s="1815"/>
      <c r="E24" s="1816"/>
      <c r="F24" s="1615"/>
      <c r="G24" s="1615"/>
      <c r="H24" s="1615"/>
      <c r="I24" s="1615"/>
    </row>
    <row r="25" spans="1:9" x14ac:dyDescent="0.25">
      <c r="A25" s="1817"/>
      <c r="B25" s="1818"/>
      <c r="C25" s="1818"/>
      <c r="D25" s="1818"/>
      <c r="E25" s="1819"/>
      <c r="F25" s="1615"/>
      <c r="G25" s="1615"/>
      <c r="H25" s="1615"/>
      <c r="I25" s="1615"/>
    </row>
    <row r="26" spans="1:9" x14ac:dyDescent="0.25">
      <c r="A26" s="1850"/>
      <c r="B26" s="1851"/>
      <c r="C26" s="1851"/>
      <c r="D26" s="1851"/>
      <c r="E26" s="1852"/>
      <c r="F26" s="1615"/>
      <c r="G26" s="1615"/>
      <c r="H26" s="1615"/>
      <c r="I26" s="1615"/>
    </row>
    <row r="27" spans="1:9" x14ac:dyDescent="0.25">
      <c r="A27" s="1853"/>
      <c r="B27" s="1854"/>
      <c r="C27" s="1854"/>
      <c r="D27" s="1854"/>
      <c r="E27" s="1855"/>
      <c r="F27" s="1615"/>
      <c r="G27" s="1615"/>
      <c r="H27" s="1615"/>
      <c r="I27" s="1615"/>
    </row>
    <row r="28" spans="1:9" x14ac:dyDescent="0.25">
      <c r="A28" s="1853"/>
      <c r="B28" s="1854"/>
      <c r="C28" s="1854"/>
      <c r="D28" s="1854"/>
      <c r="E28" s="1855"/>
      <c r="F28" s="1615"/>
      <c r="G28" s="1615"/>
      <c r="H28" s="1615"/>
      <c r="I28" s="1615"/>
    </row>
    <row r="29" spans="1:9" x14ac:dyDescent="0.25">
      <c r="A29" s="1853"/>
      <c r="B29" s="1854"/>
      <c r="C29" s="1854"/>
      <c r="D29" s="1854"/>
      <c r="E29" s="1855"/>
      <c r="F29" s="1615"/>
      <c r="G29" s="1615"/>
      <c r="H29" s="1615"/>
      <c r="I29" s="1615"/>
    </row>
    <row r="30" spans="1:9" ht="15" customHeight="1" x14ac:dyDescent="0.25">
      <c r="A30" s="1853"/>
      <c r="B30" s="1854"/>
      <c r="C30" s="1854"/>
      <c r="D30" s="1854"/>
      <c r="E30" s="1855"/>
      <c r="F30" s="1615"/>
      <c r="G30" s="1615"/>
      <c r="H30" s="1615"/>
      <c r="I30" s="1615"/>
    </row>
    <row r="31" spans="1:9" x14ac:dyDescent="0.25">
      <c r="A31" s="1853"/>
      <c r="B31" s="1854"/>
      <c r="C31" s="1854"/>
      <c r="D31" s="1854"/>
      <c r="E31" s="1855"/>
      <c r="F31" s="1615"/>
      <c r="G31" s="1615"/>
      <c r="H31" s="1615"/>
      <c r="I31" s="1615"/>
    </row>
    <row r="32" spans="1:9" ht="15" customHeight="1" x14ac:dyDescent="0.25">
      <c r="A32" s="1853"/>
      <c r="B32" s="1854"/>
      <c r="C32" s="1854"/>
      <c r="D32" s="1854"/>
      <c r="E32" s="1855"/>
      <c r="F32" s="1615"/>
      <c r="G32" s="1615"/>
      <c r="H32" s="1615"/>
      <c r="I32" s="1615"/>
    </row>
    <row r="33" spans="1:9" x14ac:dyDescent="0.25">
      <c r="A33" s="1853"/>
      <c r="B33" s="1854"/>
      <c r="C33" s="1854"/>
      <c r="D33" s="1854"/>
      <c r="E33" s="1855"/>
      <c r="F33" s="1615"/>
      <c r="G33" s="1615"/>
      <c r="H33" s="1615"/>
      <c r="I33" s="1615"/>
    </row>
    <row r="34" spans="1:9" x14ac:dyDescent="0.25">
      <c r="A34" s="1853"/>
      <c r="B34" s="1854"/>
      <c r="C34" s="1854"/>
      <c r="D34" s="1854"/>
      <c r="E34" s="1855"/>
      <c r="F34" s="1615"/>
      <c r="G34" s="1615"/>
      <c r="H34" s="1615"/>
      <c r="I34" s="1615"/>
    </row>
    <row r="35" spans="1:9" ht="15" customHeight="1" x14ac:dyDescent="0.25">
      <c r="A35" s="1853"/>
      <c r="B35" s="1854"/>
      <c r="C35" s="1854"/>
      <c r="D35" s="1854"/>
      <c r="E35" s="1855"/>
      <c r="F35" s="1615"/>
      <c r="G35" s="1615"/>
      <c r="H35" s="1615"/>
      <c r="I35" s="1615"/>
    </row>
    <row r="36" spans="1:9" x14ac:dyDescent="0.25">
      <c r="A36" s="1853"/>
      <c r="B36" s="1854"/>
      <c r="C36" s="1854"/>
      <c r="D36" s="1854"/>
      <c r="E36" s="1855"/>
      <c r="F36" s="1615"/>
      <c r="G36" s="1615"/>
      <c r="H36" s="1615"/>
      <c r="I36" s="1615"/>
    </row>
    <row r="37" spans="1:9" x14ac:dyDescent="0.25">
      <c r="A37" s="1853"/>
      <c r="B37" s="1854"/>
      <c r="C37" s="1854"/>
      <c r="D37" s="1854"/>
      <c r="E37" s="1855"/>
      <c r="F37" s="1615"/>
      <c r="G37" s="1615"/>
      <c r="H37" s="1615"/>
      <c r="I37" s="1615"/>
    </row>
    <row r="38" spans="1:9" ht="15" customHeight="1" x14ac:dyDescent="0.25">
      <c r="A38" s="1853"/>
      <c r="B38" s="1854"/>
      <c r="C38" s="1854"/>
      <c r="D38" s="1854"/>
      <c r="E38" s="1855"/>
      <c r="F38" s="1615"/>
      <c r="G38" s="1615"/>
      <c r="H38" s="1615"/>
      <c r="I38" s="1615"/>
    </row>
    <row r="39" spans="1:9" x14ac:dyDescent="0.25">
      <c r="A39" s="1853"/>
      <c r="B39" s="1854"/>
      <c r="C39" s="1854"/>
      <c r="D39" s="1854"/>
      <c r="E39" s="1855"/>
      <c r="F39" s="1615"/>
      <c r="G39" s="1615"/>
      <c r="H39" s="1615"/>
      <c r="I39" s="1615"/>
    </row>
    <row r="40" spans="1:9" x14ac:dyDescent="0.25">
      <c r="A40" s="1853"/>
      <c r="B40" s="1854"/>
      <c r="C40" s="1854"/>
      <c r="D40" s="1854"/>
      <c r="E40" s="1855"/>
      <c r="F40" s="1615"/>
      <c r="G40" s="1615"/>
      <c r="H40" s="1615"/>
      <c r="I40" s="1615"/>
    </row>
    <row r="41" spans="1:9" ht="15" customHeight="1" x14ac:dyDescent="0.25">
      <c r="A41" s="1853"/>
      <c r="B41" s="1854"/>
      <c r="C41" s="1854"/>
      <c r="D41" s="1854"/>
      <c r="E41" s="1855"/>
      <c r="F41" s="1615"/>
      <c r="G41" s="1615"/>
      <c r="H41" s="1615"/>
      <c r="I41" s="1615"/>
    </row>
    <row r="42" spans="1:9" x14ac:dyDescent="0.25">
      <c r="A42" s="1853"/>
      <c r="B42" s="1854"/>
      <c r="C42" s="1854"/>
      <c r="D42" s="1854"/>
      <c r="E42" s="1855"/>
      <c r="F42" s="1615"/>
      <c r="G42" s="1615"/>
      <c r="H42" s="1615"/>
      <c r="I42" s="1615"/>
    </row>
    <row r="43" spans="1:9" x14ac:dyDescent="0.25">
      <c r="A43" s="1853"/>
      <c r="B43" s="1854"/>
      <c r="C43" s="1854"/>
      <c r="D43" s="1854"/>
      <c r="E43" s="1855"/>
      <c r="F43" s="1615"/>
      <c r="G43" s="1615"/>
      <c r="H43" s="1615"/>
      <c r="I43" s="1615"/>
    </row>
    <row r="44" spans="1:9" ht="15" customHeight="1" x14ac:dyDescent="0.25">
      <c r="A44" s="1853"/>
      <c r="B44" s="1854"/>
      <c r="C44" s="1854"/>
      <c r="D44" s="1854"/>
      <c r="E44" s="1855"/>
      <c r="F44" s="1615"/>
      <c r="G44" s="1615"/>
      <c r="H44" s="1615"/>
      <c r="I44" s="1615"/>
    </row>
    <row r="45" spans="1:9" x14ac:dyDescent="0.25">
      <c r="A45" s="1853"/>
      <c r="B45" s="1854"/>
      <c r="C45" s="1854"/>
      <c r="D45" s="1854"/>
      <c r="E45" s="1855"/>
      <c r="F45" s="1615"/>
      <c r="G45" s="1615"/>
      <c r="H45" s="1615"/>
      <c r="I45" s="1615"/>
    </row>
    <row r="46" spans="1:9" x14ac:dyDescent="0.25">
      <c r="A46" s="1853"/>
      <c r="B46" s="1854"/>
      <c r="C46" s="1854"/>
      <c r="D46" s="1854"/>
      <c r="E46" s="1855"/>
      <c r="F46" s="1615"/>
      <c r="G46" s="1615"/>
      <c r="H46" s="1615"/>
      <c r="I46" s="1615"/>
    </row>
    <row r="47" spans="1:9" x14ac:dyDescent="0.25">
      <c r="A47" s="1853"/>
      <c r="B47" s="1854"/>
      <c r="C47" s="1854"/>
      <c r="D47" s="1854"/>
      <c r="E47" s="1855"/>
      <c r="F47" s="1615"/>
      <c r="G47" s="1615"/>
      <c r="H47" s="1615"/>
      <c r="I47" s="1615"/>
    </row>
    <row r="48" spans="1:9" ht="15" customHeight="1" x14ac:dyDescent="0.25">
      <c r="A48" s="1853"/>
      <c r="B48" s="1854"/>
      <c r="C48" s="1854"/>
      <c r="D48" s="1854"/>
      <c r="E48" s="1855"/>
      <c r="F48" s="1615"/>
      <c r="G48" s="1615"/>
      <c r="H48" s="1615"/>
      <c r="I48" s="1615"/>
    </row>
    <row r="49" spans="1:9" ht="15" customHeight="1" x14ac:dyDescent="0.25">
      <c r="A49" s="1853"/>
      <c r="B49" s="1854"/>
      <c r="C49" s="1854"/>
      <c r="D49" s="1854"/>
      <c r="E49" s="1855"/>
      <c r="F49" s="1615"/>
      <c r="G49" s="1615"/>
      <c r="H49" s="1615"/>
      <c r="I49" s="1615"/>
    </row>
    <row r="50" spans="1:9" x14ac:dyDescent="0.25">
      <c r="A50" s="1853"/>
      <c r="B50" s="1854"/>
      <c r="C50" s="1854"/>
      <c r="D50" s="1854"/>
      <c r="E50" s="1855"/>
      <c r="F50" s="1615"/>
      <c r="G50" s="1615"/>
      <c r="H50" s="1615"/>
      <c r="I50" s="1615"/>
    </row>
    <row r="51" spans="1:9" x14ac:dyDescent="0.25">
      <c r="A51" s="1853"/>
      <c r="B51" s="1854"/>
      <c r="C51" s="1854"/>
      <c r="D51" s="1854"/>
      <c r="E51" s="1855"/>
      <c r="F51" s="1588" t="s">
        <v>780</v>
      </c>
      <c r="G51" s="1588"/>
      <c r="H51" s="1588"/>
      <c r="I51" s="1588"/>
    </row>
    <row r="52" spans="1:9" ht="3" customHeight="1" x14ac:dyDescent="0.25">
      <c r="A52" s="1580"/>
      <c r="B52" s="1581"/>
      <c r="C52" s="1581"/>
      <c r="D52" s="1581"/>
      <c r="E52" s="1581"/>
      <c r="F52" s="1581"/>
      <c r="G52" s="1581"/>
      <c r="H52" s="1581"/>
      <c r="I52" s="1583"/>
    </row>
    <row r="55" spans="1:9" x14ac:dyDescent="0.25">
      <c r="H55" s="589"/>
      <c r="I55" s="48"/>
    </row>
    <row r="56" spans="1:9" x14ac:dyDescent="0.25">
      <c r="H56" s="590"/>
      <c r="I56" s="49"/>
    </row>
    <row r="57" spans="1:9" x14ac:dyDescent="0.25">
      <c r="H57" s="590"/>
      <c r="I57" s="49"/>
    </row>
    <row r="58" spans="1:9" x14ac:dyDescent="0.25">
      <c r="H58" s="590"/>
      <c r="I58" s="49"/>
    </row>
    <row r="59" spans="1:9" x14ac:dyDescent="0.25">
      <c r="H59" s="590"/>
      <c r="I59" s="49"/>
    </row>
    <row r="62" spans="1:9" x14ac:dyDescent="0.25">
      <c r="A62" s="590"/>
      <c r="B62" s="590"/>
      <c r="C62" s="590"/>
      <c r="D62" s="590"/>
      <c r="E62" s="590"/>
      <c r="F62" s="590"/>
      <c r="G62" s="590"/>
      <c r="H62" s="590"/>
      <c r="I62" s="49"/>
    </row>
    <row r="64" spans="1:9" x14ac:dyDescent="0.25">
      <c r="A64" s="590"/>
      <c r="F64" s="590"/>
    </row>
    <row r="65" spans="1:9" x14ac:dyDescent="0.25">
      <c r="A65" s="590"/>
      <c r="F65" s="590"/>
    </row>
    <row r="66" spans="1:9" x14ac:dyDescent="0.25">
      <c r="A66" s="590"/>
      <c r="F66" s="590"/>
    </row>
    <row r="67" spans="1:9" x14ac:dyDescent="0.25">
      <c r="A67" s="590"/>
      <c r="F67" s="590"/>
    </row>
    <row r="68" spans="1:9" x14ac:dyDescent="0.25">
      <c r="A68" s="590"/>
      <c r="D68" s="47"/>
      <c r="E68" s="47"/>
      <c r="F68" s="590"/>
      <c r="G68" s="47"/>
      <c r="H68" s="47"/>
    </row>
    <row r="69" spans="1:9" x14ac:dyDescent="0.25">
      <c r="A69" s="590"/>
      <c r="B69" s="590"/>
      <c r="C69" s="590"/>
      <c r="D69" s="590"/>
      <c r="E69" s="590"/>
      <c r="F69" s="590"/>
      <c r="G69" s="590"/>
      <c r="H69" s="590"/>
      <c r="I69" s="49"/>
    </row>
    <row r="71" spans="1:9" x14ac:dyDescent="0.25">
      <c r="A71" s="590"/>
      <c r="B71" s="590"/>
      <c r="C71" s="590"/>
      <c r="D71" s="590"/>
      <c r="E71" s="49"/>
      <c r="F71" s="590"/>
      <c r="G71" s="590"/>
      <c r="H71" s="590"/>
      <c r="I71" s="49"/>
    </row>
  </sheetData>
  <mergeCells count="66">
    <mergeCell ref="A19:E19"/>
    <mergeCell ref="A20:E20"/>
    <mergeCell ref="A21:E21"/>
    <mergeCell ref="A16:I16"/>
    <mergeCell ref="A17:E17"/>
    <mergeCell ref="F17:I17"/>
    <mergeCell ref="A18:E18"/>
    <mergeCell ref="F18:I18"/>
    <mergeCell ref="F28:I28"/>
    <mergeCell ref="A22:E22"/>
    <mergeCell ref="A23:D23"/>
    <mergeCell ref="A24:E25"/>
    <mergeCell ref="F26:I26"/>
    <mergeCell ref="F27:I27"/>
    <mergeCell ref="F29:I29"/>
    <mergeCell ref="F51:I51"/>
    <mergeCell ref="F39:I39"/>
    <mergeCell ref="F40:I40"/>
    <mergeCell ref="F41:I41"/>
    <mergeCell ref="F42:I42"/>
    <mergeCell ref="F30:I30"/>
    <mergeCell ref="F43:I43"/>
    <mergeCell ref="F44:I44"/>
    <mergeCell ref="F50:I50"/>
    <mergeCell ref="F31:I31"/>
    <mergeCell ref="F32:I32"/>
    <mergeCell ref="F33:I33"/>
    <mergeCell ref="F34:I34"/>
    <mergeCell ref="F35:I35"/>
    <mergeCell ref="F36:I36"/>
    <mergeCell ref="A52:I52"/>
    <mergeCell ref="F19:I19"/>
    <mergeCell ref="F20:I20"/>
    <mergeCell ref="F21:I21"/>
    <mergeCell ref="F22:I22"/>
    <mergeCell ref="F23:I23"/>
    <mergeCell ref="F24:I24"/>
    <mergeCell ref="F45:I45"/>
    <mergeCell ref="F46:I46"/>
    <mergeCell ref="F47:I47"/>
    <mergeCell ref="F48:I48"/>
    <mergeCell ref="F49:I49"/>
    <mergeCell ref="F37:I37"/>
    <mergeCell ref="F38:I38"/>
    <mergeCell ref="F25:I25"/>
    <mergeCell ref="A26:E51"/>
    <mergeCell ref="A1:D7"/>
    <mergeCell ref="E1:I1"/>
    <mergeCell ref="E2:I2"/>
    <mergeCell ref="E3:I3"/>
    <mergeCell ref="E4:I4"/>
    <mergeCell ref="E5:E7"/>
    <mergeCell ref="F5:I7"/>
    <mergeCell ref="D15:E15"/>
    <mergeCell ref="B12:E12"/>
    <mergeCell ref="B13:D13"/>
    <mergeCell ref="F12:I12"/>
    <mergeCell ref="F14:I14"/>
    <mergeCell ref="B15:C15"/>
    <mergeCell ref="F15:I15"/>
    <mergeCell ref="F8:I8"/>
    <mergeCell ref="F10:G10"/>
    <mergeCell ref="H10:I10"/>
    <mergeCell ref="H11:I11"/>
    <mergeCell ref="A10:E11"/>
    <mergeCell ref="A9:I9"/>
  </mergeCells>
  <pageMargins left="0.7" right="0.7" top="0.75" bottom="0.75" header="0.3" footer="0.3"/>
  <pageSetup scale="91" fitToHeight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B36F4617-7A4F-4456-80EF-4FA841245D43}">
          <x14:formula1>
            <xm:f>'R Data'!$W$31:$W$34</xm:f>
          </x14:formula1>
          <xm:sqref>A17 C17</xm:sqref>
        </x14:dataValidation>
        <x14:dataValidation type="list" allowBlank="1" showInputMessage="1" showErrorMessage="1" xr:uid="{1A5E8653-B7A4-48D9-BF7A-F830EF352A9B}">
          <x14:formula1>
            <xm:f>'R Data'!$W$2:$W$11</xm:f>
          </x14:formula1>
          <xm:sqref>B17 D17:E17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1D236A-91A9-42C9-A984-8B5F7CBA0BC3}">
  <sheetPr codeName="Sheet17">
    <tabColor rgb="FFFFCCFF"/>
    <pageSetUpPr fitToPage="1"/>
  </sheetPr>
  <dimension ref="A1:I71"/>
  <sheetViews>
    <sheetView workbookViewId="0">
      <selection activeCell="L19" sqref="L19"/>
    </sheetView>
  </sheetViews>
  <sheetFormatPr defaultRowHeight="15" outlineLevelRow="1" x14ac:dyDescent="0.25"/>
  <cols>
    <col min="1" max="1" width="7.7109375" style="359" customWidth="1"/>
    <col min="2" max="2" width="11.42578125" style="359" customWidth="1"/>
    <col min="3" max="3" width="10.140625" style="359" bestFit="1" customWidth="1"/>
    <col min="4" max="4" width="9.140625" style="359"/>
    <col min="5" max="5" width="15.28515625" style="359" customWidth="1"/>
    <col min="6" max="6" width="8.42578125" style="359" customWidth="1"/>
    <col min="7" max="8" width="10.28515625" style="359" customWidth="1"/>
    <col min="9" max="9" width="15.7109375" style="47" customWidth="1"/>
    <col min="10" max="16384" width="9.140625" style="359"/>
  </cols>
  <sheetData>
    <row r="1" spans="1:9" x14ac:dyDescent="0.25">
      <c r="A1" s="1463"/>
      <c r="B1" s="1463"/>
      <c r="C1" s="1463"/>
      <c r="D1" s="1463"/>
      <c r="E1" s="1463"/>
      <c r="F1" s="1463"/>
      <c r="G1" s="1463"/>
      <c r="H1" s="1463"/>
      <c r="I1" s="1463"/>
    </row>
    <row r="2" spans="1:9" x14ac:dyDescent="0.25">
      <c r="A2" s="1463"/>
      <c r="B2" s="1463"/>
      <c r="C2" s="1463"/>
      <c r="D2" s="1463"/>
      <c r="E2" s="1640" t="s">
        <v>776</v>
      </c>
      <c r="F2" s="1640"/>
      <c r="G2" s="1640"/>
      <c r="H2" s="1640"/>
      <c r="I2" s="1640"/>
    </row>
    <row r="3" spans="1:9" x14ac:dyDescent="0.25">
      <c r="A3" s="1463"/>
      <c r="B3" s="1463"/>
      <c r="C3" s="1463"/>
      <c r="D3" s="1463"/>
      <c r="E3" s="1639" t="s">
        <v>777</v>
      </c>
      <c r="F3" s="1639"/>
      <c r="G3" s="1639"/>
      <c r="H3" s="1639"/>
      <c r="I3" s="1639"/>
    </row>
    <row r="4" spans="1:9" x14ac:dyDescent="0.25">
      <c r="A4" s="1463"/>
      <c r="B4" s="1463"/>
      <c r="C4" s="1463"/>
      <c r="D4" s="1463"/>
      <c r="E4" s="1640" t="s">
        <v>228</v>
      </c>
      <c r="F4" s="1640"/>
      <c r="G4" s="1640"/>
      <c r="H4" s="1640"/>
      <c r="I4" s="1640"/>
    </row>
    <row r="5" spans="1:9" x14ac:dyDescent="0.25">
      <c r="A5" s="1463"/>
      <c r="B5" s="1463"/>
      <c r="C5" s="1463"/>
      <c r="D5" s="1463"/>
      <c r="E5" s="1864" t="s">
        <v>10088</v>
      </c>
      <c r="F5" s="1864" t="str">
        <f>'B 1'!R1</f>
        <v>RFP -</v>
      </c>
      <c r="G5" s="1864"/>
      <c r="H5" s="1864"/>
      <c r="I5" s="1864"/>
    </row>
    <row r="6" spans="1:9" x14ac:dyDescent="0.25">
      <c r="A6" s="1463"/>
      <c r="B6" s="1463"/>
      <c r="C6" s="1463"/>
      <c r="D6" s="1463"/>
      <c r="E6" s="1864"/>
      <c r="F6" s="1864"/>
      <c r="G6" s="1864"/>
      <c r="H6" s="1864"/>
      <c r="I6" s="1864"/>
    </row>
    <row r="7" spans="1:9" x14ac:dyDescent="0.25">
      <c r="A7" s="1463"/>
      <c r="B7" s="1463"/>
      <c r="C7" s="1463"/>
      <c r="D7" s="1463"/>
      <c r="E7" s="1864"/>
      <c r="F7" s="1864"/>
      <c r="G7" s="1864"/>
      <c r="H7" s="1864"/>
      <c r="I7" s="1864"/>
    </row>
    <row r="8" spans="1:9" ht="18.75" x14ac:dyDescent="0.25">
      <c r="B8" s="842"/>
      <c r="C8" s="842"/>
      <c r="D8" s="842"/>
      <c r="E8" s="842"/>
      <c r="F8" s="1643" t="s">
        <v>819</v>
      </c>
      <c r="G8" s="1643"/>
      <c r="H8" s="1643"/>
      <c r="I8" s="1643"/>
    </row>
    <row r="9" spans="1:9" ht="3" customHeight="1" x14ac:dyDescent="0.25">
      <c r="A9" s="1580"/>
      <c r="B9" s="1581"/>
      <c r="C9" s="1581"/>
      <c r="D9" s="1581"/>
      <c r="E9" s="1581"/>
      <c r="F9" s="1581"/>
      <c r="G9" s="1581"/>
      <c r="H9" s="1581"/>
      <c r="I9" s="1583"/>
    </row>
    <row r="10" spans="1:9" x14ac:dyDescent="0.25">
      <c r="A10" s="1589"/>
      <c r="B10" s="1590"/>
      <c r="C10" s="1590"/>
      <c r="D10" s="1590"/>
      <c r="E10" s="1591"/>
      <c r="F10" s="1578" t="s">
        <v>230</v>
      </c>
      <c r="G10" s="1579"/>
      <c r="H10" s="1865">
        <f ca="1">TODAY()</f>
        <v>46240</v>
      </c>
      <c r="I10" s="1866"/>
    </row>
    <row r="11" spans="1:9" x14ac:dyDescent="0.25">
      <c r="A11" s="1592"/>
      <c r="B11" s="1593"/>
      <c r="C11" s="1593"/>
      <c r="D11" s="1593"/>
      <c r="E11" s="1594"/>
      <c r="F11" s="579" t="s">
        <v>994</v>
      </c>
      <c r="G11" s="580"/>
      <c r="H11" s="1696" t="str">
        <f>'B 1'!D2</f>
        <v>Company Name</v>
      </c>
      <c r="I11" s="1697"/>
    </row>
    <row r="12" spans="1:9" x14ac:dyDescent="0.25">
      <c r="A12" s="579" t="s">
        <v>1011</v>
      </c>
      <c r="B12" s="1687" t="str">
        <f>'B 1'!S3</f>
        <v>Dwight Cameron 403-492-9351 dwight@megaroofing.ca</v>
      </c>
      <c r="C12" s="1687"/>
      <c r="D12" s="1687"/>
      <c r="E12" s="1688"/>
      <c r="F12" s="1578" t="s">
        <v>991</v>
      </c>
      <c r="G12" s="1579"/>
      <c r="H12" s="1579"/>
      <c r="I12" s="1584"/>
    </row>
    <row r="13" spans="1:9" x14ac:dyDescent="0.25">
      <c r="A13" s="629"/>
      <c r="B13" s="1792" t="s">
        <v>252</v>
      </c>
      <c r="C13" s="1792">
        <v>2</v>
      </c>
      <c r="D13" s="1792"/>
      <c r="E13" s="618"/>
      <c r="F13" s="672"/>
      <c r="I13" s="477"/>
    </row>
    <row r="14" spans="1:9" x14ac:dyDescent="0.25">
      <c r="A14" s="626"/>
      <c r="B14" s="627"/>
      <c r="C14" s="690">
        <v>45917</v>
      </c>
      <c r="D14" s="627"/>
      <c r="E14" s="630"/>
      <c r="F14" s="1690" t="str">
        <f>'B 1'!D4</f>
        <v>ADDRESS</v>
      </c>
      <c r="G14" s="1691"/>
      <c r="H14" s="1691"/>
      <c r="I14" s="1692"/>
    </row>
    <row r="15" spans="1:9" x14ac:dyDescent="0.25">
      <c r="A15" s="628" t="s">
        <v>998</v>
      </c>
      <c r="B15" s="1689" t="s">
        <v>280</v>
      </c>
      <c r="C15" s="1689"/>
      <c r="D15" s="1862" t="str">
        <f>F5</f>
        <v>RFP -</v>
      </c>
      <c r="E15" s="1863"/>
      <c r="F15" s="1681" t="s">
        <v>993</v>
      </c>
      <c r="G15" s="1586"/>
      <c r="H15" s="1586"/>
      <c r="I15" s="1682"/>
    </row>
    <row r="16" spans="1:9" ht="3" customHeight="1" x14ac:dyDescent="0.25">
      <c r="A16" s="1580"/>
      <c r="B16" s="1581"/>
      <c r="C16" s="1581"/>
      <c r="D16" s="1581"/>
      <c r="E16" s="1581"/>
      <c r="F16" s="1581"/>
      <c r="G16" s="1581"/>
      <c r="H16" s="1581"/>
      <c r="I16" s="1583"/>
    </row>
    <row r="17" spans="1:9" x14ac:dyDescent="0.25">
      <c r="A17" s="1628" t="s">
        <v>840</v>
      </c>
      <c r="B17" s="1629"/>
      <c r="C17" s="1629"/>
      <c r="D17" s="1629"/>
      <c r="E17" s="1630"/>
      <c r="F17" s="1587" t="s">
        <v>763</v>
      </c>
      <c r="G17" s="1588"/>
      <c r="H17" s="1588"/>
      <c r="I17" s="1588"/>
    </row>
    <row r="18" spans="1:9" ht="17.25" customHeight="1" outlineLevel="1" x14ac:dyDescent="0.25">
      <c r="A18" s="1562" t="str">
        <f>VLOOKUP(A17,'R Data'!W2:X34,2,FALSE)</f>
        <v>info@homeinsulators.com</v>
      </c>
      <c r="B18" s="1563"/>
      <c r="C18" s="1563"/>
      <c r="D18" s="1563"/>
      <c r="E18" s="1564"/>
      <c r="F18" s="1614" t="s">
        <v>992</v>
      </c>
      <c r="G18" s="1615"/>
      <c r="H18" s="1615"/>
      <c r="I18" s="1615"/>
    </row>
    <row r="19" spans="1:9" ht="15" customHeight="1" outlineLevel="1" x14ac:dyDescent="0.25">
      <c r="A19" s="1562" t="str">
        <f>VLOOKUP(A18,'R Data'!X2:Y34,2,FALSE)</f>
        <v>4320 75 Ave SE.,</v>
      </c>
      <c r="B19" s="1563"/>
      <c r="C19" s="1563"/>
      <c r="D19" s="1563"/>
      <c r="E19" s="1564"/>
      <c r="F19" s="1615"/>
      <c r="G19" s="1615"/>
      <c r="H19" s="1615"/>
      <c r="I19" s="1615"/>
    </row>
    <row r="20" spans="1:9" ht="15" customHeight="1" outlineLevel="1" x14ac:dyDescent="0.25">
      <c r="A20" s="1618" t="s">
        <v>306</v>
      </c>
      <c r="B20" s="1619"/>
      <c r="C20" s="1619"/>
      <c r="D20" s="1619"/>
      <c r="E20" s="1620"/>
      <c r="F20" s="1615"/>
      <c r="G20" s="1615"/>
      <c r="H20" s="1615"/>
      <c r="I20" s="1615"/>
    </row>
    <row r="21" spans="1:9" ht="15" customHeight="1" outlineLevel="1" x14ac:dyDescent="0.25">
      <c r="A21" s="1562" t="str">
        <f>VLOOKUP(A19,'R Data'!Y2:Z34,2,FALSE)</f>
        <v xml:space="preserve">T2C 2H8 </v>
      </c>
      <c r="B21" s="1563"/>
      <c r="C21" s="1563"/>
      <c r="D21" s="1563"/>
      <c r="E21" s="1564"/>
      <c r="F21" s="1615"/>
      <c r="G21" s="1615"/>
      <c r="H21" s="1615"/>
      <c r="I21" s="1615"/>
    </row>
    <row r="22" spans="1:9" ht="15" customHeight="1" outlineLevel="1" x14ac:dyDescent="0.25">
      <c r="A22" s="1856" t="str">
        <f>VLOOKUP(A21,'R Data'!Z2:AA34,2,FALSE)</f>
        <v>403-668-7159</v>
      </c>
      <c r="B22" s="1857"/>
      <c r="C22" s="1857"/>
      <c r="D22" s="1857"/>
      <c r="E22" s="1858"/>
      <c r="F22" s="1615"/>
      <c r="G22" s="1615"/>
      <c r="H22" s="1615"/>
      <c r="I22" s="1615"/>
    </row>
    <row r="23" spans="1:9" ht="15" customHeight="1" outlineLevel="1" x14ac:dyDescent="0.25">
      <c r="A23" s="1859" t="s">
        <v>765</v>
      </c>
      <c r="B23" s="1860"/>
      <c r="C23" s="1860"/>
      <c r="D23" s="1861"/>
      <c r="E23" s="611"/>
      <c r="F23" s="1615"/>
      <c r="G23" s="1615"/>
      <c r="H23" s="1615"/>
      <c r="I23" s="1615"/>
    </row>
    <row r="24" spans="1:9" x14ac:dyDescent="0.25">
      <c r="A24" s="1568" t="s">
        <v>344</v>
      </c>
      <c r="B24" s="1815"/>
      <c r="C24" s="1815"/>
      <c r="D24" s="1815"/>
      <c r="E24" s="1816"/>
      <c r="F24" s="1615"/>
      <c r="G24" s="1615"/>
      <c r="H24" s="1615"/>
      <c r="I24" s="1615"/>
    </row>
    <row r="25" spans="1:9" x14ac:dyDescent="0.25">
      <c r="A25" s="1817"/>
      <c r="B25" s="1818"/>
      <c r="C25" s="1818"/>
      <c r="D25" s="1818"/>
      <c r="E25" s="1819"/>
      <c r="F25" s="1615"/>
      <c r="G25" s="1615"/>
      <c r="H25" s="1615"/>
      <c r="I25" s="1615"/>
    </row>
    <row r="26" spans="1:9" x14ac:dyDescent="0.25">
      <c r="A26" s="1850"/>
      <c r="B26" s="1851"/>
      <c r="C26" s="1851"/>
      <c r="D26" s="1851"/>
      <c r="E26" s="1852"/>
      <c r="F26" s="1615"/>
      <c r="G26" s="1615"/>
      <c r="H26" s="1615"/>
      <c r="I26" s="1615"/>
    </row>
    <row r="27" spans="1:9" x14ac:dyDescent="0.25">
      <c r="A27" s="1853"/>
      <c r="B27" s="1854"/>
      <c r="C27" s="1854"/>
      <c r="D27" s="1854"/>
      <c r="E27" s="1855"/>
      <c r="F27" s="1615"/>
      <c r="G27" s="1615"/>
      <c r="H27" s="1615"/>
      <c r="I27" s="1615"/>
    </row>
    <row r="28" spans="1:9" x14ac:dyDescent="0.25">
      <c r="A28" s="1853"/>
      <c r="B28" s="1854"/>
      <c r="C28" s="1854"/>
      <c r="D28" s="1854"/>
      <c r="E28" s="1855"/>
      <c r="F28" s="1615"/>
      <c r="G28" s="1615"/>
      <c r="H28" s="1615"/>
      <c r="I28" s="1615"/>
    </row>
    <row r="29" spans="1:9" x14ac:dyDescent="0.25">
      <c r="A29" s="1853"/>
      <c r="B29" s="1854"/>
      <c r="C29" s="1854"/>
      <c r="D29" s="1854"/>
      <c r="E29" s="1855"/>
      <c r="F29" s="1615"/>
      <c r="G29" s="1615"/>
      <c r="H29" s="1615"/>
      <c r="I29" s="1615"/>
    </row>
    <row r="30" spans="1:9" ht="15" customHeight="1" x14ac:dyDescent="0.25">
      <c r="A30" s="1853"/>
      <c r="B30" s="1854"/>
      <c r="C30" s="1854"/>
      <c r="D30" s="1854"/>
      <c r="E30" s="1855"/>
      <c r="F30" s="1615"/>
      <c r="G30" s="1615"/>
      <c r="H30" s="1615"/>
      <c r="I30" s="1615"/>
    </row>
    <row r="31" spans="1:9" x14ac:dyDescent="0.25">
      <c r="A31" s="1853"/>
      <c r="B31" s="1854"/>
      <c r="C31" s="1854"/>
      <c r="D31" s="1854"/>
      <c r="E31" s="1855"/>
      <c r="F31" s="1615"/>
      <c r="G31" s="1615"/>
      <c r="H31" s="1615"/>
      <c r="I31" s="1615"/>
    </row>
    <row r="32" spans="1:9" ht="15" customHeight="1" x14ac:dyDescent="0.25">
      <c r="A32" s="1853"/>
      <c r="B32" s="1854"/>
      <c r="C32" s="1854"/>
      <c r="D32" s="1854"/>
      <c r="E32" s="1855"/>
      <c r="F32" s="1615"/>
      <c r="G32" s="1615"/>
      <c r="H32" s="1615"/>
      <c r="I32" s="1615"/>
    </row>
    <row r="33" spans="1:9" x14ac:dyDescent="0.25">
      <c r="A33" s="1853"/>
      <c r="B33" s="1854"/>
      <c r="C33" s="1854"/>
      <c r="D33" s="1854"/>
      <c r="E33" s="1855"/>
      <c r="F33" s="1615"/>
      <c r="G33" s="1615"/>
      <c r="H33" s="1615"/>
      <c r="I33" s="1615"/>
    </row>
    <row r="34" spans="1:9" x14ac:dyDescent="0.25">
      <c r="A34" s="1853"/>
      <c r="B34" s="1854"/>
      <c r="C34" s="1854"/>
      <c r="D34" s="1854"/>
      <c r="E34" s="1855"/>
      <c r="F34" s="1615"/>
      <c r="G34" s="1615"/>
      <c r="H34" s="1615"/>
      <c r="I34" s="1615"/>
    </row>
    <row r="35" spans="1:9" ht="15" customHeight="1" x14ac:dyDescent="0.25">
      <c r="A35" s="1853"/>
      <c r="B35" s="1854"/>
      <c r="C35" s="1854"/>
      <c r="D35" s="1854"/>
      <c r="E35" s="1855"/>
      <c r="F35" s="1615"/>
      <c r="G35" s="1615"/>
      <c r="H35" s="1615"/>
      <c r="I35" s="1615"/>
    </row>
    <row r="36" spans="1:9" x14ac:dyDescent="0.25">
      <c r="A36" s="1853"/>
      <c r="B36" s="1854"/>
      <c r="C36" s="1854"/>
      <c r="D36" s="1854"/>
      <c r="E36" s="1855"/>
      <c r="F36" s="1615"/>
      <c r="G36" s="1615"/>
      <c r="H36" s="1615"/>
      <c r="I36" s="1615"/>
    </row>
    <row r="37" spans="1:9" x14ac:dyDescent="0.25">
      <c r="A37" s="1853"/>
      <c r="B37" s="1854"/>
      <c r="C37" s="1854"/>
      <c r="D37" s="1854"/>
      <c r="E37" s="1855"/>
      <c r="F37" s="1615"/>
      <c r="G37" s="1615"/>
      <c r="H37" s="1615"/>
      <c r="I37" s="1615"/>
    </row>
    <row r="38" spans="1:9" ht="15" customHeight="1" x14ac:dyDescent="0.25">
      <c r="A38" s="1853"/>
      <c r="B38" s="1854"/>
      <c r="C38" s="1854"/>
      <c r="D38" s="1854"/>
      <c r="E38" s="1855"/>
      <c r="F38" s="1615"/>
      <c r="G38" s="1615"/>
      <c r="H38" s="1615"/>
      <c r="I38" s="1615"/>
    </row>
    <row r="39" spans="1:9" x14ac:dyDescent="0.25">
      <c r="A39" s="1853"/>
      <c r="B39" s="1854"/>
      <c r="C39" s="1854"/>
      <c r="D39" s="1854"/>
      <c r="E39" s="1855"/>
      <c r="F39" s="1615"/>
      <c r="G39" s="1615"/>
      <c r="H39" s="1615"/>
      <c r="I39" s="1615"/>
    </row>
    <row r="40" spans="1:9" x14ac:dyDescent="0.25">
      <c r="A40" s="1853"/>
      <c r="B40" s="1854"/>
      <c r="C40" s="1854"/>
      <c r="D40" s="1854"/>
      <c r="E40" s="1855"/>
      <c r="F40" s="1615"/>
      <c r="G40" s="1615"/>
      <c r="H40" s="1615"/>
      <c r="I40" s="1615"/>
    </row>
    <row r="41" spans="1:9" ht="15" customHeight="1" x14ac:dyDescent="0.25">
      <c r="A41" s="1853"/>
      <c r="B41" s="1854"/>
      <c r="C41" s="1854"/>
      <c r="D41" s="1854"/>
      <c r="E41" s="1855"/>
      <c r="F41" s="1615"/>
      <c r="G41" s="1615"/>
      <c r="H41" s="1615"/>
      <c r="I41" s="1615"/>
    </row>
    <row r="42" spans="1:9" x14ac:dyDescent="0.25">
      <c r="A42" s="1853"/>
      <c r="B42" s="1854"/>
      <c r="C42" s="1854"/>
      <c r="D42" s="1854"/>
      <c r="E42" s="1855"/>
      <c r="F42" s="1615"/>
      <c r="G42" s="1615"/>
      <c r="H42" s="1615"/>
      <c r="I42" s="1615"/>
    </row>
    <row r="43" spans="1:9" x14ac:dyDescent="0.25">
      <c r="A43" s="1853"/>
      <c r="B43" s="1854"/>
      <c r="C43" s="1854"/>
      <c r="D43" s="1854"/>
      <c r="E43" s="1855"/>
      <c r="F43" s="1615"/>
      <c r="G43" s="1615"/>
      <c r="H43" s="1615"/>
      <c r="I43" s="1615"/>
    </row>
    <row r="44" spans="1:9" x14ac:dyDescent="0.25">
      <c r="A44" s="1853"/>
      <c r="B44" s="1854"/>
      <c r="C44" s="1854"/>
      <c r="D44" s="1854"/>
      <c r="E44" s="1855"/>
      <c r="F44" s="1615"/>
      <c r="G44" s="1615"/>
      <c r="H44" s="1615"/>
      <c r="I44" s="1615"/>
    </row>
    <row r="45" spans="1:9" x14ac:dyDescent="0.25">
      <c r="A45" s="1853"/>
      <c r="B45" s="1854"/>
      <c r="C45" s="1854"/>
      <c r="D45" s="1854"/>
      <c r="E45" s="1855"/>
      <c r="F45" s="1615"/>
      <c r="G45" s="1615"/>
      <c r="H45" s="1615"/>
      <c r="I45" s="1615"/>
    </row>
    <row r="46" spans="1:9" x14ac:dyDescent="0.25">
      <c r="A46" s="1853"/>
      <c r="B46" s="1854"/>
      <c r="C46" s="1854"/>
      <c r="D46" s="1854"/>
      <c r="E46" s="1855"/>
      <c r="F46" s="1615"/>
      <c r="G46" s="1615"/>
      <c r="H46" s="1615"/>
      <c r="I46" s="1615"/>
    </row>
    <row r="47" spans="1:9" x14ac:dyDescent="0.25">
      <c r="A47" s="1853"/>
      <c r="B47" s="1854"/>
      <c r="C47" s="1854"/>
      <c r="D47" s="1854"/>
      <c r="E47" s="1855"/>
      <c r="F47" s="1615"/>
      <c r="G47" s="1615"/>
      <c r="H47" s="1615"/>
      <c r="I47" s="1615"/>
    </row>
    <row r="48" spans="1:9" ht="15" customHeight="1" x14ac:dyDescent="0.25">
      <c r="A48" s="1853"/>
      <c r="B48" s="1854"/>
      <c r="C48" s="1854"/>
      <c r="D48" s="1854"/>
      <c r="E48" s="1855"/>
      <c r="F48" s="1615"/>
      <c r="G48" s="1615"/>
      <c r="H48" s="1615"/>
      <c r="I48" s="1615"/>
    </row>
    <row r="49" spans="1:9" ht="15" customHeight="1" x14ac:dyDescent="0.25">
      <c r="A49" s="1853"/>
      <c r="B49" s="1854"/>
      <c r="C49" s="1854"/>
      <c r="D49" s="1854"/>
      <c r="E49" s="1855"/>
      <c r="F49" s="1615"/>
      <c r="G49" s="1615"/>
      <c r="H49" s="1615"/>
      <c r="I49" s="1615"/>
    </row>
    <row r="50" spans="1:9" x14ac:dyDescent="0.25">
      <c r="A50" s="1853"/>
      <c r="B50" s="1854"/>
      <c r="C50" s="1854"/>
      <c r="D50" s="1854"/>
      <c r="E50" s="1855"/>
      <c r="F50" s="1615"/>
      <c r="G50" s="1615"/>
      <c r="H50" s="1615"/>
      <c r="I50" s="1615"/>
    </row>
    <row r="51" spans="1:9" x14ac:dyDescent="0.25">
      <c r="A51" s="1853"/>
      <c r="B51" s="1854"/>
      <c r="C51" s="1854"/>
      <c r="D51" s="1854"/>
      <c r="E51" s="1855"/>
      <c r="F51" s="1588" t="s">
        <v>780</v>
      </c>
      <c r="G51" s="1588"/>
      <c r="H51" s="1588"/>
      <c r="I51" s="1588"/>
    </row>
    <row r="52" spans="1:9" ht="3" customHeight="1" x14ac:dyDescent="0.25">
      <c r="A52" s="1580"/>
      <c r="B52" s="1581"/>
      <c r="C52" s="1581"/>
      <c r="D52" s="1581"/>
      <c r="E52" s="1581"/>
      <c r="F52" s="1581"/>
      <c r="G52" s="1581"/>
      <c r="H52" s="1581"/>
      <c r="I52" s="1583"/>
    </row>
    <row r="55" spans="1:9" x14ac:dyDescent="0.25">
      <c r="H55" s="589"/>
      <c r="I55" s="48"/>
    </row>
    <row r="56" spans="1:9" x14ac:dyDescent="0.25">
      <c r="H56" s="590"/>
      <c r="I56" s="49"/>
    </row>
    <row r="57" spans="1:9" x14ac:dyDescent="0.25">
      <c r="H57" s="590"/>
      <c r="I57" s="49"/>
    </row>
    <row r="58" spans="1:9" x14ac:dyDescent="0.25">
      <c r="H58" s="590"/>
      <c r="I58" s="49"/>
    </row>
    <row r="59" spans="1:9" x14ac:dyDescent="0.25">
      <c r="H59" s="590"/>
      <c r="I59" s="49"/>
    </row>
    <row r="62" spans="1:9" x14ac:dyDescent="0.25">
      <c r="A62" s="590"/>
      <c r="B62" s="590"/>
      <c r="C62" s="590"/>
      <c r="D62" s="590"/>
      <c r="E62" s="590"/>
      <c r="F62" s="590"/>
      <c r="G62" s="590"/>
      <c r="H62" s="590"/>
      <c r="I62" s="49"/>
    </row>
    <row r="64" spans="1:9" x14ac:dyDescent="0.25">
      <c r="A64" s="590"/>
      <c r="F64" s="590"/>
    </row>
    <row r="65" spans="1:9" x14ac:dyDescent="0.25">
      <c r="A65" s="590"/>
      <c r="F65" s="590"/>
    </row>
    <row r="66" spans="1:9" x14ac:dyDescent="0.25">
      <c r="A66" s="590"/>
      <c r="F66" s="590"/>
    </row>
    <row r="67" spans="1:9" x14ac:dyDescent="0.25">
      <c r="A67" s="590"/>
      <c r="F67" s="590"/>
    </row>
    <row r="68" spans="1:9" x14ac:dyDescent="0.25">
      <c r="A68" s="590"/>
      <c r="D68" s="47"/>
      <c r="E68" s="47"/>
      <c r="F68" s="590"/>
      <c r="G68" s="47"/>
      <c r="H68" s="47"/>
    </row>
    <row r="69" spans="1:9" x14ac:dyDescent="0.25">
      <c r="A69" s="590"/>
      <c r="B69" s="590"/>
      <c r="C69" s="590"/>
      <c r="D69" s="590"/>
      <c r="E69" s="590"/>
      <c r="F69" s="590"/>
      <c r="G69" s="590"/>
      <c r="H69" s="590"/>
      <c r="I69" s="49"/>
    </row>
    <row r="71" spans="1:9" x14ac:dyDescent="0.25">
      <c r="A71" s="590"/>
      <c r="B71" s="590"/>
      <c r="C71" s="590"/>
      <c r="D71" s="590"/>
      <c r="E71" s="49"/>
      <c r="F71" s="590"/>
      <c r="G71" s="590"/>
      <c r="H71" s="590"/>
      <c r="I71" s="49"/>
    </row>
  </sheetData>
  <mergeCells count="66">
    <mergeCell ref="A9:I9"/>
    <mergeCell ref="F10:G10"/>
    <mergeCell ref="H10:I10"/>
    <mergeCell ref="A10:E11"/>
    <mergeCell ref="F8:I8"/>
    <mergeCell ref="A1:D7"/>
    <mergeCell ref="E1:I1"/>
    <mergeCell ref="E2:I2"/>
    <mergeCell ref="E3:I3"/>
    <mergeCell ref="E4:I4"/>
    <mergeCell ref="E5:E7"/>
    <mergeCell ref="F5:I7"/>
    <mergeCell ref="A16:I16"/>
    <mergeCell ref="A17:E17"/>
    <mergeCell ref="F17:I17"/>
    <mergeCell ref="A18:E18"/>
    <mergeCell ref="H11:I11"/>
    <mergeCell ref="B13:D13"/>
    <mergeCell ref="D15:E15"/>
    <mergeCell ref="F18:I18"/>
    <mergeCell ref="B15:C15"/>
    <mergeCell ref="F14:I14"/>
    <mergeCell ref="F15:I15"/>
    <mergeCell ref="F12:I12"/>
    <mergeCell ref="B12:E12"/>
    <mergeCell ref="A20:E20"/>
    <mergeCell ref="F20:I20"/>
    <mergeCell ref="A21:E21"/>
    <mergeCell ref="F21:I21"/>
    <mergeCell ref="A19:E19"/>
    <mergeCell ref="F19:I19"/>
    <mergeCell ref="A22:E22"/>
    <mergeCell ref="F22:I22"/>
    <mergeCell ref="A23:D23"/>
    <mergeCell ref="F23:I23"/>
    <mergeCell ref="A24:E25"/>
    <mergeCell ref="F24:I24"/>
    <mergeCell ref="F25:I25"/>
    <mergeCell ref="F41:I41"/>
    <mergeCell ref="F30:I30"/>
    <mergeCell ref="F31:I31"/>
    <mergeCell ref="F32:I32"/>
    <mergeCell ref="F33:I33"/>
    <mergeCell ref="F34:I34"/>
    <mergeCell ref="F35:I35"/>
    <mergeCell ref="F36:I36"/>
    <mergeCell ref="F37:I37"/>
    <mergeCell ref="F38:I38"/>
    <mergeCell ref="F39:I39"/>
    <mergeCell ref="F40:I40"/>
    <mergeCell ref="F49:I49"/>
    <mergeCell ref="F50:I50"/>
    <mergeCell ref="F51:I51"/>
    <mergeCell ref="A52:I52"/>
    <mergeCell ref="F46:I46"/>
    <mergeCell ref="F47:I47"/>
    <mergeCell ref="A26:E51"/>
    <mergeCell ref="F26:I26"/>
    <mergeCell ref="F27:I27"/>
    <mergeCell ref="F28:I28"/>
    <mergeCell ref="F29:I29"/>
    <mergeCell ref="F42:I42"/>
    <mergeCell ref="F43:I43"/>
    <mergeCell ref="F44:I44"/>
    <mergeCell ref="F45:I45"/>
    <mergeCell ref="F48:I48"/>
  </mergeCells>
  <pageMargins left="0.7" right="0.7" top="0.75" bottom="0.75" header="0.3" footer="0.3"/>
  <pageSetup scale="91" fitToHeight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AC0C207B-0D28-47B0-AEFA-E968C6B6A4C4}">
          <x14:formula1>
            <xm:f>'R Data'!$W$21:$W$24</xm:f>
          </x14:formula1>
          <xm:sqref>A17 C17</xm:sqref>
        </x14:dataValidation>
        <x14:dataValidation type="list" allowBlank="1" showInputMessage="1" showErrorMessage="1" xr:uid="{661BC98A-A748-4617-A5A7-BACF8C93990D}">
          <x14:formula1>
            <xm:f>'R Data'!$W$2:$W$11</xm:f>
          </x14:formula1>
          <xm:sqref>B17 D17:E17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FF00"/>
  </sheetPr>
  <dimension ref="B1:Z184"/>
  <sheetViews>
    <sheetView topLeftCell="M1" workbookViewId="0">
      <selection activeCell="Q21" sqref="Q21"/>
    </sheetView>
  </sheetViews>
  <sheetFormatPr defaultRowHeight="15" x14ac:dyDescent="0.25"/>
  <cols>
    <col min="1" max="1" width="2.42578125" customWidth="1"/>
    <col min="2" max="3" width="30.140625" customWidth="1"/>
    <col min="4" max="4" width="12" bestFit="1" customWidth="1"/>
    <col min="5" max="5" width="23.42578125" style="3" customWidth="1"/>
    <col min="6" max="6" width="2.42578125" customWidth="1"/>
    <col min="7" max="8" width="30.140625" customWidth="1"/>
    <col min="9" max="9" width="12" bestFit="1" customWidth="1"/>
    <col min="10" max="10" width="23.42578125" style="3" customWidth="1"/>
    <col min="11" max="11" width="2.7109375" customWidth="1"/>
    <col min="12" max="13" width="30.140625" customWidth="1"/>
    <col min="14" max="14" width="12" bestFit="1" customWidth="1"/>
    <col min="15" max="15" width="23.42578125" style="3" customWidth="1"/>
    <col min="16" max="16" width="2.42578125" customWidth="1"/>
    <col min="17" max="18" width="30.140625" customWidth="1"/>
    <col min="19" max="19" width="12" bestFit="1" customWidth="1"/>
    <col min="20" max="20" width="23.42578125" style="3" customWidth="1"/>
    <col min="21" max="21" width="2.7109375" customWidth="1"/>
    <col min="23" max="23" width="63.85546875" customWidth="1"/>
    <col min="25" max="25" width="15.85546875" customWidth="1"/>
  </cols>
  <sheetData>
    <row r="1" spans="2:26" ht="18.75" x14ac:dyDescent="0.3">
      <c r="B1" s="1868" t="s">
        <v>32</v>
      </c>
      <c r="C1" s="1868"/>
      <c r="D1" s="1868"/>
      <c r="E1" s="1868"/>
      <c r="G1" s="1868" t="s">
        <v>32</v>
      </c>
      <c r="H1" s="1868"/>
      <c r="I1" s="1868"/>
      <c r="J1" s="1868"/>
      <c r="L1" s="1868" t="s">
        <v>32</v>
      </c>
      <c r="M1" s="1868"/>
      <c r="N1" s="1868"/>
      <c r="O1" s="1868"/>
      <c r="Q1" s="1868" t="s">
        <v>32</v>
      </c>
      <c r="R1" s="1868"/>
      <c r="S1" s="1868"/>
      <c r="T1" s="1868"/>
      <c r="W1" s="782" t="s">
        <v>10337</v>
      </c>
      <c r="X1" s="783" t="s">
        <v>10338</v>
      </c>
      <c r="Y1" s="783"/>
      <c r="Z1" s="785" t="s">
        <v>10341</v>
      </c>
    </row>
    <row r="2" spans="2:26" s="359" customFormat="1" ht="12" customHeight="1" x14ac:dyDescent="0.25">
      <c r="B2" s="1869" t="s">
        <v>1031</v>
      </c>
      <c r="C2" s="1870"/>
      <c r="D2" s="1870"/>
      <c r="E2" s="1871"/>
      <c r="G2" s="1875" t="s">
        <v>10349</v>
      </c>
      <c r="H2" s="1876"/>
      <c r="I2" s="1876"/>
      <c r="J2" s="1877"/>
      <c r="L2" s="1887" t="s">
        <v>10350</v>
      </c>
      <c r="M2" s="1888"/>
      <c r="N2" s="1888"/>
      <c r="O2" s="1889"/>
      <c r="Q2" s="1890" t="s">
        <v>10351</v>
      </c>
      <c r="R2" s="1891"/>
      <c r="S2" s="1891"/>
      <c r="T2" s="1892"/>
      <c r="V2" s="49" t="s">
        <v>10342</v>
      </c>
      <c r="X2" s="790">
        <v>0.2</v>
      </c>
      <c r="Y2" s="791"/>
      <c r="Z2" s="785"/>
    </row>
    <row r="3" spans="2:26" ht="12" customHeight="1" x14ac:dyDescent="0.25">
      <c r="B3" s="787" t="s">
        <v>1032</v>
      </c>
      <c r="C3" s="781" t="s">
        <v>7621</v>
      </c>
      <c r="D3" s="787" t="s">
        <v>50</v>
      </c>
      <c r="E3" s="788" t="s">
        <v>51</v>
      </c>
      <c r="G3" s="787" t="s">
        <v>1032</v>
      </c>
      <c r="H3" s="781" t="s">
        <v>7621</v>
      </c>
      <c r="I3" s="787" t="s">
        <v>50</v>
      </c>
      <c r="J3" s="788" t="s">
        <v>51</v>
      </c>
      <c r="L3" s="787" t="s">
        <v>1032</v>
      </c>
      <c r="M3" s="781" t="s">
        <v>7621</v>
      </c>
      <c r="N3" s="787" t="s">
        <v>50</v>
      </c>
      <c r="O3" s="788" t="s">
        <v>51</v>
      </c>
      <c r="Q3" s="787" t="s">
        <v>1032</v>
      </c>
      <c r="R3" s="781" t="s">
        <v>7621</v>
      </c>
      <c r="S3" s="787" t="s">
        <v>50</v>
      </c>
      <c r="T3" s="788" t="s">
        <v>51</v>
      </c>
      <c r="V3" s="49" t="s">
        <v>10343</v>
      </c>
      <c r="X3" s="784"/>
      <c r="Y3" s="8"/>
      <c r="Z3" s="785"/>
    </row>
    <row r="4" spans="2:26" ht="12" customHeight="1" x14ac:dyDescent="0.25">
      <c r="B4" s="6" t="str">
        <f>'Roofing RFP - PO'!A$19</f>
        <v xml:space="preserve">Convoy Building Supply </v>
      </c>
      <c r="C4" s="46">
        <f>Input!E$1</f>
        <v>1</v>
      </c>
      <c r="D4" s="6"/>
      <c r="E4" s="7"/>
      <c r="G4" s="6">
        <f>'Roofing RFP - PO'!F$19</f>
        <v>0</v>
      </c>
      <c r="H4" s="46">
        <f>C4</f>
        <v>1</v>
      </c>
      <c r="I4" s="6"/>
      <c r="J4" s="7"/>
      <c r="L4" s="6" t="str">
        <f>'Vinyl PO'!$A$19</f>
        <v>Gentek Building Products</v>
      </c>
      <c r="M4" s="46">
        <f>C4</f>
        <v>1</v>
      </c>
      <c r="N4" s="6"/>
      <c r="O4" s="7"/>
      <c r="Q4" s="6" t="str">
        <f>'Hardie PO'!$A$19</f>
        <v>ABC Supply Co.</v>
      </c>
      <c r="R4" s="46">
        <f>C4</f>
        <v>1</v>
      </c>
      <c r="S4" s="6"/>
      <c r="T4" s="7"/>
      <c r="V4" s="49" t="s">
        <v>10344</v>
      </c>
      <c r="X4" s="784"/>
      <c r="Y4" s="8"/>
      <c r="Z4" s="785"/>
    </row>
    <row r="5" spans="2:26" ht="12" customHeight="1" x14ac:dyDescent="0.25">
      <c r="B5" s="6" t="str">
        <f>'Roofing RFP - PO'!A$19</f>
        <v xml:space="preserve">Convoy Building Supply </v>
      </c>
      <c r="C5" s="46">
        <f>Input!F$1</f>
        <v>2</v>
      </c>
      <c r="D5" s="6"/>
      <c r="E5" s="7"/>
      <c r="G5" s="6">
        <f>'Roofing RFP - PO'!F$19</f>
        <v>0</v>
      </c>
      <c r="H5" s="46">
        <f t="shared" ref="H5:H45" si="0">C5</f>
        <v>2</v>
      </c>
      <c r="I5" s="6"/>
      <c r="J5" s="7"/>
      <c r="L5" s="6" t="str">
        <f>'Vinyl PO'!$A$19</f>
        <v>Gentek Building Products</v>
      </c>
      <c r="M5" s="46">
        <f t="shared" ref="M5:M45" si="1">C5</f>
        <v>2</v>
      </c>
      <c r="N5" s="6"/>
      <c r="O5" s="7"/>
      <c r="Q5" s="6" t="str">
        <f>'Hardie PO'!$A$19</f>
        <v>ABC Supply Co.</v>
      </c>
      <c r="R5" s="46">
        <f t="shared" ref="R5:R45" si="2">C5</f>
        <v>2</v>
      </c>
      <c r="S5" s="6"/>
      <c r="T5" s="7"/>
      <c r="V5" s="49" t="s">
        <v>10345</v>
      </c>
      <c r="X5" s="784"/>
      <c r="Y5" s="8"/>
      <c r="Z5" s="785"/>
    </row>
    <row r="6" spans="2:26" ht="12" customHeight="1" x14ac:dyDescent="0.25">
      <c r="B6" s="6" t="str">
        <f>'Roofing RFP - PO'!A$19</f>
        <v xml:space="preserve">Convoy Building Supply </v>
      </c>
      <c r="C6" s="46">
        <f>Input!G$1</f>
        <v>3</v>
      </c>
      <c r="D6" s="6"/>
      <c r="E6" s="7"/>
      <c r="G6" s="6">
        <f>'Roofing RFP - PO'!F$19</f>
        <v>0</v>
      </c>
      <c r="H6" s="46">
        <f t="shared" si="0"/>
        <v>3</v>
      </c>
      <c r="I6" s="6"/>
      <c r="J6" s="7"/>
      <c r="L6" s="6" t="str">
        <f>'Vinyl PO'!$A$19</f>
        <v>Gentek Building Products</v>
      </c>
      <c r="M6" s="46">
        <f t="shared" si="1"/>
        <v>3</v>
      </c>
      <c r="N6" s="6"/>
      <c r="O6" s="7"/>
      <c r="Q6" s="6" t="str">
        <f>'Hardie PO'!$A$19</f>
        <v>ABC Supply Co.</v>
      </c>
      <c r="R6" s="46">
        <f t="shared" si="2"/>
        <v>3</v>
      </c>
      <c r="S6" s="6"/>
      <c r="T6" s="7"/>
      <c r="V6" s="49" t="s">
        <v>10346</v>
      </c>
      <c r="X6" s="784"/>
      <c r="Y6" s="8"/>
      <c r="Z6" s="785"/>
    </row>
    <row r="7" spans="2:26" ht="12" customHeight="1" x14ac:dyDescent="0.25">
      <c r="B7" s="6" t="str">
        <f>'Roofing RFP - PO'!A$19</f>
        <v xml:space="preserve">Convoy Building Supply </v>
      </c>
      <c r="C7" s="46">
        <f>Input!H$1</f>
        <v>4</v>
      </c>
      <c r="D7" s="6"/>
      <c r="E7" s="7"/>
      <c r="G7" s="6">
        <f>'Roofing RFP - PO'!F$19</f>
        <v>0</v>
      </c>
      <c r="H7" s="46">
        <f t="shared" si="0"/>
        <v>4</v>
      </c>
      <c r="I7" s="6"/>
      <c r="J7" s="7"/>
      <c r="L7" s="6" t="str">
        <f>'Vinyl PO'!$A$19</f>
        <v>Gentek Building Products</v>
      </c>
      <c r="M7" s="46">
        <f t="shared" si="1"/>
        <v>4</v>
      </c>
      <c r="N7" s="6"/>
      <c r="O7" s="7"/>
      <c r="Q7" s="6" t="str">
        <f>'Hardie PO'!$A$19</f>
        <v>ABC Supply Co.</v>
      </c>
      <c r="R7" s="46">
        <f t="shared" si="2"/>
        <v>4</v>
      </c>
      <c r="S7" s="6"/>
      <c r="T7" s="7"/>
      <c r="V7" s="49" t="s">
        <v>10347</v>
      </c>
      <c r="X7" s="784"/>
      <c r="Y7" s="8"/>
      <c r="Z7" s="785"/>
    </row>
    <row r="8" spans="2:26" ht="12" customHeight="1" x14ac:dyDescent="0.25">
      <c r="B8" s="6" t="str">
        <f>'Roofing RFP - PO'!A$19</f>
        <v xml:space="preserve">Convoy Building Supply </v>
      </c>
      <c r="C8" s="46">
        <f>Input!I$1</f>
        <v>5</v>
      </c>
      <c r="D8" s="6"/>
      <c r="E8" s="7"/>
      <c r="G8" s="6">
        <f>'Roofing RFP - PO'!F$19</f>
        <v>0</v>
      </c>
      <c r="H8" s="46">
        <f t="shared" si="0"/>
        <v>5</v>
      </c>
      <c r="I8" s="6"/>
      <c r="J8" s="7"/>
      <c r="L8" s="6" t="str">
        <f>'Vinyl PO'!$A$19</f>
        <v>Gentek Building Products</v>
      </c>
      <c r="M8" s="46">
        <f t="shared" si="1"/>
        <v>5</v>
      </c>
      <c r="N8" s="6"/>
      <c r="O8" s="7"/>
      <c r="Q8" s="6" t="str">
        <f>'Hardie PO'!$A$19</f>
        <v>ABC Supply Co.</v>
      </c>
      <c r="R8" s="46">
        <f t="shared" si="2"/>
        <v>5</v>
      </c>
      <c r="S8" s="6"/>
      <c r="T8" s="7"/>
      <c r="W8" s="789" t="s">
        <v>10339</v>
      </c>
      <c r="X8" s="786">
        <f>SUM(X2:X7)</f>
        <v>0.2</v>
      </c>
      <c r="Y8" s="10">
        <f>SUM(Y2:Y7)</f>
        <v>0</v>
      </c>
    </row>
    <row r="9" spans="2:26" ht="12" customHeight="1" x14ac:dyDescent="0.25">
      <c r="B9" s="6" t="str">
        <f>'Roofing RFP - PO'!A$19</f>
        <v xml:space="preserve">Convoy Building Supply </v>
      </c>
      <c r="C9" s="46">
        <f>Input!J$1</f>
        <v>6</v>
      </c>
      <c r="D9" s="6"/>
      <c r="E9" s="7"/>
      <c r="G9" s="6">
        <f>'Roofing RFP - PO'!F$19</f>
        <v>0</v>
      </c>
      <c r="H9" s="46">
        <f t="shared" si="0"/>
        <v>6</v>
      </c>
      <c r="I9" s="6"/>
      <c r="J9" s="7"/>
      <c r="L9" s="6" t="str">
        <f>'Vinyl PO'!$A$19</f>
        <v>Gentek Building Products</v>
      </c>
      <c r="M9" s="46">
        <f t="shared" si="1"/>
        <v>6</v>
      </c>
      <c r="N9" s="6"/>
      <c r="O9" s="7"/>
      <c r="Q9" s="6" t="str">
        <f>'Hardie PO'!$A$19</f>
        <v>ABC Supply Co.</v>
      </c>
      <c r="R9" s="46">
        <f t="shared" si="2"/>
        <v>6</v>
      </c>
      <c r="S9" s="6"/>
      <c r="T9" s="7"/>
      <c r="X9" s="784"/>
      <c r="Y9" s="8"/>
      <c r="Z9" s="785"/>
    </row>
    <row r="10" spans="2:26" ht="12" customHeight="1" x14ac:dyDescent="0.25">
      <c r="B10" s="6" t="str">
        <f>'Roofing RFP - PO'!A$19</f>
        <v xml:space="preserve">Convoy Building Supply </v>
      </c>
      <c r="C10" s="46">
        <f>Input!K$1</f>
        <v>7</v>
      </c>
      <c r="D10" s="6"/>
      <c r="E10" s="7"/>
      <c r="G10" s="6">
        <f>'Roofing RFP - PO'!F$19</f>
        <v>0</v>
      </c>
      <c r="H10" s="46">
        <f t="shared" si="0"/>
        <v>7</v>
      </c>
      <c r="I10" s="6"/>
      <c r="J10" s="7"/>
      <c r="L10" s="6" t="str">
        <f>'Vinyl PO'!$A$19</f>
        <v>Gentek Building Products</v>
      </c>
      <c r="M10" s="46">
        <f t="shared" si="1"/>
        <v>7</v>
      </c>
      <c r="N10" s="6"/>
      <c r="O10" s="7"/>
      <c r="Q10" s="6" t="str">
        <f>'Hardie PO'!$A$19</f>
        <v>ABC Supply Co.</v>
      </c>
      <c r="R10" s="46">
        <f t="shared" si="2"/>
        <v>7</v>
      </c>
      <c r="S10" s="6"/>
      <c r="T10" s="7"/>
      <c r="X10" s="784"/>
      <c r="Y10" s="8"/>
      <c r="Z10" s="785"/>
    </row>
    <row r="11" spans="2:26" ht="12" customHeight="1" x14ac:dyDescent="0.25">
      <c r="B11" s="6" t="str">
        <f>'Roofing RFP - PO'!A$19</f>
        <v xml:space="preserve">Convoy Building Supply </v>
      </c>
      <c r="C11" s="46">
        <f>Input!L$1</f>
        <v>8</v>
      </c>
      <c r="D11" s="6"/>
      <c r="E11" s="7"/>
      <c r="G11" s="6">
        <f>'Roofing RFP - PO'!F$19</f>
        <v>0</v>
      </c>
      <c r="H11" s="46">
        <f t="shared" si="0"/>
        <v>8</v>
      </c>
      <c r="I11" s="6"/>
      <c r="J11" s="7"/>
      <c r="L11" s="6" t="str">
        <f>'Vinyl PO'!$A$19</f>
        <v>Gentek Building Products</v>
      </c>
      <c r="M11" s="46">
        <f t="shared" si="1"/>
        <v>8</v>
      </c>
      <c r="N11" s="6"/>
      <c r="O11" s="7"/>
      <c r="Q11" s="6" t="str">
        <f>'Hardie PO'!$A$19</f>
        <v>ABC Supply Co.</v>
      </c>
      <c r="R11" s="46">
        <f t="shared" si="2"/>
        <v>8</v>
      </c>
      <c r="S11" s="6"/>
      <c r="T11" s="7"/>
      <c r="X11" s="784"/>
      <c r="Y11" s="8"/>
      <c r="Z11" s="785"/>
    </row>
    <row r="12" spans="2:26" ht="12" customHeight="1" x14ac:dyDescent="0.25">
      <c r="B12" s="6" t="str">
        <f>'Roofing RFP - PO'!A$19</f>
        <v xml:space="preserve">Convoy Building Supply </v>
      </c>
      <c r="C12" s="46">
        <f>Input!M$1</f>
        <v>9</v>
      </c>
      <c r="D12" s="6"/>
      <c r="E12" s="7"/>
      <c r="G12" s="6">
        <f>'Roofing RFP - PO'!F$19</f>
        <v>0</v>
      </c>
      <c r="H12" s="46">
        <f t="shared" si="0"/>
        <v>9</v>
      </c>
      <c r="I12" s="6"/>
      <c r="J12" s="7"/>
      <c r="L12" s="6" t="str">
        <f>'Vinyl PO'!$A$19</f>
        <v>Gentek Building Products</v>
      </c>
      <c r="M12" s="46">
        <f t="shared" si="1"/>
        <v>9</v>
      </c>
      <c r="N12" s="6"/>
      <c r="O12" s="7"/>
      <c r="Q12" s="6" t="str">
        <f>'Hardie PO'!$A$19</f>
        <v>ABC Supply Co.</v>
      </c>
      <c r="R12" s="46">
        <f t="shared" si="2"/>
        <v>9</v>
      </c>
      <c r="S12" s="6"/>
      <c r="T12" s="7"/>
      <c r="X12" s="784"/>
      <c r="Y12" s="8"/>
      <c r="Z12" s="785"/>
    </row>
    <row r="13" spans="2:26" ht="12" customHeight="1" x14ac:dyDescent="0.25">
      <c r="B13" s="6" t="str">
        <f>'Roofing RFP - PO'!A$19</f>
        <v xml:space="preserve">Convoy Building Supply </v>
      </c>
      <c r="C13" s="46">
        <f>Input!N$1</f>
        <v>10</v>
      </c>
      <c r="D13" s="6"/>
      <c r="E13" s="7"/>
      <c r="G13" s="6">
        <f>'Roofing RFP - PO'!F$19</f>
        <v>0</v>
      </c>
      <c r="H13" s="46">
        <f t="shared" si="0"/>
        <v>10</v>
      </c>
      <c r="I13" s="6"/>
      <c r="J13" s="7"/>
      <c r="L13" s="6" t="str">
        <f>'Vinyl PO'!$A$19</f>
        <v>Gentek Building Products</v>
      </c>
      <c r="M13" s="46">
        <f t="shared" si="1"/>
        <v>10</v>
      </c>
      <c r="N13" s="6"/>
      <c r="O13" s="7"/>
      <c r="Q13" s="6" t="str">
        <f>'Hardie PO'!$A$19</f>
        <v>ABC Supply Co.</v>
      </c>
      <c r="R13" s="46">
        <f t="shared" si="2"/>
        <v>10</v>
      </c>
      <c r="S13" s="6"/>
      <c r="T13" s="7"/>
      <c r="X13" s="784"/>
      <c r="Y13" s="8"/>
      <c r="Z13" s="785"/>
    </row>
    <row r="14" spans="2:26" ht="12" customHeight="1" x14ac:dyDescent="0.25">
      <c r="B14" s="6" t="str">
        <f>'Roofing RFP - PO'!A$19</f>
        <v xml:space="preserve">Convoy Building Supply </v>
      </c>
      <c r="C14" s="46">
        <f>Input!O$1</f>
        <v>11</v>
      </c>
      <c r="D14" s="6"/>
      <c r="E14" s="7"/>
      <c r="G14" s="6">
        <f>'Roofing RFP - PO'!F$19</f>
        <v>0</v>
      </c>
      <c r="H14" s="46">
        <f t="shared" si="0"/>
        <v>11</v>
      </c>
      <c r="I14" s="6"/>
      <c r="J14" s="7"/>
      <c r="L14" s="6" t="str">
        <f>'Vinyl PO'!$A$19</f>
        <v>Gentek Building Products</v>
      </c>
      <c r="M14" s="46">
        <f t="shared" si="1"/>
        <v>11</v>
      </c>
      <c r="N14" s="6"/>
      <c r="O14" s="7"/>
      <c r="Q14" s="6" t="str">
        <f>'Hardie PO'!$A$19</f>
        <v>ABC Supply Co.</v>
      </c>
      <c r="R14" s="46">
        <f t="shared" si="2"/>
        <v>11</v>
      </c>
      <c r="S14" s="6"/>
      <c r="T14" s="7"/>
      <c r="X14" s="784"/>
      <c r="Y14" s="8"/>
      <c r="Z14" s="785"/>
    </row>
    <row r="15" spans="2:26" ht="12" customHeight="1" x14ac:dyDescent="0.25">
      <c r="B15" s="6" t="str">
        <f>'Roofing RFP - PO'!A$19</f>
        <v xml:space="preserve">Convoy Building Supply </v>
      </c>
      <c r="C15" s="46">
        <f>Input!P$1</f>
        <v>12</v>
      </c>
      <c r="D15" s="6"/>
      <c r="E15" s="7"/>
      <c r="G15" s="6">
        <f>'Roofing RFP - PO'!F$19</f>
        <v>0</v>
      </c>
      <c r="H15" s="46">
        <f t="shared" si="0"/>
        <v>12</v>
      </c>
      <c r="I15" s="6"/>
      <c r="J15" s="7"/>
      <c r="L15" s="6" t="str">
        <f>'Vinyl PO'!$A$19</f>
        <v>Gentek Building Products</v>
      </c>
      <c r="M15" s="46">
        <f t="shared" si="1"/>
        <v>12</v>
      </c>
      <c r="N15" s="6"/>
      <c r="O15" s="7"/>
      <c r="Q15" s="6" t="str">
        <f>'Hardie PO'!$A$19</f>
        <v>ABC Supply Co.</v>
      </c>
      <c r="R15" s="46">
        <f t="shared" si="2"/>
        <v>12</v>
      </c>
      <c r="S15" s="6"/>
      <c r="T15" s="7"/>
      <c r="X15" s="784"/>
      <c r="Y15" s="8"/>
      <c r="Z15" s="785"/>
    </row>
    <row r="16" spans="2:26" ht="12" customHeight="1" x14ac:dyDescent="0.25">
      <c r="B16" s="6" t="str">
        <f>'Roofing RFP - PO'!A$19</f>
        <v xml:space="preserve">Convoy Building Supply </v>
      </c>
      <c r="C16" s="46">
        <f>Input!Q$1</f>
        <v>13</v>
      </c>
      <c r="D16" s="6"/>
      <c r="E16" s="7"/>
      <c r="G16" s="6">
        <f>'Roofing RFP - PO'!F$19</f>
        <v>0</v>
      </c>
      <c r="H16" s="46">
        <f t="shared" si="0"/>
        <v>13</v>
      </c>
      <c r="I16" s="6"/>
      <c r="J16" s="7"/>
      <c r="L16" s="6" t="str">
        <f>'Vinyl PO'!$A$19</f>
        <v>Gentek Building Products</v>
      </c>
      <c r="M16" s="46">
        <f t="shared" si="1"/>
        <v>13</v>
      </c>
      <c r="N16" s="6"/>
      <c r="O16" s="7"/>
      <c r="Q16" s="6" t="str">
        <f>'Hardie PO'!$A$19</f>
        <v>ABC Supply Co.</v>
      </c>
      <c r="R16" s="46">
        <f t="shared" si="2"/>
        <v>13</v>
      </c>
      <c r="S16" s="6"/>
      <c r="T16" s="7"/>
      <c r="X16" s="784"/>
      <c r="Y16" s="8"/>
      <c r="Z16" s="785"/>
    </row>
    <row r="17" spans="2:26" ht="12" customHeight="1" x14ac:dyDescent="0.25">
      <c r="B17" s="6" t="str">
        <f>'Roofing RFP - PO'!A$19</f>
        <v xml:space="preserve">Convoy Building Supply </v>
      </c>
      <c r="C17" s="46">
        <f>Input!R$1</f>
        <v>14</v>
      </c>
      <c r="D17" s="6"/>
      <c r="E17" s="7"/>
      <c r="G17" s="6">
        <f>'Roofing RFP - PO'!F$19</f>
        <v>0</v>
      </c>
      <c r="H17" s="46">
        <f t="shared" si="0"/>
        <v>14</v>
      </c>
      <c r="I17" s="6"/>
      <c r="J17" s="7"/>
      <c r="L17" s="6" t="str">
        <f>'Vinyl PO'!$A$19</f>
        <v>Gentek Building Products</v>
      </c>
      <c r="M17" s="46">
        <f t="shared" si="1"/>
        <v>14</v>
      </c>
      <c r="N17" s="6"/>
      <c r="O17" s="7"/>
      <c r="Q17" s="6" t="str">
        <f>'Hardie PO'!$A$19</f>
        <v>ABC Supply Co.</v>
      </c>
      <c r="R17" s="46">
        <f t="shared" si="2"/>
        <v>14</v>
      </c>
      <c r="S17" s="6"/>
      <c r="T17" s="7"/>
      <c r="X17" s="784"/>
      <c r="Y17" s="8"/>
      <c r="Z17" s="785"/>
    </row>
    <row r="18" spans="2:26" ht="12" customHeight="1" x14ac:dyDescent="0.25">
      <c r="B18" s="6" t="str">
        <f>'Roofing RFP - PO'!A$19</f>
        <v xml:space="preserve">Convoy Building Supply </v>
      </c>
      <c r="C18" s="46">
        <f>Input!S$1</f>
        <v>15</v>
      </c>
      <c r="D18" s="6"/>
      <c r="E18" s="7"/>
      <c r="G18" s="6">
        <f>'Roofing RFP - PO'!F$19</f>
        <v>0</v>
      </c>
      <c r="H18" s="46">
        <f t="shared" si="0"/>
        <v>15</v>
      </c>
      <c r="I18" s="6"/>
      <c r="J18" s="7"/>
      <c r="L18" s="6" t="str">
        <f>'Vinyl PO'!$A$19</f>
        <v>Gentek Building Products</v>
      </c>
      <c r="M18" s="46">
        <f t="shared" si="1"/>
        <v>15</v>
      </c>
      <c r="N18" s="6"/>
      <c r="O18" s="7"/>
      <c r="Q18" s="6" t="str">
        <f>'Hardie PO'!$A$19</f>
        <v>ABC Supply Co.</v>
      </c>
      <c r="R18" s="46">
        <f t="shared" si="2"/>
        <v>15</v>
      </c>
      <c r="S18" s="6"/>
      <c r="T18" s="7"/>
      <c r="X18" s="784"/>
      <c r="Y18" s="8"/>
      <c r="Z18" s="785"/>
    </row>
    <row r="19" spans="2:26" ht="12" customHeight="1" x14ac:dyDescent="0.25">
      <c r="B19" s="6" t="str">
        <f>'Roofing RFP - PO'!A$19</f>
        <v xml:space="preserve">Convoy Building Supply </v>
      </c>
      <c r="C19" s="46">
        <f>Input!T$1</f>
        <v>16</v>
      </c>
      <c r="D19" s="6"/>
      <c r="E19" s="7"/>
      <c r="G19" s="6">
        <f>'Roofing RFP - PO'!F$19</f>
        <v>0</v>
      </c>
      <c r="H19" s="46">
        <f t="shared" si="0"/>
        <v>16</v>
      </c>
      <c r="I19" s="6"/>
      <c r="J19" s="7"/>
      <c r="L19" s="6" t="str">
        <f>'Vinyl PO'!$A$19</f>
        <v>Gentek Building Products</v>
      </c>
      <c r="M19" s="46">
        <f t="shared" si="1"/>
        <v>16</v>
      </c>
      <c r="N19" s="6"/>
      <c r="O19" s="7"/>
      <c r="Q19" s="6" t="str">
        <f>'Hardie PO'!$A$19</f>
        <v>ABC Supply Co.</v>
      </c>
      <c r="R19" s="46">
        <f t="shared" si="2"/>
        <v>16</v>
      </c>
      <c r="S19" s="6"/>
      <c r="T19" s="7"/>
      <c r="X19" s="784"/>
      <c r="Y19" s="8"/>
      <c r="Z19" s="785"/>
    </row>
    <row r="20" spans="2:26" ht="12" customHeight="1" x14ac:dyDescent="0.25">
      <c r="B20" s="6" t="str">
        <f>'Roofing RFP - PO'!A$19</f>
        <v xml:space="preserve">Convoy Building Supply </v>
      </c>
      <c r="C20" s="46">
        <f>Input!U$1</f>
        <v>17</v>
      </c>
      <c r="D20" s="6"/>
      <c r="E20" s="7"/>
      <c r="G20" s="6">
        <f>'Roofing RFP - PO'!F$19</f>
        <v>0</v>
      </c>
      <c r="H20" s="46">
        <f t="shared" si="0"/>
        <v>17</v>
      </c>
      <c r="I20" s="6"/>
      <c r="J20" s="7"/>
      <c r="L20" s="6" t="str">
        <f>'Vinyl PO'!$A$19</f>
        <v>Gentek Building Products</v>
      </c>
      <c r="M20" s="46">
        <f t="shared" si="1"/>
        <v>17</v>
      </c>
      <c r="N20" s="6"/>
      <c r="O20" s="7"/>
      <c r="Q20" s="6" t="str">
        <f>'Hardie PO'!$A$19</f>
        <v>ABC Supply Co.</v>
      </c>
      <c r="R20" s="46">
        <f t="shared" si="2"/>
        <v>17</v>
      </c>
      <c r="S20" s="6"/>
      <c r="T20" s="7"/>
      <c r="X20" s="784"/>
      <c r="Y20" s="8"/>
      <c r="Z20" s="785"/>
    </row>
    <row r="21" spans="2:26" ht="12" customHeight="1" x14ac:dyDescent="0.25">
      <c r="B21" s="6" t="str">
        <f>'Roofing RFP - PO'!A$19</f>
        <v xml:space="preserve">Convoy Building Supply </v>
      </c>
      <c r="C21" s="46">
        <f>Input!V$1</f>
        <v>18</v>
      </c>
      <c r="D21" s="6"/>
      <c r="E21" s="7"/>
      <c r="G21" s="6">
        <f>'Roofing RFP - PO'!F$19</f>
        <v>0</v>
      </c>
      <c r="H21" s="46">
        <f t="shared" si="0"/>
        <v>18</v>
      </c>
      <c r="I21" s="6"/>
      <c r="J21" s="7"/>
      <c r="L21" s="6" t="str">
        <f>'Vinyl PO'!$A$19</f>
        <v>Gentek Building Products</v>
      </c>
      <c r="M21" s="46">
        <f t="shared" si="1"/>
        <v>18</v>
      </c>
      <c r="N21" s="6"/>
      <c r="O21" s="7"/>
      <c r="Q21" s="6" t="str">
        <f>'Hardie PO'!$A$19</f>
        <v>ABC Supply Co.</v>
      </c>
      <c r="R21" s="46">
        <f t="shared" si="2"/>
        <v>18</v>
      </c>
      <c r="S21" s="6"/>
      <c r="T21" s="7"/>
      <c r="X21" s="784"/>
      <c r="Y21" s="8"/>
      <c r="Z21" s="785"/>
    </row>
    <row r="22" spans="2:26" ht="12" customHeight="1" x14ac:dyDescent="0.25">
      <c r="B22" s="6" t="str">
        <f>'Roofing RFP - PO'!A$19</f>
        <v xml:space="preserve">Convoy Building Supply </v>
      </c>
      <c r="C22" s="46">
        <f>Input!W$1</f>
        <v>19</v>
      </c>
      <c r="D22" s="6"/>
      <c r="E22" s="7"/>
      <c r="G22" s="6">
        <f>'Roofing RFP - PO'!F$19</f>
        <v>0</v>
      </c>
      <c r="H22" s="46">
        <f t="shared" si="0"/>
        <v>19</v>
      </c>
      <c r="I22" s="6"/>
      <c r="J22" s="7"/>
      <c r="L22" s="6" t="str">
        <f>'Vinyl PO'!$A$19</f>
        <v>Gentek Building Products</v>
      </c>
      <c r="M22" s="46">
        <f t="shared" si="1"/>
        <v>19</v>
      </c>
      <c r="N22" s="6"/>
      <c r="O22" s="7"/>
      <c r="Q22" s="6" t="str">
        <f>'Hardie PO'!$A$19</f>
        <v>ABC Supply Co.</v>
      </c>
      <c r="R22" s="46">
        <f t="shared" si="2"/>
        <v>19</v>
      </c>
      <c r="S22" s="6"/>
      <c r="T22" s="7"/>
      <c r="X22" s="784"/>
      <c r="Y22" s="8"/>
      <c r="Z22" s="785"/>
    </row>
    <row r="23" spans="2:26" ht="12" customHeight="1" x14ac:dyDescent="0.25">
      <c r="B23" s="6" t="str">
        <f>'Roofing RFP - PO'!A$19</f>
        <v xml:space="preserve">Convoy Building Supply </v>
      </c>
      <c r="C23" s="46">
        <f>Input!X$1</f>
        <v>20</v>
      </c>
      <c r="D23" s="6"/>
      <c r="E23" s="7"/>
      <c r="G23" s="6">
        <f>'Roofing RFP - PO'!F$19</f>
        <v>0</v>
      </c>
      <c r="H23" s="46">
        <f t="shared" si="0"/>
        <v>20</v>
      </c>
      <c r="I23" s="6"/>
      <c r="J23" s="7"/>
      <c r="L23" s="6" t="str">
        <f>'Vinyl PO'!$A$19</f>
        <v>Gentek Building Products</v>
      </c>
      <c r="M23" s="46">
        <f t="shared" si="1"/>
        <v>20</v>
      </c>
      <c r="N23" s="6"/>
      <c r="O23" s="7"/>
      <c r="Q23" s="6" t="str">
        <f>'Hardie PO'!$A$19</f>
        <v>ABC Supply Co.</v>
      </c>
      <c r="R23" s="46">
        <f t="shared" si="2"/>
        <v>20</v>
      </c>
      <c r="S23" s="6"/>
      <c r="T23" s="7"/>
      <c r="X23" s="784"/>
      <c r="Y23" s="8"/>
      <c r="Z23" s="785"/>
    </row>
    <row r="24" spans="2:26" ht="12" customHeight="1" x14ac:dyDescent="0.25">
      <c r="B24" s="6" t="str">
        <f>'Roofing RFP - PO'!A$19</f>
        <v xml:space="preserve">Convoy Building Supply </v>
      </c>
      <c r="C24" s="46">
        <f>Input!Y$1</f>
        <v>21</v>
      </c>
      <c r="D24" s="6"/>
      <c r="E24" s="7"/>
      <c r="G24" s="6">
        <f>'Roofing RFP - PO'!F$19</f>
        <v>0</v>
      </c>
      <c r="H24" s="46">
        <f t="shared" si="0"/>
        <v>21</v>
      </c>
      <c r="I24" s="6"/>
      <c r="J24" s="7"/>
      <c r="L24" s="6" t="str">
        <f>'Vinyl PO'!$A$19</f>
        <v>Gentek Building Products</v>
      </c>
      <c r="M24" s="46">
        <f t="shared" si="1"/>
        <v>21</v>
      </c>
      <c r="N24" s="6"/>
      <c r="O24" s="7"/>
      <c r="Q24" s="6" t="str">
        <f>'Hardie PO'!$A$19</f>
        <v>ABC Supply Co.</v>
      </c>
      <c r="R24" s="46">
        <f t="shared" si="2"/>
        <v>21</v>
      </c>
      <c r="S24" s="6"/>
      <c r="T24" s="7"/>
      <c r="X24" s="784"/>
      <c r="Y24" s="8"/>
      <c r="Z24" s="785"/>
    </row>
    <row r="25" spans="2:26" ht="12" customHeight="1" x14ac:dyDescent="0.25">
      <c r="B25" s="6" t="str">
        <f>'Roofing RFP - PO'!A$19</f>
        <v xml:space="preserve">Convoy Building Supply </v>
      </c>
      <c r="C25" s="46">
        <f>Input!Z$1</f>
        <v>22</v>
      </c>
      <c r="D25" s="6"/>
      <c r="E25" s="7"/>
      <c r="G25" s="6">
        <f>'Roofing RFP - PO'!F$19</f>
        <v>0</v>
      </c>
      <c r="H25" s="46">
        <f t="shared" si="0"/>
        <v>22</v>
      </c>
      <c r="I25" s="6"/>
      <c r="J25" s="7"/>
      <c r="L25" s="6" t="str">
        <f>'Vinyl PO'!$A$19</f>
        <v>Gentek Building Products</v>
      </c>
      <c r="M25" s="46">
        <f t="shared" si="1"/>
        <v>22</v>
      </c>
      <c r="N25" s="6"/>
      <c r="O25" s="7"/>
      <c r="Q25" s="6" t="str">
        <f>'Hardie PO'!$A$19</f>
        <v>ABC Supply Co.</v>
      </c>
      <c r="R25" s="46">
        <f t="shared" si="2"/>
        <v>22</v>
      </c>
      <c r="S25" s="6"/>
      <c r="T25" s="7"/>
      <c r="X25" s="784"/>
      <c r="Y25" s="8"/>
      <c r="Z25" s="785"/>
    </row>
    <row r="26" spans="2:26" ht="12" customHeight="1" x14ac:dyDescent="0.25">
      <c r="B26" s="6" t="str">
        <f>'Roofing RFP - PO'!A$19</f>
        <v xml:space="preserve">Convoy Building Supply </v>
      </c>
      <c r="C26" s="46">
        <f>Input!AA$1</f>
        <v>23</v>
      </c>
      <c r="D26" s="6"/>
      <c r="E26" s="7"/>
      <c r="G26" s="6">
        <f>'Roofing RFP - PO'!F$19</f>
        <v>0</v>
      </c>
      <c r="H26" s="46">
        <f t="shared" si="0"/>
        <v>23</v>
      </c>
      <c r="I26" s="6"/>
      <c r="J26" s="7"/>
      <c r="L26" s="6" t="str">
        <f>'Vinyl PO'!$A$19</f>
        <v>Gentek Building Products</v>
      </c>
      <c r="M26" s="46">
        <f t="shared" si="1"/>
        <v>23</v>
      </c>
      <c r="N26" s="6"/>
      <c r="O26" s="7"/>
      <c r="Q26" s="6" t="str">
        <f>'Hardie PO'!$A$19</f>
        <v>ABC Supply Co.</v>
      </c>
      <c r="R26" s="46">
        <f t="shared" si="2"/>
        <v>23</v>
      </c>
      <c r="S26" s="6"/>
      <c r="T26" s="7"/>
      <c r="X26" s="784"/>
      <c r="Y26" s="8"/>
      <c r="Z26" s="785"/>
    </row>
    <row r="27" spans="2:26" ht="12" customHeight="1" x14ac:dyDescent="0.25">
      <c r="B27" s="6" t="str">
        <f>'Roofing RFP - PO'!A$19</f>
        <v xml:space="preserve">Convoy Building Supply </v>
      </c>
      <c r="C27" s="46">
        <f>Input!AB$1</f>
        <v>24</v>
      </c>
      <c r="D27" s="6"/>
      <c r="E27" s="7"/>
      <c r="G27" s="6">
        <f>'Roofing RFP - PO'!F$19</f>
        <v>0</v>
      </c>
      <c r="H27" s="46">
        <f t="shared" si="0"/>
        <v>24</v>
      </c>
      <c r="I27" s="6"/>
      <c r="J27" s="7"/>
      <c r="L27" s="6" t="str">
        <f>'Vinyl PO'!$A$19</f>
        <v>Gentek Building Products</v>
      </c>
      <c r="M27" s="46">
        <f t="shared" si="1"/>
        <v>24</v>
      </c>
      <c r="N27" s="6"/>
      <c r="O27" s="7"/>
      <c r="Q27" s="6" t="str">
        <f>'Hardie PO'!$A$19</f>
        <v>ABC Supply Co.</v>
      </c>
      <c r="R27" s="46">
        <f t="shared" si="2"/>
        <v>24</v>
      </c>
      <c r="S27" s="6"/>
      <c r="T27" s="7"/>
      <c r="X27" s="784"/>
      <c r="Y27" s="8"/>
      <c r="Z27" s="785"/>
    </row>
    <row r="28" spans="2:26" ht="12" customHeight="1" x14ac:dyDescent="0.25">
      <c r="B28" s="6" t="str">
        <f>'Roofing RFP - PO'!A$19</f>
        <v xml:space="preserve">Convoy Building Supply </v>
      </c>
      <c r="C28" s="46">
        <f>Input!AC$1</f>
        <v>25</v>
      </c>
      <c r="D28" s="6"/>
      <c r="E28" s="7"/>
      <c r="G28" s="6">
        <f>'Roofing RFP - PO'!F$19</f>
        <v>0</v>
      </c>
      <c r="H28" s="46">
        <f t="shared" si="0"/>
        <v>25</v>
      </c>
      <c r="I28" s="6"/>
      <c r="J28" s="7"/>
      <c r="L28" s="6" t="str">
        <f>'Vinyl PO'!$A$19</f>
        <v>Gentek Building Products</v>
      </c>
      <c r="M28" s="46">
        <f t="shared" si="1"/>
        <v>25</v>
      </c>
      <c r="N28" s="6"/>
      <c r="O28" s="7"/>
      <c r="Q28" s="6" t="str">
        <f>'Hardie PO'!$A$19</f>
        <v>ABC Supply Co.</v>
      </c>
      <c r="R28" s="46">
        <f t="shared" si="2"/>
        <v>25</v>
      </c>
      <c r="S28" s="6"/>
      <c r="T28" s="7"/>
      <c r="X28" s="784"/>
      <c r="Y28" s="8"/>
      <c r="Z28" s="785"/>
    </row>
    <row r="29" spans="2:26" ht="12" customHeight="1" x14ac:dyDescent="0.25">
      <c r="B29" s="6" t="str">
        <f>'Roofing RFP - PO'!A$19</f>
        <v xml:space="preserve">Convoy Building Supply </v>
      </c>
      <c r="C29" s="46">
        <f>Input!AD$1</f>
        <v>26</v>
      </c>
      <c r="D29" s="6"/>
      <c r="E29" s="7"/>
      <c r="G29" s="6">
        <f>'Roofing RFP - PO'!F$19</f>
        <v>0</v>
      </c>
      <c r="H29" s="46">
        <f t="shared" si="0"/>
        <v>26</v>
      </c>
      <c r="I29" s="6"/>
      <c r="J29" s="7"/>
      <c r="L29" s="6" t="str">
        <f>'Vinyl PO'!$A$19</f>
        <v>Gentek Building Products</v>
      </c>
      <c r="M29" s="46">
        <f t="shared" si="1"/>
        <v>26</v>
      </c>
      <c r="N29" s="6"/>
      <c r="O29" s="7"/>
      <c r="Q29" s="6" t="str">
        <f>'Hardie PO'!$A$19</f>
        <v>ABC Supply Co.</v>
      </c>
      <c r="R29" s="46">
        <f t="shared" si="2"/>
        <v>26</v>
      </c>
      <c r="S29" s="6"/>
      <c r="T29" s="7"/>
      <c r="X29" s="784"/>
      <c r="Y29" s="8"/>
      <c r="Z29" s="785"/>
    </row>
    <row r="30" spans="2:26" ht="12" customHeight="1" x14ac:dyDescent="0.25">
      <c r="B30" s="6" t="str">
        <f>'Roofing RFP - PO'!A$19</f>
        <v xml:space="preserve">Convoy Building Supply </v>
      </c>
      <c r="C30" s="46">
        <f>Input!AE$1</f>
        <v>27</v>
      </c>
      <c r="D30" s="6"/>
      <c r="E30" s="7"/>
      <c r="G30" s="6">
        <f>'Roofing RFP - PO'!F$19</f>
        <v>0</v>
      </c>
      <c r="H30" s="46">
        <f t="shared" si="0"/>
        <v>27</v>
      </c>
      <c r="I30" s="6"/>
      <c r="J30" s="7"/>
      <c r="L30" s="6" t="str">
        <f>'Vinyl PO'!$A$19</f>
        <v>Gentek Building Products</v>
      </c>
      <c r="M30" s="46">
        <f t="shared" si="1"/>
        <v>27</v>
      </c>
      <c r="N30" s="6"/>
      <c r="O30" s="7"/>
      <c r="Q30" s="6" t="str">
        <f>'Hardie PO'!$A$19</f>
        <v>ABC Supply Co.</v>
      </c>
      <c r="R30" s="46">
        <f t="shared" si="2"/>
        <v>27</v>
      </c>
      <c r="S30" s="6"/>
      <c r="T30" s="7"/>
      <c r="X30" s="784"/>
      <c r="Y30" s="8"/>
      <c r="Z30" s="785"/>
    </row>
    <row r="31" spans="2:26" ht="12" customHeight="1" x14ac:dyDescent="0.25">
      <c r="B31" s="6" t="str">
        <f>'Roofing RFP - PO'!A$19</f>
        <v xml:space="preserve">Convoy Building Supply </v>
      </c>
      <c r="C31" s="46">
        <f>Input!AF$1</f>
        <v>28</v>
      </c>
      <c r="D31" s="6"/>
      <c r="E31" s="7"/>
      <c r="G31" s="6">
        <f>'Roofing RFP - PO'!F$19</f>
        <v>0</v>
      </c>
      <c r="H31" s="46">
        <f t="shared" si="0"/>
        <v>28</v>
      </c>
      <c r="I31" s="6"/>
      <c r="J31" s="7"/>
      <c r="L31" s="6" t="str">
        <f>'Vinyl PO'!$A$19</f>
        <v>Gentek Building Products</v>
      </c>
      <c r="M31" s="46">
        <f t="shared" si="1"/>
        <v>28</v>
      </c>
      <c r="N31" s="6"/>
      <c r="O31" s="7"/>
      <c r="Q31" s="6" t="str">
        <f>'Hardie PO'!$A$19</f>
        <v>ABC Supply Co.</v>
      </c>
      <c r="R31" s="46">
        <f t="shared" si="2"/>
        <v>28</v>
      </c>
      <c r="S31" s="6"/>
      <c r="T31" s="7"/>
      <c r="X31" s="784"/>
      <c r="Y31" s="8"/>
      <c r="Z31" s="785"/>
    </row>
    <row r="32" spans="2:26" ht="12" customHeight="1" x14ac:dyDescent="0.25">
      <c r="B32" s="6" t="str">
        <f>'Roofing RFP - PO'!A$19</f>
        <v xml:space="preserve">Convoy Building Supply </v>
      </c>
      <c r="C32" s="46">
        <f>Input!AG$1</f>
        <v>29</v>
      </c>
      <c r="D32" s="6"/>
      <c r="E32" s="7"/>
      <c r="G32" s="6">
        <f>'Roofing RFP - PO'!F$19</f>
        <v>0</v>
      </c>
      <c r="H32" s="46">
        <f t="shared" si="0"/>
        <v>29</v>
      </c>
      <c r="I32" s="6"/>
      <c r="J32" s="7"/>
      <c r="L32" s="6" t="str">
        <f>'Vinyl PO'!$A$19</f>
        <v>Gentek Building Products</v>
      </c>
      <c r="M32" s="46">
        <f t="shared" si="1"/>
        <v>29</v>
      </c>
      <c r="N32" s="6"/>
      <c r="O32" s="7"/>
      <c r="Q32" s="6" t="str">
        <f>'Hardie PO'!$A$19</f>
        <v>ABC Supply Co.</v>
      </c>
      <c r="R32" s="46">
        <f t="shared" si="2"/>
        <v>29</v>
      </c>
      <c r="S32" s="6"/>
      <c r="T32" s="7"/>
      <c r="X32" s="784"/>
      <c r="Y32" s="8"/>
      <c r="Z32" s="785"/>
    </row>
    <row r="33" spans="2:26" ht="12" customHeight="1" x14ac:dyDescent="0.25">
      <c r="B33" s="6" t="str">
        <f>'Roofing RFP - PO'!A$19</f>
        <v xml:space="preserve">Convoy Building Supply </v>
      </c>
      <c r="C33" s="46">
        <f>Input!AH$1</f>
        <v>30</v>
      </c>
      <c r="D33" s="6"/>
      <c r="E33" s="7"/>
      <c r="G33" s="6">
        <f>'Roofing RFP - PO'!F$19</f>
        <v>0</v>
      </c>
      <c r="H33" s="46">
        <f t="shared" si="0"/>
        <v>30</v>
      </c>
      <c r="I33" s="6"/>
      <c r="J33" s="7"/>
      <c r="L33" s="6" t="str">
        <f>'Vinyl PO'!$A$19</f>
        <v>Gentek Building Products</v>
      </c>
      <c r="M33" s="46">
        <f t="shared" si="1"/>
        <v>30</v>
      </c>
      <c r="N33" s="6"/>
      <c r="O33" s="7"/>
      <c r="Q33" s="6" t="str">
        <f>'Hardie PO'!$A$19</f>
        <v>ABC Supply Co.</v>
      </c>
      <c r="R33" s="46">
        <f t="shared" si="2"/>
        <v>30</v>
      </c>
      <c r="S33" s="6"/>
      <c r="T33" s="7"/>
      <c r="X33" s="784"/>
      <c r="Y33" s="8"/>
      <c r="Z33" s="785"/>
    </row>
    <row r="34" spans="2:26" ht="12" customHeight="1" x14ac:dyDescent="0.25">
      <c r="B34" s="6" t="str">
        <f>'Roofing RFP - PO'!A$19</f>
        <v xml:space="preserve">Convoy Building Supply </v>
      </c>
      <c r="C34" s="46">
        <f>Input!AI$1</f>
        <v>31</v>
      </c>
      <c r="D34" s="6"/>
      <c r="E34" s="7"/>
      <c r="G34" s="6">
        <f>'Roofing RFP - PO'!F$19</f>
        <v>0</v>
      </c>
      <c r="H34" s="46">
        <f t="shared" si="0"/>
        <v>31</v>
      </c>
      <c r="I34" s="6"/>
      <c r="J34" s="7"/>
      <c r="L34" s="6" t="str">
        <f>'Vinyl PO'!$A$19</f>
        <v>Gentek Building Products</v>
      </c>
      <c r="M34" s="46">
        <f t="shared" si="1"/>
        <v>31</v>
      </c>
      <c r="N34" s="6"/>
      <c r="O34" s="7"/>
      <c r="Q34" s="6" t="str">
        <f>'Hardie PO'!$A$19</f>
        <v>ABC Supply Co.</v>
      </c>
      <c r="R34" s="46">
        <f t="shared" si="2"/>
        <v>31</v>
      </c>
      <c r="S34" s="6"/>
      <c r="T34" s="7"/>
      <c r="X34" s="784"/>
      <c r="Y34" s="8"/>
      <c r="Z34" s="785"/>
    </row>
    <row r="35" spans="2:26" ht="12" customHeight="1" x14ac:dyDescent="0.25">
      <c r="B35" s="6" t="str">
        <f>'Roofing RFP - PO'!A$19</f>
        <v xml:space="preserve">Convoy Building Supply </v>
      </c>
      <c r="C35" s="46">
        <f>Input!AJ$1</f>
        <v>32</v>
      </c>
      <c r="D35" s="6"/>
      <c r="E35" s="7"/>
      <c r="G35" s="6">
        <f>'Roofing RFP - PO'!F$19</f>
        <v>0</v>
      </c>
      <c r="H35" s="46">
        <f t="shared" si="0"/>
        <v>32</v>
      </c>
      <c r="I35" s="6"/>
      <c r="J35" s="7"/>
      <c r="L35" s="6" t="str">
        <f>'Vinyl PO'!$A$19</f>
        <v>Gentek Building Products</v>
      </c>
      <c r="M35" s="46">
        <f t="shared" si="1"/>
        <v>32</v>
      </c>
      <c r="N35" s="6"/>
      <c r="O35" s="7"/>
      <c r="Q35" s="6" t="str">
        <f>'Hardie PO'!$A$19</f>
        <v>ABC Supply Co.</v>
      </c>
      <c r="R35" s="46">
        <f t="shared" si="2"/>
        <v>32</v>
      </c>
      <c r="S35" s="6"/>
      <c r="T35" s="7"/>
      <c r="X35" s="784"/>
      <c r="Y35" s="8"/>
      <c r="Z35" s="785"/>
    </row>
    <row r="36" spans="2:26" ht="12" customHeight="1" x14ac:dyDescent="0.25">
      <c r="B36" s="6" t="str">
        <f>'Roofing RFP - PO'!A$19</f>
        <v xml:space="preserve">Convoy Building Supply </v>
      </c>
      <c r="C36" s="46">
        <f>Input!AK$1</f>
        <v>33</v>
      </c>
      <c r="D36" s="6"/>
      <c r="E36" s="7"/>
      <c r="G36" s="6">
        <f>'Roofing RFP - PO'!F$19</f>
        <v>0</v>
      </c>
      <c r="H36" s="46">
        <f t="shared" si="0"/>
        <v>33</v>
      </c>
      <c r="I36" s="6"/>
      <c r="J36" s="7"/>
      <c r="L36" s="6" t="str">
        <f>'Vinyl PO'!$A$19</f>
        <v>Gentek Building Products</v>
      </c>
      <c r="M36" s="46">
        <f t="shared" si="1"/>
        <v>33</v>
      </c>
      <c r="N36" s="6"/>
      <c r="O36" s="7"/>
      <c r="Q36" s="6" t="str">
        <f>'Hardie PO'!$A$19</f>
        <v>ABC Supply Co.</v>
      </c>
      <c r="R36" s="46">
        <f t="shared" si="2"/>
        <v>33</v>
      </c>
      <c r="S36" s="6"/>
      <c r="T36" s="7"/>
      <c r="X36" s="784"/>
      <c r="Y36" s="8"/>
      <c r="Z36" s="785"/>
    </row>
    <row r="37" spans="2:26" ht="12" customHeight="1" x14ac:dyDescent="0.25">
      <c r="B37" s="6" t="str">
        <f>'Roofing RFP - PO'!A$19</f>
        <v xml:space="preserve">Convoy Building Supply </v>
      </c>
      <c r="C37" s="46">
        <f>Input!AL$1</f>
        <v>34</v>
      </c>
      <c r="D37" s="6"/>
      <c r="E37" s="7"/>
      <c r="G37" s="6">
        <f>'Roofing RFP - PO'!F$19</f>
        <v>0</v>
      </c>
      <c r="H37" s="46">
        <f t="shared" si="0"/>
        <v>34</v>
      </c>
      <c r="I37" s="6"/>
      <c r="J37" s="7"/>
      <c r="L37" s="6" t="str">
        <f>'Vinyl PO'!$A$19</f>
        <v>Gentek Building Products</v>
      </c>
      <c r="M37" s="46">
        <f t="shared" si="1"/>
        <v>34</v>
      </c>
      <c r="N37" s="6"/>
      <c r="O37" s="7"/>
      <c r="Q37" s="6" t="str">
        <f>'Hardie PO'!$A$19</f>
        <v>ABC Supply Co.</v>
      </c>
      <c r="R37" s="46">
        <f t="shared" si="2"/>
        <v>34</v>
      </c>
      <c r="S37" s="6"/>
      <c r="T37" s="7"/>
      <c r="X37" s="784"/>
      <c r="Y37" s="8"/>
      <c r="Z37" s="785"/>
    </row>
    <row r="38" spans="2:26" ht="12" customHeight="1" x14ac:dyDescent="0.25">
      <c r="B38" s="6" t="str">
        <f>'Roofing RFP - PO'!A$19</f>
        <v xml:space="preserve">Convoy Building Supply </v>
      </c>
      <c r="C38" s="46">
        <f>Input!AM$1</f>
        <v>35</v>
      </c>
      <c r="D38" s="6"/>
      <c r="E38" s="7"/>
      <c r="G38" s="6">
        <f>'Roofing RFP - PO'!F$19</f>
        <v>0</v>
      </c>
      <c r="H38" s="46">
        <f t="shared" si="0"/>
        <v>35</v>
      </c>
      <c r="I38" s="6"/>
      <c r="J38" s="7"/>
      <c r="L38" s="6" t="str">
        <f>'Vinyl PO'!$A$19</f>
        <v>Gentek Building Products</v>
      </c>
      <c r="M38" s="46">
        <f t="shared" si="1"/>
        <v>35</v>
      </c>
      <c r="N38" s="6"/>
      <c r="O38" s="7"/>
      <c r="Q38" s="6" t="str">
        <f>'Hardie PO'!$A$19</f>
        <v>ABC Supply Co.</v>
      </c>
      <c r="R38" s="46">
        <f t="shared" si="2"/>
        <v>35</v>
      </c>
      <c r="S38" s="6"/>
      <c r="T38" s="7"/>
      <c r="X38" s="784"/>
      <c r="Y38" s="8"/>
      <c r="Z38" s="785"/>
    </row>
    <row r="39" spans="2:26" ht="12" customHeight="1" x14ac:dyDescent="0.25">
      <c r="B39" s="6" t="str">
        <f>'Roofing RFP - PO'!A$19</f>
        <v xml:space="preserve">Convoy Building Supply </v>
      </c>
      <c r="C39" s="46">
        <f>Input!AN$1</f>
        <v>36</v>
      </c>
      <c r="D39" s="6"/>
      <c r="E39" s="7"/>
      <c r="G39" s="6">
        <f>'Roofing RFP - PO'!F$19</f>
        <v>0</v>
      </c>
      <c r="H39" s="46">
        <f t="shared" si="0"/>
        <v>36</v>
      </c>
      <c r="I39" s="6"/>
      <c r="J39" s="7"/>
      <c r="L39" s="6" t="str">
        <f>'Vinyl PO'!$A$19</f>
        <v>Gentek Building Products</v>
      </c>
      <c r="M39" s="46">
        <f t="shared" si="1"/>
        <v>36</v>
      </c>
      <c r="N39" s="6"/>
      <c r="O39" s="7"/>
      <c r="Q39" s="6" t="str">
        <f>'Hardie PO'!$A$19</f>
        <v>ABC Supply Co.</v>
      </c>
      <c r="R39" s="46">
        <f t="shared" si="2"/>
        <v>36</v>
      </c>
      <c r="S39" s="6"/>
      <c r="T39" s="7"/>
      <c r="X39" s="784"/>
      <c r="Y39" s="8"/>
      <c r="Z39" s="785"/>
    </row>
    <row r="40" spans="2:26" ht="12" customHeight="1" x14ac:dyDescent="0.25">
      <c r="B40" s="6" t="str">
        <f>'Roofing RFP - PO'!A$19</f>
        <v xml:space="preserve">Convoy Building Supply </v>
      </c>
      <c r="C40" s="46">
        <f>Input!AO$1</f>
        <v>37</v>
      </c>
      <c r="D40" s="6"/>
      <c r="E40" s="7"/>
      <c r="G40" s="6">
        <f>'Roofing RFP - PO'!F$19</f>
        <v>0</v>
      </c>
      <c r="H40" s="46">
        <f t="shared" si="0"/>
        <v>37</v>
      </c>
      <c r="I40" s="6"/>
      <c r="J40" s="7"/>
      <c r="L40" s="6" t="str">
        <f>'Vinyl PO'!$A$19</f>
        <v>Gentek Building Products</v>
      </c>
      <c r="M40" s="46">
        <f t="shared" si="1"/>
        <v>37</v>
      </c>
      <c r="N40" s="6"/>
      <c r="O40" s="7"/>
      <c r="Q40" s="6" t="str">
        <f>'Hardie PO'!$A$19</f>
        <v>ABC Supply Co.</v>
      </c>
      <c r="R40" s="46">
        <f t="shared" si="2"/>
        <v>37</v>
      </c>
      <c r="S40" s="6"/>
      <c r="T40" s="7"/>
      <c r="X40" s="784"/>
      <c r="Y40" s="8"/>
      <c r="Z40" s="785"/>
    </row>
    <row r="41" spans="2:26" ht="12" customHeight="1" x14ac:dyDescent="0.25">
      <c r="B41" s="6" t="str">
        <f>'Roofing RFP - PO'!A$19</f>
        <v xml:space="preserve">Convoy Building Supply </v>
      </c>
      <c r="C41" s="46">
        <f>Input!AP$1</f>
        <v>38</v>
      </c>
      <c r="D41" s="6"/>
      <c r="E41" s="7"/>
      <c r="G41" s="6">
        <f>'Roofing RFP - PO'!F$19</f>
        <v>0</v>
      </c>
      <c r="H41" s="46">
        <f t="shared" si="0"/>
        <v>38</v>
      </c>
      <c r="I41" s="6"/>
      <c r="J41" s="7"/>
      <c r="L41" s="6" t="str">
        <f>'Vinyl PO'!$A$19</f>
        <v>Gentek Building Products</v>
      </c>
      <c r="M41" s="46">
        <f t="shared" si="1"/>
        <v>38</v>
      </c>
      <c r="N41" s="6"/>
      <c r="O41" s="7"/>
      <c r="Q41" s="6" t="str">
        <f>'Hardie PO'!$A$19</f>
        <v>ABC Supply Co.</v>
      </c>
      <c r="R41" s="46">
        <f t="shared" si="2"/>
        <v>38</v>
      </c>
      <c r="S41" s="6"/>
      <c r="T41" s="7"/>
      <c r="X41" s="784"/>
      <c r="Y41" s="8"/>
      <c r="Z41" s="785"/>
    </row>
    <row r="42" spans="2:26" ht="12" customHeight="1" x14ac:dyDescent="0.25">
      <c r="B42" s="6" t="str">
        <f>'Roofing RFP - PO'!A$19</f>
        <v xml:space="preserve">Convoy Building Supply </v>
      </c>
      <c r="C42" s="46">
        <f>Input!AQ$1</f>
        <v>39</v>
      </c>
      <c r="D42" s="6"/>
      <c r="E42" s="7"/>
      <c r="G42" s="6">
        <f>'Roofing RFP - PO'!F$19</f>
        <v>0</v>
      </c>
      <c r="H42" s="46">
        <f t="shared" si="0"/>
        <v>39</v>
      </c>
      <c r="I42" s="6"/>
      <c r="J42" s="7"/>
      <c r="L42" s="6" t="str">
        <f>'Vinyl PO'!$A$19</f>
        <v>Gentek Building Products</v>
      </c>
      <c r="M42" s="46">
        <f t="shared" si="1"/>
        <v>39</v>
      </c>
      <c r="N42" s="6"/>
      <c r="O42" s="7"/>
      <c r="Q42" s="6" t="str">
        <f>'Hardie PO'!$A$19</f>
        <v>ABC Supply Co.</v>
      </c>
      <c r="R42" s="46">
        <f t="shared" si="2"/>
        <v>39</v>
      </c>
      <c r="S42" s="6"/>
      <c r="T42" s="7"/>
      <c r="X42" s="784"/>
      <c r="Y42" s="8"/>
      <c r="Z42" s="785"/>
    </row>
    <row r="43" spans="2:26" ht="12" customHeight="1" x14ac:dyDescent="0.25">
      <c r="B43" s="6" t="str">
        <f>'Roofing RFP - PO'!A$19</f>
        <v xml:space="preserve">Convoy Building Supply </v>
      </c>
      <c r="C43" s="46">
        <f>Input!AR$1</f>
        <v>40</v>
      </c>
      <c r="D43" s="6"/>
      <c r="E43" s="7"/>
      <c r="G43" s="6">
        <f>'Roofing RFP - PO'!F$19</f>
        <v>0</v>
      </c>
      <c r="H43" s="46">
        <f t="shared" si="0"/>
        <v>40</v>
      </c>
      <c r="I43" s="6"/>
      <c r="J43" s="7"/>
      <c r="L43" s="6" t="str">
        <f>'Vinyl PO'!$A$19</f>
        <v>Gentek Building Products</v>
      </c>
      <c r="M43" s="46">
        <f t="shared" si="1"/>
        <v>40</v>
      </c>
      <c r="N43" s="6"/>
      <c r="O43" s="7"/>
      <c r="Q43" s="6" t="str">
        <f>'Hardie PO'!$A$19</f>
        <v>ABC Supply Co.</v>
      </c>
      <c r="R43" s="46">
        <f t="shared" si="2"/>
        <v>40</v>
      </c>
      <c r="S43" s="6"/>
      <c r="T43" s="7"/>
      <c r="X43" s="784"/>
      <c r="Y43" s="8"/>
      <c r="Z43" s="785"/>
    </row>
    <row r="44" spans="2:26" ht="12" customHeight="1" x14ac:dyDescent="0.25">
      <c r="B44" s="6" t="str">
        <f>'Roofing RFP - PO'!A$19</f>
        <v xml:space="preserve">Convoy Building Supply </v>
      </c>
      <c r="C44" s="46">
        <f>Input!AS$1</f>
        <v>41</v>
      </c>
      <c r="D44" s="6"/>
      <c r="E44" s="7"/>
      <c r="G44" s="6">
        <f>'Roofing RFP - PO'!F$19</f>
        <v>0</v>
      </c>
      <c r="H44" s="46">
        <f t="shared" si="0"/>
        <v>41</v>
      </c>
      <c r="I44" s="6"/>
      <c r="J44" s="7"/>
      <c r="L44" s="6" t="str">
        <f>'Vinyl PO'!$A$19</f>
        <v>Gentek Building Products</v>
      </c>
      <c r="M44" s="46">
        <f t="shared" si="1"/>
        <v>41</v>
      </c>
      <c r="N44" s="6"/>
      <c r="O44" s="7"/>
      <c r="Q44" s="6" t="str">
        <f>'Hardie PO'!$A$19</f>
        <v>ABC Supply Co.</v>
      </c>
      <c r="R44" s="46">
        <f t="shared" si="2"/>
        <v>41</v>
      </c>
      <c r="S44" s="6"/>
      <c r="T44" s="7"/>
      <c r="X44" s="784"/>
      <c r="Y44" s="8"/>
      <c r="Z44" s="785"/>
    </row>
    <row r="45" spans="2:26" ht="12" customHeight="1" x14ac:dyDescent="0.25">
      <c r="B45" s="6" t="str">
        <f>'Roofing RFP - PO'!A$19</f>
        <v xml:space="preserve">Convoy Building Supply </v>
      </c>
      <c r="C45" s="46">
        <f>Input!AT$1</f>
        <v>42</v>
      </c>
      <c r="D45" s="6"/>
      <c r="E45" s="7"/>
      <c r="G45" s="6">
        <f>'Roofing RFP - PO'!F$19</f>
        <v>0</v>
      </c>
      <c r="H45" s="46">
        <f t="shared" si="0"/>
        <v>42</v>
      </c>
      <c r="I45" s="6"/>
      <c r="J45" s="7"/>
      <c r="L45" s="6" t="str">
        <f>'Vinyl PO'!$A$19</f>
        <v>Gentek Building Products</v>
      </c>
      <c r="M45" s="46">
        <f t="shared" si="1"/>
        <v>42</v>
      </c>
      <c r="N45" s="6"/>
      <c r="O45" s="7"/>
      <c r="Q45" s="6" t="str">
        <f>'Hardie PO'!$A$19</f>
        <v>ABC Supply Co.</v>
      </c>
      <c r="R45" s="46">
        <f t="shared" si="2"/>
        <v>42</v>
      </c>
      <c r="S45" s="6"/>
      <c r="T45" s="7"/>
      <c r="X45" s="784"/>
      <c r="Y45" s="8"/>
      <c r="Z45" s="785"/>
    </row>
    <row r="46" spans="2:26" ht="12" customHeight="1" x14ac:dyDescent="0.25">
      <c r="B46" s="6" t="s">
        <v>52</v>
      </c>
      <c r="C46" s="6"/>
      <c r="D46" s="6"/>
      <c r="E46" s="7"/>
      <c r="G46" s="6" t="s">
        <v>52</v>
      </c>
      <c r="H46" s="6"/>
      <c r="I46" s="6"/>
      <c r="J46" s="7"/>
      <c r="L46" s="6" t="s">
        <v>52</v>
      </c>
      <c r="M46" s="6"/>
      <c r="N46" s="6"/>
      <c r="O46" s="7"/>
      <c r="Q46" s="6" t="s">
        <v>52</v>
      </c>
      <c r="R46" s="6"/>
      <c r="S46" s="6"/>
      <c r="T46" s="7"/>
      <c r="W46" s="2"/>
      <c r="X46" s="784"/>
      <c r="Y46" s="8"/>
      <c r="Z46" s="785"/>
    </row>
    <row r="47" spans="2:26" ht="12" customHeight="1" x14ac:dyDescent="0.25">
      <c r="B47" s="6" t="s">
        <v>52</v>
      </c>
      <c r="C47" s="6"/>
      <c r="D47" s="6"/>
      <c r="E47" s="7"/>
      <c r="G47" s="6" t="s">
        <v>52</v>
      </c>
      <c r="H47" s="6"/>
      <c r="I47" s="6"/>
      <c r="J47" s="7"/>
      <c r="L47" s="6" t="s">
        <v>52</v>
      </c>
      <c r="M47" s="6"/>
      <c r="N47" s="6"/>
      <c r="O47" s="7"/>
      <c r="Q47" s="6" t="s">
        <v>52</v>
      </c>
      <c r="R47" s="6"/>
      <c r="S47" s="6"/>
      <c r="T47" s="7"/>
      <c r="W47" s="2"/>
      <c r="X47" s="784"/>
      <c r="Y47" s="8"/>
      <c r="Z47" s="785"/>
    </row>
    <row r="48" spans="2:26" ht="12" customHeight="1" x14ac:dyDescent="0.25">
      <c r="B48" s="6" t="s">
        <v>52</v>
      </c>
      <c r="C48" s="6"/>
      <c r="D48" s="6"/>
      <c r="E48" s="7"/>
      <c r="G48" s="6" t="s">
        <v>52</v>
      </c>
      <c r="H48" s="6"/>
      <c r="I48" s="6"/>
      <c r="J48" s="7"/>
      <c r="L48" s="6" t="s">
        <v>52</v>
      </c>
      <c r="M48" s="6"/>
      <c r="N48" s="6"/>
      <c r="O48" s="7"/>
      <c r="Q48" s="6" t="s">
        <v>52</v>
      </c>
      <c r="R48" s="6"/>
      <c r="S48" s="6"/>
      <c r="T48" s="7"/>
      <c r="W48" s="2"/>
      <c r="X48" s="784"/>
      <c r="Y48" s="8"/>
      <c r="Z48" s="785"/>
    </row>
    <row r="49" spans="2:26" ht="12" customHeight="1" x14ac:dyDescent="0.25">
      <c r="B49" s="6" t="s">
        <v>52</v>
      </c>
      <c r="C49" s="6"/>
      <c r="D49" s="6"/>
      <c r="E49" s="7"/>
      <c r="G49" s="6" t="s">
        <v>52</v>
      </c>
      <c r="H49" s="6"/>
      <c r="I49" s="6"/>
      <c r="J49" s="7"/>
      <c r="L49" s="6" t="s">
        <v>52</v>
      </c>
      <c r="M49" s="6"/>
      <c r="N49" s="6"/>
      <c r="O49" s="7"/>
      <c r="Q49" s="6" t="s">
        <v>52</v>
      </c>
      <c r="R49" s="6"/>
      <c r="S49" s="6"/>
      <c r="T49" s="7"/>
      <c r="W49" s="2"/>
      <c r="X49" s="784"/>
      <c r="Y49" s="8"/>
      <c r="Z49" s="785"/>
    </row>
    <row r="50" spans="2:26" ht="12" customHeight="1" x14ac:dyDescent="0.25">
      <c r="B50" s="6" t="s">
        <v>1033</v>
      </c>
      <c r="C50" s="6"/>
      <c r="D50" s="6"/>
      <c r="E50" s="7"/>
      <c r="G50" s="6" t="s">
        <v>1033</v>
      </c>
      <c r="H50" s="6"/>
      <c r="I50" s="6"/>
      <c r="J50" s="7"/>
      <c r="L50" s="6" t="s">
        <v>1033</v>
      </c>
      <c r="M50" s="6"/>
      <c r="N50" s="6"/>
      <c r="O50" s="7"/>
      <c r="Q50" s="6" t="s">
        <v>1033</v>
      </c>
      <c r="R50" s="6"/>
      <c r="S50" s="6"/>
      <c r="T50" s="7"/>
      <c r="X50" s="784"/>
      <c r="Y50" s="8"/>
      <c r="Z50" s="785"/>
    </row>
    <row r="51" spans="2:26" ht="12" customHeight="1" x14ac:dyDescent="0.25">
      <c r="B51" s="6" t="s">
        <v>1033</v>
      </c>
      <c r="C51" s="6"/>
      <c r="D51" s="6"/>
      <c r="E51" s="7"/>
      <c r="G51" s="6" t="s">
        <v>1033</v>
      </c>
      <c r="H51" s="6"/>
      <c r="I51" s="6"/>
      <c r="J51" s="7"/>
      <c r="L51" s="6" t="s">
        <v>1033</v>
      </c>
      <c r="M51" s="6"/>
      <c r="N51" s="6"/>
      <c r="O51" s="7"/>
      <c r="Q51" s="6" t="s">
        <v>1033</v>
      </c>
      <c r="R51" s="6"/>
      <c r="S51" s="6"/>
      <c r="T51" s="7"/>
      <c r="X51" s="784"/>
      <c r="Y51" s="8"/>
      <c r="Z51" s="785"/>
    </row>
    <row r="52" spans="2:26" ht="12" customHeight="1" x14ac:dyDescent="0.25">
      <c r="B52" s="6" t="s">
        <v>1033</v>
      </c>
      <c r="C52" s="6"/>
      <c r="D52" s="6"/>
      <c r="E52" s="7"/>
      <c r="G52" s="6" t="s">
        <v>1033</v>
      </c>
      <c r="H52" s="6"/>
      <c r="I52" s="6"/>
      <c r="J52" s="7"/>
      <c r="L52" s="6" t="s">
        <v>1033</v>
      </c>
      <c r="M52" s="6"/>
      <c r="N52" s="6"/>
      <c r="O52" s="7"/>
      <c r="Q52" s="6" t="s">
        <v>1033</v>
      </c>
      <c r="R52" s="6"/>
      <c r="S52" s="6"/>
      <c r="T52" s="7"/>
      <c r="X52" s="784"/>
      <c r="Y52" s="8"/>
      <c r="Z52" s="785"/>
    </row>
    <row r="53" spans="2:26" ht="12" customHeight="1" x14ac:dyDescent="0.25">
      <c r="B53" s="6" t="s">
        <v>1033</v>
      </c>
      <c r="C53" s="6"/>
      <c r="D53" s="6"/>
      <c r="E53" s="7"/>
      <c r="G53" s="6" t="s">
        <v>1033</v>
      </c>
      <c r="H53" s="6"/>
      <c r="I53" s="6"/>
      <c r="J53" s="7"/>
      <c r="L53" s="6" t="s">
        <v>1033</v>
      </c>
      <c r="M53" s="6"/>
      <c r="N53" s="6"/>
      <c r="O53" s="7"/>
      <c r="Q53" s="6" t="s">
        <v>1033</v>
      </c>
      <c r="R53" s="6"/>
      <c r="S53" s="6"/>
      <c r="T53" s="7"/>
      <c r="X53" s="784"/>
      <c r="Y53" s="8"/>
      <c r="Z53" s="785"/>
    </row>
    <row r="54" spans="2:26" ht="12" customHeight="1" x14ac:dyDescent="0.25">
      <c r="B54" s="1867" t="s">
        <v>56</v>
      </c>
      <c r="C54" s="1867"/>
      <c r="D54" s="1867"/>
      <c r="E54" s="4">
        <f>SUM(E4:E53)</f>
        <v>0</v>
      </c>
      <c r="G54" s="1867" t="s">
        <v>56</v>
      </c>
      <c r="H54" s="1867"/>
      <c r="I54" s="1867"/>
      <c r="J54" s="4">
        <f>SUM(J4:J53)</f>
        <v>0</v>
      </c>
      <c r="L54" s="1867" t="s">
        <v>56</v>
      </c>
      <c r="M54" s="1867"/>
      <c r="N54" s="1867"/>
      <c r="O54" s="4">
        <f>SUM(O4:O53)</f>
        <v>0</v>
      </c>
      <c r="Q54" s="1867" t="s">
        <v>56</v>
      </c>
      <c r="R54" s="1867"/>
      <c r="S54" s="1867"/>
      <c r="T54" s="4">
        <f>SUM(T4:T53)</f>
        <v>0</v>
      </c>
    </row>
    <row r="55" spans="2:26" x14ac:dyDescent="0.25">
      <c r="B55" s="1872" t="s">
        <v>10357</v>
      </c>
      <c r="C55" s="1873"/>
      <c r="D55" s="1873"/>
      <c r="E55" s="1874"/>
      <c r="G55" s="1884" t="s">
        <v>10358</v>
      </c>
      <c r="H55" s="1885"/>
      <c r="I55" s="1885"/>
      <c r="J55" s="1886"/>
      <c r="L55" s="1878" t="s">
        <v>10359</v>
      </c>
      <c r="M55" s="1879"/>
      <c r="N55" s="1879"/>
      <c r="O55" s="1880"/>
      <c r="Q55" s="1881" t="s">
        <v>10360</v>
      </c>
      <c r="R55" s="1882"/>
      <c r="S55" s="1882"/>
      <c r="T55" s="1883"/>
    </row>
    <row r="56" spans="2:26" ht="12" customHeight="1" x14ac:dyDescent="0.25">
      <c r="B56" s="787" t="s">
        <v>1032</v>
      </c>
      <c r="C56" s="781" t="s">
        <v>7621</v>
      </c>
      <c r="D56" s="787" t="s">
        <v>50</v>
      </c>
      <c r="E56" s="788" t="s">
        <v>51</v>
      </c>
      <c r="G56" s="787" t="s">
        <v>1032</v>
      </c>
      <c r="H56" s="781" t="s">
        <v>7621</v>
      </c>
      <c r="I56" s="787" t="s">
        <v>50</v>
      </c>
      <c r="J56" s="788" t="s">
        <v>51</v>
      </c>
      <c r="L56" s="787" t="s">
        <v>1032</v>
      </c>
      <c r="M56" s="781" t="s">
        <v>7621</v>
      </c>
      <c r="N56" s="787" t="s">
        <v>50</v>
      </c>
      <c r="O56" s="788" t="s">
        <v>51</v>
      </c>
      <c r="Q56" s="787" t="s">
        <v>1032</v>
      </c>
      <c r="R56" s="781" t="s">
        <v>7621</v>
      </c>
      <c r="S56" s="787" t="s">
        <v>50</v>
      </c>
      <c r="T56" s="788" t="s">
        <v>51</v>
      </c>
    </row>
    <row r="57" spans="2:26" ht="12" customHeight="1" x14ac:dyDescent="0.25">
      <c r="B57" s="6" t="str">
        <f>'Roofing WO'!D$10</f>
        <v xml:space="preserve">Zervo Construction </v>
      </c>
      <c r="C57" s="46">
        <f t="shared" ref="C57:C80" si="3">C4</f>
        <v>1</v>
      </c>
      <c r="D57" s="6"/>
      <c r="E57" s="7"/>
      <c r="G57" s="6"/>
      <c r="H57" s="46">
        <f t="shared" ref="H57:H80" si="4">H4</f>
        <v>1</v>
      </c>
      <c r="I57" s="6"/>
      <c r="J57" s="7"/>
      <c r="L57" s="6"/>
      <c r="M57" s="46">
        <f t="shared" ref="M57:M80" si="5">M4</f>
        <v>1</v>
      </c>
      <c r="N57" s="6"/>
      <c r="O57" s="7"/>
      <c r="Q57" s="6">
        <f>'Roofing WO'!T$10</f>
        <v>0</v>
      </c>
      <c r="R57" s="46">
        <f t="shared" ref="R57:R80" si="6">R4</f>
        <v>1</v>
      </c>
      <c r="S57" s="6"/>
      <c r="T57" s="7"/>
    </row>
    <row r="58" spans="2:26" ht="12" customHeight="1" x14ac:dyDescent="0.25">
      <c r="B58" s="6" t="str">
        <f>'Roofing WO'!D$10</f>
        <v xml:space="preserve">Zervo Construction </v>
      </c>
      <c r="C58" s="46">
        <f t="shared" si="3"/>
        <v>2</v>
      </c>
      <c r="D58" s="6"/>
      <c r="E58" s="7"/>
      <c r="G58" s="6"/>
      <c r="H58" s="46">
        <f t="shared" si="4"/>
        <v>2</v>
      </c>
      <c r="I58" s="6"/>
      <c r="J58" s="7"/>
      <c r="L58" s="6"/>
      <c r="M58" s="46">
        <f t="shared" si="5"/>
        <v>2</v>
      </c>
      <c r="N58" s="6"/>
      <c r="O58" s="7"/>
      <c r="Q58" s="6">
        <f>'Roofing WO'!T$10</f>
        <v>0</v>
      </c>
      <c r="R58" s="46">
        <f t="shared" si="6"/>
        <v>2</v>
      </c>
      <c r="S58" s="6"/>
      <c r="T58" s="7"/>
    </row>
    <row r="59" spans="2:26" ht="12" customHeight="1" x14ac:dyDescent="0.25">
      <c r="B59" s="6" t="str">
        <f>'Roofing WO'!D$10</f>
        <v xml:space="preserve">Zervo Construction </v>
      </c>
      <c r="C59" s="46">
        <f t="shared" si="3"/>
        <v>3</v>
      </c>
      <c r="D59" s="6"/>
      <c r="E59" s="7"/>
      <c r="G59" s="6"/>
      <c r="H59" s="46">
        <f t="shared" si="4"/>
        <v>3</v>
      </c>
      <c r="I59" s="6"/>
      <c r="J59" s="7"/>
      <c r="L59" s="6"/>
      <c r="M59" s="46">
        <f t="shared" si="5"/>
        <v>3</v>
      </c>
      <c r="N59" s="6"/>
      <c r="O59" s="7"/>
      <c r="Q59" s="6">
        <f>'Roofing WO'!T$10</f>
        <v>0</v>
      </c>
      <c r="R59" s="46">
        <f t="shared" si="6"/>
        <v>3</v>
      </c>
      <c r="S59" s="6"/>
      <c r="T59" s="7"/>
    </row>
    <row r="60" spans="2:26" ht="12" customHeight="1" x14ac:dyDescent="0.25">
      <c r="B60" s="6" t="str">
        <f>'Roofing WO'!D$10</f>
        <v xml:space="preserve">Zervo Construction </v>
      </c>
      <c r="C60" s="46">
        <f t="shared" si="3"/>
        <v>4</v>
      </c>
      <c r="D60" s="6"/>
      <c r="E60" s="7"/>
      <c r="G60" s="6"/>
      <c r="H60" s="46">
        <f t="shared" si="4"/>
        <v>4</v>
      </c>
      <c r="I60" s="6"/>
      <c r="J60" s="7"/>
      <c r="L60" s="6"/>
      <c r="M60" s="46">
        <f t="shared" si="5"/>
        <v>4</v>
      </c>
      <c r="N60" s="6"/>
      <c r="O60" s="7"/>
      <c r="Q60" s="6">
        <f>'Roofing WO'!T$10</f>
        <v>0</v>
      </c>
      <c r="R60" s="46">
        <f t="shared" si="6"/>
        <v>4</v>
      </c>
      <c r="S60" s="6"/>
      <c r="T60" s="7"/>
    </row>
    <row r="61" spans="2:26" ht="12" customHeight="1" x14ac:dyDescent="0.25">
      <c r="B61" s="6" t="str">
        <f>'Roofing WO'!D$10</f>
        <v xml:space="preserve">Zervo Construction </v>
      </c>
      <c r="C61" s="46">
        <f t="shared" si="3"/>
        <v>5</v>
      </c>
      <c r="D61" s="6"/>
      <c r="E61" s="7"/>
      <c r="G61" s="6"/>
      <c r="H61" s="46">
        <f t="shared" si="4"/>
        <v>5</v>
      </c>
      <c r="I61" s="6"/>
      <c r="J61" s="7"/>
      <c r="L61" s="6"/>
      <c r="M61" s="46">
        <f t="shared" si="5"/>
        <v>5</v>
      </c>
      <c r="N61" s="6"/>
      <c r="O61" s="7"/>
      <c r="Q61" s="6">
        <f>'Roofing WO'!T$10</f>
        <v>0</v>
      </c>
      <c r="R61" s="46">
        <f t="shared" si="6"/>
        <v>5</v>
      </c>
      <c r="S61" s="6"/>
      <c r="T61" s="7"/>
    </row>
    <row r="62" spans="2:26" ht="12" customHeight="1" x14ac:dyDescent="0.25">
      <c r="B62" s="6" t="str">
        <f>'Roofing WO'!D$10</f>
        <v xml:space="preserve">Zervo Construction </v>
      </c>
      <c r="C62" s="46">
        <f t="shared" si="3"/>
        <v>6</v>
      </c>
      <c r="D62" s="6"/>
      <c r="E62" s="7"/>
      <c r="G62" s="6"/>
      <c r="H62" s="46">
        <f t="shared" si="4"/>
        <v>6</v>
      </c>
      <c r="I62" s="6"/>
      <c r="J62" s="7"/>
      <c r="L62" s="6"/>
      <c r="M62" s="46">
        <f t="shared" si="5"/>
        <v>6</v>
      </c>
      <c r="N62" s="6"/>
      <c r="O62" s="7"/>
      <c r="Q62" s="6">
        <f>'Roofing WO'!T$10</f>
        <v>0</v>
      </c>
      <c r="R62" s="46">
        <f t="shared" si="6"/>
        <v>6</v>
      </c>
      <c r="S62" s="6"/>
      <c r="T62" s="7"/>
    </row>
    <row r="63" spans="2:26" ht="12" customHeight="1" x14ac:dyDescent="0.25">
      <c r="B63" s="6" t="str">
        <f>'Roofing WO'!D$10</f>
        <v xml:space="preserve">Zervo Construction </v>
      </c>
      <c r="C63" s="46">
        <f t="shared" si="3"/>
        <v>7</v>
      </c>
      <c r="D63" s="6"/>
      <c r="E63" s="7"/>
      <c r="G63" s="6"/>
      <c r="H63" s="46">
        <f t="shared" si="4"/>
        <v>7</v>
      </c>
      <c r="I63" s="6"/>
      <c r="J63" s="7"/>
      <c r="L63" s="6"/>
      <c r="M63" s="46">
        <f t="shared" si="5"/>
        <v>7</v>
      </c>
      <c r="N63" s="6"/>
      <c r="O63" s="7"/>
      <c r="Q63" s="6">
        <f>'Roofing WO'!T$10</f>
        <v>0</v>
      </c>
      <c r="R63" s="46">
        <f t="shared" si="6"/>
        <v>7</v>
      </c>
      <c r="S63" s="6"/>
      <c r="T63" s="7"/>
    </row>
    <row r="64" spans="2:26" ht="12" customHeight="1" x14ac:dyDescent="0.25">
      <c r="B64" s="6" t="str">
        <f>'Roofing WO'!D$10</f>
        <v xml:space="preserve">Zervo Construction </v>
      </c>
      <c r="C64" s="46">
        <f t="shared" si="3"/>
        <v>8</v>
      </c>
      <c r="D64" s="6"/>
      <c r="E64" s="7"/>
      <c r="G64" s="6"/>
      <c r="H64" s="46">
        <f t="shared" si="4"/>
        <v>8</v>
      </c>
      <c r="I64" s="6"/>
      <c r="J64" s="7"/>
      <c r="L64" s="6"/>
      <c r="M64" s="46">
        <f t="shared" si="5"/>
        <v>8</v>
      </c>
      <c r="N64" s="6"/>
      <c r="O64" s="7"/>
      <c r="Q64" s="6">
        <f>'Roofing WO'!T$10</f>
        <v>0</v>
      </c>
      <c r="R64" s="46">
        <f t="shared" si="6"/>
        <v>8</v>
      </c>
      <c r="S64" s="6"/>
      <c r="T64" s="7"/>
    </row>
    <row r="65" spans="2:20" ht="12" customHeight="1" x14ac:dyDescent="0.25">
      <c r="B65" s="6" t="str">
        <f>'Roofing WO'!D$10</f>
        <v xml:space="preserve">Zervo Construction </v>
      </c>
      <c r="C65" s="46">
        <f t="shared" si="3"/>
        <v>9</v>
      </c>
      <c r="D65" s="6"/>
      <c r="E65" s="7"/>
      <c r="G65" s="6"/>
      <c r="H65" s="46">
        <f t="shared" si="4"/>
        <v>9</v>
      </c>
      <c r="I65" s="6"/>
      <c r="J65" s="7"/>
      <c r="L65" s="6"/>
      <c r="M65" s="46">
        <f t="shared" si="5"/>
        <v>9</v>
      </c>
      <c r="N65" s="6"/>
      <c r="O65" s="7"/>
      <c r="Q65" s="6">
        <f>'Roofing WO'!T$10</f>
        <v>0</v>
      </c>
      <c r="R65" s="46">
        <f t="shared" si="6"/>
        <v>9</v>
      </c>
      <c r="S65" s="6"/>
      <c r="T65" s="7"/>
    </row>
    <row r="66" spans="2:20" ht="12" customHeight="1" x14ac:dyDescent="0.25">
      <c r="B66" s="6" t="str">
        <f>'Roofing WO'!D$10</f>
        <v xml:space="preserve">Zervo Construction </v>
      </c>
      <c r="C66" s="46">
        <f t="shared" si="3"/>
        <v>10</v>
      </c>
      <c r="D66" s="6"/>
      <c r="E66" s="7"/>
      <c r="G66" s="6"/>
      <c r="H66" s="46">
        <f t="shared" si="4"/>
        <v>10</v>
      </c>
      <c r="I66" s="6"/>
      <c r="J66" s="7"/>
      <c r="L66" s="6"/>
      <c r="M66" s="46">
        <f t="shared" si="5"/>
        <v>10</v>
      </c>
      <c r="N66" s="6"/>
      <c r="O66" s="7"/>
      <c r="Q66" s="6">
        <f>'Roofing WO'!T$10</f>
        <v>0</v>
      </c>
      <c r="R66" s="46">
        <f t="shared" si="6"/>
        <v>10</v>
      </c>
      <c r="S66" s="6"/>
      <c r="T66" s="7"/>
    </row>
    <row r="67" spans="2:20" ht="12" customHeight="1" x14ac:dyDescent="0.25">
      <c r="B67" s="6" t="str">
        <f>'Roofing WO'!D$10</f>
        <v xml:space="preserve">Zervo Construction </v>
      </c>
      <c r="C67" s="46">
        <f t="shared" si="3"/>
        <v>11</v>
      </c>
      <c r="D67" s="6"/>
      <c r="E67" s="7"/>
      <c r="G67" s="6"/>
      <c r="H67" s="46">
        <f t="shared" si="4"/>
        <v>11</v>
      </c>
      <c r="I67" s="6"/>
      <c r="J67" s="7"/>
      <c r="L67" s="6"/>
      <c r="M67" s="46">
        <f t="shared" si="5"/>
        <v>11</v>
      </c>
      <c r="N67" s="6"/>
      <c r="O67" s="7"/>
      <c r="Q67" s="6">
        <f>'Roofing WO'!T$10</f>
        <v>0</v>
      </c>
      <c r="R67" s="46">
        <f t="shared" si="6"/>
        <v>11</v>
      </c>
      <c r="S67" s="6"/>
      <c r="T67" s="7"/>
    </row>
    <row r="68" spans="2:20" ht="12" customHeight="1" x14ac:dyDescent="0.25">
      <c r="B68" s="6" t="str">
        <f>'Roofing WO'!D$10</f>
        <v xml:space="preserve">Zervo Construction </v>
      </c>
      <c r="C68" s="46">
        <f t="shared" si="3"/>
        <v>12</v>
      </c>
      <c r="D68" s="6"/>
      <c r="E68" s="7"/>
      <c r="G68" s="6"/>
      <c r="H68" s="46">
        <f t="shared" si="4"/>
        <v>12</v>
      </c>
      <c r="I68" s="6"/>
      <c r="J68" s="7"/>
      <c r="L68" s="6"/>
      <c r="M68" s="46">
        <f t="shared" si="5"/>
        <v>12</v>
      </c>
      <c r="N68" s="6"/>
      <c r="O68" s="7"/>
      <c r="Q68" s="6">
        <f>'Roofing WO'!T$10</f>
        <v>0</v>
      </c>
      <c r="R68" s="46">
        <f t="shared" si="6"/>
        <v>12</v>
      </c>
      <c r="S68" s="6"/>
      <c r="T68" s="7"/>
    </row>
    <row r="69" spans="2:20" ht="12" customHeight="1" x14ac:dyDescent="0.25">
      <c r="B69" s="6" t="str">
        <f>'Roofing WO'!D$10</f>
        <v xml:space="preserve">Zervo Construction </v>
      </c>
      <c r="C69" s="46">
        <f t="shared" si="3"/>
        <v>13</v>
      </c>
      <c r="D69" s="6"/>
      <c r="E69" s="7"/>
      <c r="G69" s="6"/>
      <c r="H69" s="46">
        <f t="shared" si="4"/>
        <v>13</v>
      </c>
      <c r="I69" s="6"/>
      <c r="J69" s="7"/>
      <c r="L69" s="6"/>
      <c r="M69" s="46">
        <f t="shared" si="5"/>
        <v>13</v>
      </c>
      <c r="N69" s="6"/>
      <c r="O69" s="7"/>
      <c r="Q69" s="6">
        <f>'Roofing WO'!T$10</f>
        <v>0</v>
      </c>
      <c r="R69" s="46">
        <f t="shared" si="6"/>
        <v>13</v>
      </c>
      <c r="S69" s="6"/>
      <c r="T69" s="7"/>
    </row>
    <row r="70" spans="2:20" ht="12" customHeight="1" x14ac:dyDescent="0.25">
      <c r="B70" s="6" t="str">
        <f>'Roofing WO'!D$10</f>
        <v xml:space="preserve">Zervo Construction </v>
      </c>
      <c r="C70" s="46">
        <f t="shared" si="3"/>
        <v>14</v>
      </c>
      <c r="D70" s="6"/>
      <c r="E70" s="7"/>
      <c r="G70" s="6"/>
      <c r="H70" s="46">
        <f t="shared" si="4"/>
        <v>14</v>
      </c>
      <c r="I70" s="6"/>
      <c r="J70" s="7"/>
      <c r="L70" s="6"/>
      <c r="M70" s="46">
        <f t="shared" si="5"/>
        <v>14</v>
      </c>
      <c r="N70" s="6"/>
      <c r="O70" s="7"/>
      <c r="Q70" s="6">
        <f>'Roofing WO'!T$10</f>
        <v>0</v>
      </c>
      <c r="R70" s="46">
        <f t="shared" si="6"/>
        <v>14</v>
      </c>
      <c r="S70" s="6"/>
      <c r="T70" s="7"/>
    </row>
    <row r="71" spans="2:20" ht="12" customHeight="1" x14ac:dyDescent="0.25">
      <c r="B71" s="6" t="str">
        <f>'Roofing WO'!D$10</f>
        <v xml:space="preserve">Zervo Construction </v>
      </c>
      <c r="C71" s="46">
        <f t="shared" si="3"/>
        <v>15</v>
      </c>
      <c r="D71" s="6"/>
      <c r="E71" s="7"/>
      <c r="G71" s="6"/>
      <c r="H71" s="46">
        <f t="shared" si="4"/>
        <v>15</v>
      </c>
      <c r="I71" s="6"/>
      <c r="J71" s="7"/>
      <c r="L71" s="6"/>
      <c r="M71" s="46">
        <f t="shared" si="5"/>
        <v>15</v>
      </c>
      <c r="N71" s="6"/>
      <c r="O71" s="7"/>
      <c r="Q71" s="6">
        <f>'Roofing WO'!T$10</f>
        <v>0</v>
      </c>
      <c r="R71" s="46">
        <f t="shared" si="6"/>
        <v>15</v>
      </c>
      <c r="S71" s="6"/>
      <c r="T71" s="7"/>
    </row>
    <row r="72" spans="2:20" ht="12" customHeight="1" x14ac:dyDescent="0.25">
      <c r="B72" s="6" t="str">
        <f>'Roofing WO'!D$10</f>
        <v xml:space="preserve">Zervo Construction </v>
      </c>
      <c r="C72" s="46">
        <f t="shared" si="3"/>
        <v>16</v>
      </c>
      <c r="D72" s="6"/>
      <c r="E72" s="7"/>
      <c r="G72" s="6"/>
      <c r="H72" s="46">
        <f t="shared" si="4"/>
        <v>16</v>
      </c>
      <c r="I72" s="6"/>
      <c r="J72" s="7"/>
      <c r="L72" s="6"/>
      <c r="M72" s="46">
        <f t="shared" si="5"/>
        <v>16</v>
      </c>
      <c r="N72" s="6"/>
      <c r="O72" s="7"/>
      <c r="Q72" s="6">
        <f>'Roofing WO'!T$10</f>
        <v>0</v>
      </c>
      <c r="R72" s="46">
        <f t="shared" si="6"/>
        <v>16</v>
      </c>
      <c r="S72" s="6"/>
      <c r="T72" s="7"/>
    </row>
    <row r="73" spans="2:20" ht="12" customHeight="1" x14ac:dyDescent="0.25">
      <c r="B73" s="6" t="str">
        <f>'Roofing WO'!D$10</f>
        <v xml:space="preserve">Zervo Construction </v>
      </c>
      <c r="C73" s="46">
        <f t="shared" si="3"/>
        <v>17</v>
      </c>
      <c r="D73" s="6"/>
      <c r="E73" s="7"/>
      <c r="G73" s="6"/>
      <c r="H73" s="46">
        <f t="shared" si="4"/>
        <v>17</v>
      </c>
      <c r="I73" s="6"/>
      <c r="J73" s="7"/>
      <c r="L73" s="6"/>
      <c r="M73" s="46">
        <f t="shared" si="5"/>
        <v>17</v>
      </c>
      <c r="N73" s="6"/>
      <c r="O73" s="7"/>
      <c r="Q73" s="6">
        <f>'Roofing WO'!T$10</f>
        <v>0</v>
      </c>
      <c r="R73" s="46">
        <f t="shared" si="6"/>
        <v>17</v>
      </c>
      <c r="S73" s="6"/>
      <c r="T73" s="7"/>
    </row>
    <row r="74" spans="2:20" ht="12" customHeight="1" x14ac:dyDescent="0.25">
      <c r="B74" s="6" t="str">
        <f>'Roofing WO'!D$10</f>
        <v xml:space="preserve">Zervo Construction </v>
      </c>
      <c r="C74" s="46">
        <f t="shared" si="3"/>
        <v>18</v>
      </c>
      <c r="D74" s="6"/>
      <c r="E74" s="7"/>
      <c r="G74" s="6"/>
      <c r="H74" s="46">
        <f t="shared" si="4"/>
        <v>18</v>
      </c>
      <c r="I74" s="6"/>
      <c r="J74" s="7"/>
      <c r="L74" s="6"/>
      <c r="M74" s="46">
        <f t="shared" si="5"/>
        <v>18</v>
      </c>
      <c r="N74" s="6"/>
      <c r="O74" s="7"/>
      <c r="Q74" s="6">
        <f>'Roofing WO'!T$10</f>
        <v>0</v>
      </c>
      <c r="R74" s="46">
        <f t="shared" si="6"/>
        <v>18</v>
      </c>
      <c r="S74" s="6"/>
      <c r="T74" s="7"/>
    </row>
    <row r="75" spans="2:20" ht="12" customHeight="1" x14ac:dyDescent="0.25">
      <c r="B75" s="6" t="str">
        <f>'Roofing WO'!D$10</f>
        <v xml:space="preserve">Zervo Construction </v>
      </c>
      <c r="C75" s="46">
        <f t="shared" si="3"/>
        <v>19</v>
      </c>
      <c r="D75" s="6"/>
      <c r="E75" s="7"/>
      <c r="G75" s="6"/>
      <c r="H75" s="46">
        <f t="shared" si="4"/>
        <v>19</v>
      </c>
      <c r="I75" s="6"/>
      <c r="J75" s="7"/>
      <c r="L75" s="6"/>
      <c r="M75" s="46">
        <f t="shared" si="5"/>
        <v>19</v>
      </c>
      <c r="N75" s="6"/>
      <c r="O75" s="7"/>
      <c r="Q75" s="6">
        <f>'Roofing WO'!T$10</f>
        <v>0</v>
      </c>
      <c r="R75" s="46">
        <f t="shared" si="6"/>
        <v>19</v>
      </c>
      <c r="S75" s="6"/>
      <c r="T75" s="7"/>
    </row>
    <row r="76" spans="2:20" ht="12" customHeight="1" x14ac:dyDescent="0.25">
      <c r="B76" s="6" t="str">
        <f>'Roofing WO'!D$10</f>
        <v xml:space="preserve">Zervo Construction </v>
      </c>
      <c r="C76" s="46">
        <f t="shared" si="3"/>
        <v>20</v>
      </c>
      <c r="D76" s="6"/>
      <c r="E76" s="7"/>
      <c r="G76" s="6"/>
      <c r="H76" s="46">
        <f t="shared" si="4"/>
        <v>20</v>
      </c>
      <c r="I76" s="6"/>
      <c r="J76" s="7"/>
      <c r="L76" s="6"/>
      <c r="M76" s="46">
        <f t="shared" si="5"/>
        <v>20</v>
      </c>
      <c r="N76" s="6"/>
      <c r="O76" s="7"/>
      <c r="Q76" s="6">
        <f>'Roofing WO'!T$10</f>
        <v>0</v>
      </c>
      <c r="R76" s="46">
        <f t="shared" si="6"/>
        <v>20</v>
      </c>
      <c r="S76" s="6"/>
      <c r="T76" s="7"/>
    </row>
    <row r="77" spans="2:20" ht="12" customHeight="1" x14ac:dyDescent="0.25">
      <c r="B77" s="6" t="str">
        <f>'Roofing WO'!D$10</f>
        <v xml:space="preserve">Zervo Construction </v>
      </c>
      <c r="C77" s="46">
        <f t="shared" si="3"/>
        <v>21</v>
      </c>
      <c r="D77" s="6"/>
      <c r="E77" s="7"/>
      <c r="G77" s="6"/>
      <c r="H77" s="46">
        <f t="shared" si="4"/>
        <v>21</v>
      </c>
      <c r="I77" s="6"/>
      <c r="J77" s="7"/>
      <c r="L77" s="6"/>
      <c r="M77" s="46">
        <f t="shared" si="5"/>
        <v>21</v>
      </c>
      <c r="N77" s="6"/>
      <c r="O77" s="7"/>
      <c r="Q77" s="6">
        <f>'Roofing WO'!T$10</f>
        <v>0</v>
      </c>
      <c r="R77" s="46">
        <f t="shared" si="6"/>
        <v>21</v>
      </c>
      <c r="S77" s="6"/>
      <c r="T77" s="7"/>
    </row>
    <row r="78" spans="2:20" ht="12" customHeight="1" x14ac:dyDescent="0.25">
      <c r="B78" s="6" t="str">
        <f>'Roofing WO'!D$10</f>
        <v xml:space="preserve">Zervo Construction </v>
      </c>
      <c r="C78" s="46">
        <f t="shared" si="3"/>
        <v>22</v>
      </c>
      <c r="D78" s="6"/>
      <c r="E78" s="7"/>
      <c r="G78" s="6"/>
      <c r="H78" s="46">
        <f t="shared" si="4"/>
        <v>22</v>
      </c>
      <c r="I78" s="6"/>
      <c r="J78" s="7"/>
      <c r="L78" s="6"/>
      <c r="M78" s="46">
        <f t="shared" si="5"/>
        <v>22</v>
      </c>
      <c r="N78" s="6"/>
      <c r="O78" s="7"/>
      <c r="Q78" s="6">
        <f>'Roofing WO'!T$10</f>
        <v>0</v>
      </c>
      <c r="R78" s="46">
        <f t="shared" si="6"/>
        <v>22</v>
      </c>
      <c r="S78" s="6"/>
      <c r="T78" s="7"/>
    </row>
    <row r="79" spans="2:20" ht="12" customHeight="1" x14ac:dyDescent="0.25">
      <c r="B79" s="6" t="str">
        <f>'Roofing WO'!D$10</f>
        <v xml:space="preserve">Zervo Construction </v>
      </c>
      <c r="C79" s="46">
        <f t="shared" si="3"/>
        <v>23</v>
      </c>
      <c r="D79" s="6"/>
      <c r="E79" s="7"/>
      <c r="G79" s="6"/>
      <c r="H79" s="46">
        <f t="shared" si="4"/>
        <v>23</v>
      </c>
      <c r="I79" s="6"/>
      <c r="J79" s="7"/>
      <c r="L79" s="6"/>
      <c r="M79" s="46">
        <f t="shared" si="5"/>
        <v>23</v>
      </c>
      <c r="N79" s="6"/>
      <c r="O79" s="7"/>
      <c r="Q79" s="6">
        <f>'Roofing WO'!T$10</f>
        <v>0</v>
      </c>
      <c r="R79" s="46">
        <f t="shared" si="6"/>
        <v>23</v>
      </c>
      <c r="S79" s="6"/>
      <c r="T79" s="7"/>
    </row>
    <row r="80" spans="2:20" ht="12" customHeight="1" x14ac:dyDescent="0.25">
      <c r="B80" s="6" t="str">
        <f>'Roofing WO'!D$10</f>
        <v xml:space="preserve">Zervo Construction </v>
      </c>
      <c r="C80" s="46">
        <f t="shared" si="3"/>
        <v>24</v>
      </c>
      <c r="D80" s="6"/>
      <c r="E80" s="7"/>
      <c r="G80" s="6"/>
      <c r="H80" s="46">
        <f t="shared" si="4"/>
        <v>24</v>
      </c>
      <c r="I80" s="6"/>
      <c r="J80" s="7"/>
      <c r="L80" s="6"/>
      <c r="M80" s="46">
        <f t="shared" si="5"/>
        <v>24</v>
      </c>
      <c r="N80" s="6"/>
      <c r="O80" s="7"/>
      <c r="Q80" s="6">
        <f>'Roofing WO'!T$10</f>
        <v>0</v>
      </c>
      <c r="R80" s="46">
        <f t="shared" si="6"/>
        <v>24</v>
      </c>
      <c r="S80" s="6"/>
      <c r="T80" s="7"/>
    </row>
    <row r="81" spans="2:20" ht="12" customHeight="1" x14ac:dyDescent="0.25">
      <c r="B81" s="6" t="str">
        <f>'Roofing WO'!D$10</f>
        <v xml:space="preserve">Zervo Construction </v>
      </c>
      <c r="C81" s="46">
        <f t="shared" ref="C81:C98" si="7">C28</f>
        <v>25</v>
      </c>
      <c r="D81" s="6"/>
      <c r="E81" s="7"/>
      <c r="G81" s="6"/>
      <c r="H81" s="46">
        <f t="shared" ref="H81:H98" si="8">H28</f>
        <v>25</v>
      </c>
      <c r="I81" s="6"/>
      <c r="J81" s="7"/>
      <c r="L81" s="6"/>
      <c r="M81" s="46">
        <f t="shared" ref="M81:M98" si="9">M28</f>
        <v>25</v>
      </c>
      <c r="N81" s="6"/>
      <c r="O81" s="7"/>
      <c r="Q81" s="6">
        <f>'Roofing WO'!T$10</f>
        <v>0</v>
      </c>
      <c r="R81" s="46">
        <f t="shared" ref="R81:R98" si="10">R28</f>
        <v>25</v>
      </c>
      <c r="S81" s="6"/>
      <c r="T81" s="7"/>
    </row>
    <row r="82" spans="2:20" ht="12" customHeight="1" x14ac:dyDescent="0.25">
      <c r="B82" s="6" t="str">
        <f>'Roofing WO'!D$10</f>
        <v xml:space="preserve">Zervo Construction </v>
      </c>
      <c r="C82" s="46">
        <f t="shared" si="7"/>
        <v>26</v>
      </c>
      <c r="D82" s="6"/>
      <c r="E82" s="7"/>
      <c r="G82" s="6"/>
      <c r="H82" s="46">
        <f t="shared" si="8"/>
        <v>26</v>
      </c>
      <c r="I82" s="6"/>
      <c r="J82" s="7"/>
      <c r="L82" s="6"/>
      <c r="M82" s="46">
        <f t="shared" si="9"/>
        <v>26</v>
      </c>
      <c r="N82" s="6"/>
      <c r="O82" s="7"/>
      <c r="Q82" s="6">
        <f>'Roofing WO'!T$10</f>
        <v>0</v>
      </c>
      <c r="R82" s="46">
        <f t="shared" si="10"/>
        <v>26</v>
      </c>
      <c r="S82" s="6"/>
      <c r="T82" s="7"/>
    </row>
    <row r="83" spans="2:20" ht="12" customHeight="1" x14ac:dyDescent="0.25">
      <c r="B83" s="6" t="str">
        <f>'Roofing WO'!D$10</f>
        <v xml:space="preserve">Zervo Construction </v>
      </c>
      <c r="C83" s="46">
        <f t="shared" si="7"/>
        <v>27</v>
      </c>
      <c r="D83" s="6"/>
      <c r="E83" s="7"/>
      <c r="G83" s="6"/>
      <c r="H83" s="46">
        <f t="shared" si="8"/>
        <v>27</v>
      </c>
      <c r="I83" s="6"/>
      <c r="J83" s="7"/>
      <c r="L83" s="6"/>
      <c r="M83" s="46">
        <f t="shared" si="9"/>
        <v>27</v>
      </c>
      <c r="N83" s="6"/>
      <c r="O83" s="7"/>
      <c r="Q83" s="6">
        <f>'Roofing WO'!T$10</f>
        <v>0</v>
      </c>
      <c r="R83" s="46">
        <f t="shared" si="10"/>
        <v>27</v>
      </c>
      <c r="S83" s="6"/>
      <c r="T83" s="7"/>
    </row>
    <row r="84" spans="2:20" ht="12" customHeight="1" x14ac:dyDescent="0.25">
      <c r="B84" s="6" t="str">
        <f>'Roofing WO'!D$10</f>
        <v xml:space="preserve">Zervo Construction </v>
      </c>
      <c r="C84" s="46">
        <f t="shared" si="7"/>
        <v>28</v>
      </c>
      <c r="D84" s="6"/>
      <c r="E84" s="7"/>
      <c r="G84" s="6"/>
      <c r="H84" s="46">
        <f t="shared" si="8"/>
        <v>28</v>
      </c>
      <c r="I84" s="6"/>
      <c r="J84" s="7"/>
      <c r="L84" s="6"/>
      <c r="M84" s="46">
        <f t="shared" si="9"/>
        <v>28</v>
      </c>
      <c r="N84" s="6"/>
      <c r="O84" s="7"/>
      <c r="Q84" s="6">
        <f>'Roofing WO'!T$10</f>
        <v>0</v>
      </c>
      <c r="R84" s="46">
        <f t="shared" si="10"/>
        <v>28</v>
      </c>
      <c r="S84" s="6"/>
      <c r="T84" s="7"/>
    </row>
    <row r="85" spans="2:20" ht="12" customHeight="1" x14ac:dyDescent="0.25">
      <c r="B85" s="6" t="str">
        <f>'Roofing WO'!D$10</f>
        <v xml:space="preserve">Zervo Construction </v>
      </c>
      <c r="C85" s="46">
        <f t="shared" si="7"/>
        <v>29</v>
      </c>
      <c r="D85" s="6"/>
      <c r="E85" s="7"/>
      <c r="G85" s="6"/>
      <c r="H85" s="46">
        <f t="shared" si="8"/>
        <v>29</v>
      </c>
      <c r="I85" s="6"/>
      <c r="J85" s="7"/>
      <c r="L85" s="6"/>
      <c r="M85" s="46">
        <f t="shared" si="9"/>
        <v>29</v>
      </c>
      <c r="N85" s="6"/>
      <c r="O85" s="7"/>
      <c r="Q85" s="6">
        <f>'Roofing WO'!T$10</f>
        <v>0</v>
      </c>
      <c r="R85" s="46">
        <f t="shared" si="10"/>
        <v>29</v>
      </c>
      <c r="S85" s="6"/>
      <c r="T85" s="7"/>
    </row>
    <row r="86" spans="2:20" ht="12" customHeight="1" x14ac:dyDescent="0.25">
      <c r="B86" s="6" t="str">
        <f>'Roofing WO'!D$10</f>
        <v xml:space="preserve">Zervo Construction </v>
      </c>
      <c r="C86" s="46">
        <f t="shared" si="7"/>
        <v>30</v>
      </c>
      <c r="D86" s="6"/>
      <c r="E86" s="7"/>
      <c r="G86" s="6"/>
      <c r="H86" s="46">
        <f t="shared" si="8"/>
        <v>30</v>
      </c>
      <c r="I86" s="6"/>
      <c r="J86" s="7"/>
      <c r="L86" s="6"/>
      <c r="M86" s="46">
        <f t="shared" si="9"/>
        <v>30</v>
      </c>
      <c r="N86" s="6"/>
      <c r="O86" s="7"/>
      <c r="Q86" s="6">
        <f>'Roofing WO'!T$10</f>
        <v>0</v>
      </c>
      <c r="R86" s="46">
        <f t="shared" si="10"/>
        <v>30</v>
      </c>
      <c r="S86" s="6"/>
      <c r="T86" s="7"/>
    </row>
    <row r="87" spans="2:20" ht="12" customHeight="1" x14ac:dyDescent="0.25">
      <c r="B87" s="6" t="str">
        <f>'Roofing WO'!D$10</f>
        <v xml:space="preserve">Zervo Construction </v>
      </c>
      <c r="C87" s="46">
        <f t="shared" si="7"/>
        <v>31</v>
      </c>
      <c r="D87" s="6"/>
      <c r="E87" s="7"/>
      <c r="G87" s="6"/>
      <c r="H87" s="46">
        <f t="shared" si="8"/>
        <v>31</v>
      </c>
      <c r="I87" s="6"/>
      <c r="J87" s="7"/>
      <c r="L87" s="6"/>
      <c r="M87" s="46">
        <f t="shared" si="9"/>
        <v>31</v>
      </c>
      <c r="N87" s="6"/>
      <c r="O87" s="7"/>
      <c r="Q87" s="6">
        <f>'Roofing WO'!T$10</f>
        <v>0</v>
      </c>
      <c r="R87" s="46">
        <f t="shared" si="10"/>
        <v>31</v>
      </c>
      <c r="S87" s="6"/>
      <c r="T87" s="7"/>
    </row>
    <row r="88" spans="2:20" ht="12" customHeight="1" x14ac:dyDescent="0.25">
      <c r="B88" s="6" t="str">
        <f>'Roofing WO'!D$10</f>
        <v xml:space="preserve">Zervo Construction </v>
      </c>
      <c r="C88" s="46">
        <f t="shared" si="7"/>
        <v>32</v>
      </c>
      <c r="D88" s="6"/>
      <c r="E88" s="7"/>
      <c r="G88" s="6"/>
      <c r="H88" s="46">
        <f t="shared" si="8"/>
        <v>32</v>
      </c>
      <c r="I88" s="6"/>
      <c r="J88" s="7"/>
      <c r="L88" s="6"/>
      <c r="M88" s="46">
        <f t="shared" si="9"/>
        <v>32</v>
      </c>
      <c r="N88" s="6"/>
      <c r="O88" s="7"/>
      <c r="Q88" s="6">
        <f>'Roofing WO'!T$10</f>
        <v>0</v>
      </c>
      <c r="R88" s="46">
        <f t="shared" si="10"/>
        <v>32</v>
      </c>
      <c r="S88" s="6"/>
      <c r="T88" s="7"/>
    </row>
    <row r="89" spans="2:20" ht="12" customHeight="1" x14ac:dyDescent="0.25">
      <c r="B89" s="6" t="str">
        <f>'Roofing WO'!D$10</f>
        <v xml:space="preserve">Zervo Construction </v>
      </c>
      <c r="C89" s="46">
        <f t="shared" si="7"/>
        <v>33</v>
      </c>
      <c r="D89" s="6"/>
      <c r="E89" s="7"/>
      <c r="G89" s="6"/>
      <c r="H89" s="46">
        <f t="shared" si="8"/>
        <v>33</v>
      </c>
      <c r="I89" s="6"/>
      <c r="J89" s="7"/>
      <c r="L89" s="6"/>
      <c r="M89" s="46">
        <f t="shared" si="9"/>
        <v>33</v>
      </c>
      <c r="N89" s="6"/>
      <c r="O89" s="7"/>
      <c r="Q89" s="6">
        <f>'Roofing WO'!T$10</f>
        <v>0</v>
      </c>
      <c r="R89" s="46">
        <f t="shared" si="10"/>
        <v>33</v>
      </c>
      <c r="S89" s="6"/>
      <c r="T89" s="7"/>
    </row>
    <row r="90" spans="2:20" ht="12" customHeight="1" x14ac:dyDescent="0.25">
      <c r="B90" s="6" t="str">
        <f>'Roofing WO'!D$10</f>
        <v xml:space="preserve">Zervo Construction </v>
      </c>
      <c r="C90" s="46">
        <f t="shared" si="7"/>
        <v>34</v>
      </c>
      <c r="D90" s="6"/>
      <c r="E90" s="7"/>
      <c r="G90" s="6"/>
      <c r="H90" s="46">
        <f t="shared" si="8"/>
        <v>34</v>
      </c>
      <c r="I90" s="6"/>
      <c r="J90" s="7"/>
      <c r="L90" s="6"/>
      <c r="M90" s="46">
        <f t="shared" si="9"/>
        <v>34</v>
      </c>
      <c r="N90" s="6"/>
      <c r="O90" s="7"/>
      <c r="Q90" s="6">
        <f>'Roofing WO'!T$10</f>
        <v>0</v>
      </c>
      <c r="R90" s="46">
        <f t="shared" si="10"/>
        <v>34</v>
      </c>
      <c r="S90" s="6"/>
      <c r="T90" s="7"/>
    </row>
    <row r="91" spans="2:20" ht="12" customHeight="1" x14ac:dyDescent="0.25">
      <c r="B91" s="6" t="str">
        <f>'Roofing WO'!D$10</f>
        <v xml:space="preserve">Zervo Construction </v>
      </c>
      <c r="C91" s="46">
        <f t="shared" si="7"/>
        <v>35</v>
      </c>
      <c r="D91" s="6"/>
      <c r="E91" s="7"/>
      <c r="G91" s="6"/>
      <c r="H91" s="46">
        <f t="shared" si="8"/>
        <v>35</v>
      </c>
      <c r="I91" s="6"/>
      <c r="J91" s="7"/>
      <c r="L91" s="6"/>
      <c r="M91" s="46">
        <f t="shared" si="9"/>
        <v>35</v>
      </c>
      <c r="N91" s="6"/>
      <c r="O91" s="7"/>
      <c r="Q91" s="6">
        <f>'Roofing WO'!T$10</f>
        <v>0</v>
      </c>
      <c r="R91" s="46">
        <f t="shared" si="10"/>
        <v>35</v>
      </c>
      <c r="S91" s="6"/>
      <c r="T91" s="7"/>
    </row>
    <row r="92" spans="2:20" ht="12" customHeight="1" x14ac:dyDescent="0.25">
      <c r="B92" s="6" t="str">
        <f>'Roofing WO'!D$10</f>
        <v xml:space="preserve">Zervo Construction </v>
      </c>
      <c r="C92" s="46">
        <f t="shared" si="7"/>
        <v>36</v>
      </c>
      <c r="D92" s="6"/>
      <c r="E92" s="7"/>
      <c r="G92" s="6"/>
      <c r="H92" s="46">
        <f t="shared" si="8"/>
        <v>36</v>
      </c>
      <c r="I92" s="6"/>
      <c r="J92" s="7"/>
      <c r="L92" s="6"/>
      <c r="M92" s="46">
        <f t="shared" si="9"/>
        <v>36</v>
      </c>
      <c r="N92" s="6"/>
      <c r="O92" s="7"/>
      <c r="Q92" s="6">
        <f>'Roofing WO'!T$10</f>
        <v>0</v>
      </c>
      <c r="R92" s="46">
        <f t="shared" si="10"/>
        <v>36</v>
      </c>
      <c r="S92" s="6"/>
      <c r="T92" s="7"/>
    </row>
    <row r="93" spans="2:20" ht="12" customHeight="1" x14ac:dyDescent="0.25">
      <c r="B93" s="6" t="str">
        <f>'Roofing WO'!D$10</f>
        <v xml:space="preserve">Zervo Construction </v>
      </c>
      <c r="C93" s="46">
        <f t="shared" si="7"/>
        <v>37</v>
      </c>
      <c r="D93" s="6"/>
      <c r="E93" s="7"/>
      <c r="G93" s="6"/>
      <c r="H93" s="46">
        <f t="shared" si="8"/>
        <v>37</v>
      </c>
      <c r="I93" s="6"/>
      <c r="J93" s="7"/>
      <c r="L93" s="6"/>
      <c r="M93" s="46">
        <f t="shared" si="9"/>
        <v>37</v>
      </c>
      <c r="N93" s="6"/>
      <c r="O93" s="7"/>
      <c r="Q93" s="6">
        <f>'Roofing WO'!T$10</f>
        <v>0</v>
      </c>
      <c r="R93" s="46">
        <f t="shared" si="10"/>
        <v>37</v>
      </c>
      <c r="S93" s="6"/>
      <c r="T93" s="7"/>
    </row>
    <row r="94" spans="2:20" ht="12" customHeight="1" x14ac:dyDescent="0.25">
      <c r="B94" s="6" t="str">
        <f>'Roofing WO'!D$10</f>
        <v xml:space="preserve">Zervo Construction </v>
      </c>
      <c r="C94" s="46">
        <f t="shared" si="7"/>
        <v>38</v>
      </c>
      <c r="D94" s="6"/>
      <c r="E94" s="7"/>
      <c r="G94" s="6"/>
      <c r="H94" s="46">
        <f t="shared" si="8"/>
        <v>38</v>
      </c>
      <c r="I94" s="6"/>
      <c r="J94" s="7"/>
      <c r="L94" s="6"/>
      <c r="M94" s="46">
        <f t="shared" si="9"/>
        <v>38</v>
      </c>
      <c r="N94" s="6"/>
      <c r="O94" s="7"/>
      <c r="Q94" s="6">
        <f>'Roofing WO'!T$10</f>
        <v>0</v>
      </c>
      <c r="R94" s="46">
        <f t="shared" si="10"/>
        <v>38</v>
      </c>
      <c r="S94" s="6"/>
      <c r="T94" s="7"/>
    </row>
    <row r="95" spans="2:20" ht="12" customHeight="1" x14ac:dyDescent="0.25">
      <c r="B95" s="6" t="str">
        <f>'Roofing WO'!D$10</f>
        <v xml:space="preserve">Zervo Construction </v>
      </c>
      <c r="C95" s="46">
        <f t="shared" si="7"/>
        <v>39</v>
      </c>
      <c r="D95" s="6"/>
      <c r="E95" s="7"/>
      <c r="G95" s="6"/>
      <c r="H95" s="46">
        <f t="shared" si="8"/>
        <v>39</v>
      </c>
      <c r="I95" s="6"/>
      <c r="J95" s="7"/>
      <c r="L95" s="6"/>
      <c r="M95" s="46">
        <f t="shared" si="9"/>
        <v>39</v>
      </c>
      <c r="N95" s="6"/>
      <c r="O95" s="7"/>
      <c r="Q95" s="6">
        <f>'Roofing WO'!T$10</f>
        <v>0</v>
      </c>
      <c r="R95" s="46">
        <f t="shared" si="10"/>
        <v>39</v>
      </c>
      <c r="S95" s="6"/>
      <c r="T95" s="7"/>
    </row>
    <row r="96" spans="2:20" ht="12" customHeight="1" x14ac:dyDescent="0.25">
      <c r="B96" s="6" t="str">
        <f>'Roofing WO'!D$10</f>
        <v xml:space="preserve">Zervo Construction </v>
      </c>
      <c r="C96" s="46">
        <f t="shared" si="7"/>
        <v>40</v>
      </c>
      <c r="D96" s="6"/>
      <c r="E96" s="7"/>
      <c r="G96" s="6"/>
      <c r="H96" s="46">
        <f t="shared" si="8"/>
        <v>40</v>
      </c>
      <c r="I96" s="6"/>
      <c r="J96" s="7"/>
      <c r="L96" s="6"/>
      <c r="M96" s="46">
        <f t="shared" si="9"/>
        <v>40</v>
      </c>
      <c r="N96" s="6"/>
      <c r="O96" s="7"/>
      <c r="Q96" s="6">
        <f>'Roofing WO'!T$10</f>
        <v>0</v>
      </c>
      <c r="R96" s="46">
        <f t="shared" si="10"/>
        <v>40</v>
      </c>
      <c r="S96" s="6"/>
      <c r="T96" s="7"/>
    </row>
    <row r="97" spans="2:20" ht="12" customHeight="1" x14ac:dyDescent="0.25">
      <c r="B97" s="6" t="str">
        <f>'Roofing WO'!D$10</f>
        <v xml:space="preserve">Zervo Construction </v>
      </c>
      <c r="C97" s="46">
        <f t="shared" si="7"/>
        <v>41</v>
      </c>
      <c r="D97" s="6"/>
      <c r="E97" s="7"/>
      <c r="G97" s="6"/>
      <c r="H97" s="46">
        <f t="shared" si="8"/>
        <v>41</v>
      </c>
      <c r="I97" s="6"/>
      <c r="J97" s="7"/>
      <c r="L97" s="6"/>
      <c r="M97" s="46">
        <f t="shared" si="9"/>
        <v>41</v>
      </c>
      <c r="N97" s="6"/>
      <c r="O97" s="7"/>
      <c r="Q97" s="6">
        <f>'Roofing WO'!T$10</f>
        <v>0</v>
      </c>
      <c r="R97" s="46">
        <f t="shared" si="10"/>
        <v>41</v>
      </c>
      <c r="S97" s="6"/>
      <c r="T97" s="7"/>
    </row>
    <row r="98" spans="2:20" ht="12" customHeight="1" x14ac:dyDescent="0.25">
      <c r="B98" s="6" t="str">
        <f>'Roofing WO'!D$10</f>
        <v xml:space="preserve">Zervo Construction </v>
      </c>
      <c r="C98" s="46">
        <f t="shared" si="7"/>
        <v>42</v>
      </c>
      <c r="D98" s="6"/>
      <c r="E98" s="7"/>
      <c r="G98" s="6"/>
      <c r="H98" s="46">
        <f t="shared" si="8"/>
        <v>42</v>
      </c>
      <c r="I98" s="6"/>
      <c r="J98" s="7"/>
      <c r="L98" s="6"/>
      <c r="M98" s="46">
        <f t="shared" si="9"/>
        <v>42</v>
      </c>
      <c r="N98" s="6"/>
      <c r="O98" s="7"/>
      <c r="Q98" s="6">
        <f>'Roofing WO'!T$10</f>
        <v>0</v>
      </c>
      <c r="R98" s="46">
        <f t="shared" si="10"/>
        <v>42</v>
      </c>
      <c r="S98" s="6"/>
      <c r="T98" s="7"/>
    </row>
    <row r="99" spans="2:20" ht="12" customHeight="1" x14ac:dyDescent="0.25">
      <c r="B99" s="1867" t="s">
        <v>10361</v>
      </c>
      <c r="C99" s="1867"/>
      <c r="D99" s="1867"/>
      <c r="E99" s="4">
        <f>SUM(E57:E98)</f>
        <v>0</v>
      </c>
      <c r="G99" s="1867" t="s">
        <v>10361</v>
      </c>
      <c r="H99" s="1867"/>
      <c r="I99" s="1867"/>
      <c r="J99" s="4">
        <f>SUM(J57:J98)</f>
        <v>0</v>
      </c>
      <c r="L99" s="1867" t="s">
        <v>10361</v>
      </c>
      <c r="M99" s="1867"/>
      <c r="N99" s="1867"/>
      <c r="O99" s="4">
        <f>SUM(O49:O98)</f>
        <v>0</v>
      </c>
      <c r="Q99" s="1867" t="s">
        <v>10361</v>
      </c>
      <c r="R99" s="1867"/>
      <c r="S99" s="1867"/>
      <c r="T99" s="4">
        <f>SUM(T57:T98)</f>
        <v>0</v>
      </c>
    </row>
    <row r="100" spans="2:20" x14ac:dyDescent="0.25">
      <c r="B100" s="1872" t="s">
        <v>10355</v>
      </c>
      <c r="C100" s="1873"/>
      <c r="D100" s="1873"/>
      <c r="E100" s="1874"/>
      <c r="G100" s="1884" t="s">
        <v>10356</v>
      </c>
      <c r="H100" s="1885"/>
      <c r="I100" s="1885"/>
      <c r="J100" s="1886"/>
      <c r="L100" s="1878" t="s">
        <v>10362</v>
      </c>
      <c r="M100" s="1879"/>
      <c r="N100" s="1879"/>
      <c r="O100" s="1880"/>
      <c r="Q100" s="1881" t="s">
        <v>10363</v>
      </c>
      <c r="R100" s="1882"/>
      <c r="S100" s="1882"/>
      <c r="T100" s="1883"/>
    </row>
    <row r="101" spans="2:20" ht="12" customHeight="1" x14ac:dyDescent="0.25">
      <c r="B101" s="6" t="s">
        <v>10348</v>
      </c>
      <c r="C101" s="6"/>
      <c r="D101" s="7">
        <v>30</v>
      </c>
      <c r="E101" s="7">
        <f>C101*D101</f>
        <v>0</v>
      </c>
      <c r="G101" s="6" t="s">
        <v>10348</v>
      </c>
      <c r="H101" s="6"/>
      <c r="I101" s="7">
        <v>30</v>
      </c>
      <c r="J101" s="7">
        <f>H101*I101</f>
        <v>0</v>
      </c>
      <c r="L101" s="6" t="s">
        <v>10348</v>
      </c>
      <c r="M101" s="6"/>
      <c r="N101" s="7">
        <v>30</v>
      </c>
      <c r="O101" s="7">
        <f>M101*N101</f>
        <v>0</v>
      </c>
      <c r="Q101" s="6" t="s">
        <v>10348</v>
      </c>
      <c r="R101" s="6"/>
      <c r="S101" s="7">
        <v>30</v>
      </c>
      <c r="T101" s="7">
        <f>R101*S101</f>
        <v>0</v>
      </c>
    </row>
    <row r="102" spans="2:20" ht="12" customHeight="1" x14ac:dyDescent="0.25">
      <c r="B102" s="840" t="s">
        <v>10336</v>
      </c>
      <c r="C102" s="6"/>
      <c r="D102" s="7">
        <v>30</v>
      </c>
      <c r="E102" s="7">
        <f t="shared" ref="E102:E104" si="11">C102*D102</f>
        <v>0</v>
      </c>
      <c r="G102" s="840" t="s">
        <v>10336</v>
      </c>
      <c r="H102" s="6"/>
      <c r="I102" s="7">
        <v>30</v>
      </c>
      <c r="J102" s="7">
        <f t="shared" ref="J102:J104" si="12">H102*I102</f>
        <v>0</v>
      </c>
      <c r="L102" s="840" t="s">
        <v>10336</v>
      </c>
      <c r="M102" s="6"/>
      <c r="N102" s="7">
        <v>30</v>
      </c>
      <c r="O102" s="7">
        <f t="shared" ref="O102:O104" si="13">M102*N102</f>
        <v>0</v>
      </c>
      <c r="Q102" s="840" t="s">
        <v>10336</v>
      </c>
      <c r="R102" s="6"/>
      <c r="S102" s="7">
        <v>30</v>
      </c>
      <c r="T102" s="7">
        <f t="shared" ref="T102:T104" si="14">R102*S102</f>
        <v>0</v>
      </c>
    </row>
    <row r="103" spans="2:20" ht="12" customHeight="1" x14ac:dyDescent="0.25">
      <c r="B103" s="840" t="s">
        <v>10336</v>
      </c>
      <c r="C103" s="6"/>
      <c r="D103" s="7">
        <v>30</v>
      </c>
      <c r="E103" s="7">
        <f t="shared" si="11"/>
        <v>0</v>
      </c>
      <c r="G103" s="840" t="s">
        <v>10336</v>
      </c>
      <c r="H103" s="6"/>
      <c r="I103" s="7">
        <v>30</v>
      </c>
      <c r="J103" s="7">
        <f t="shared" si="12"/>
        <v>0</v>
      </c>
      <c r="L103" s="840" t="s">
        <v>10336</v>
      </c>
      <c r="M103" s="6"/>
      <c r="N103" s="7">
        <v>30</v>
      </c>
      <c r="O103" s="7">
        <f t="shared" si="13"/>
        <v>0</v>
      </c>
      <c r="Q103" s="840" t="s">
        <v>10336</v>
      </c>
      <c r="R103" s="6"/>
      <c r="S103" s="7">
        <v>30</v>
      </c>
      <c r="T103" s="7">
        <f t="shared" si="14"/>
        <v>0</v>
      </c>
    </row>
    <row r="104" spans="2:20" ht="12" customHeight="1" x14ac:dyDescent="0.25">
      <c r="B104" s="840" t="s">
        <v>10336</v>
      </c>
      <c r="C104" s="6"/>
      <c r="D104" s="7">
        <v>30</v>
      </c>
      <c r="E104" s="7">
        <f t="shared" si="11"/>
        <v>0</v>
      </c>
      <c r="G104" s="840" t="s">
        <v>10336</v>
      </c>
      <c r="H104" s="6"/>
      <c r="I104" s="7">
        <v>30</v>
      </c>
      <c r="J104" s="7">
        <f t="shared" si="12"/>
        <v>0</v>
      </c>
      <c r="L104" s="840" t="s">
        <v>10336</v>
      </c>
      <c r="M104" s="6"/>
      <c r="N104" s="7">
        <v>30</v>
      </c>
      <c r="O104" s="7">
        <f t="shared" si="13"/>
        <v>0</v>
      </c>
      <c r="Q104" s="840" t="s">
        <v>10336</v>
      </c>
      <c r="R104" s="6"/>
      <c r="S104" s="7">
        <v>30</v>
      </c>
      <c r="T104" s="7">
        <f t="shared" si="14"/>
        <v>0</v>
      </c>
    </row>
    <row r="105" spans="2:20" ht="12" customHeight="1" x14ac:dyDescent="0.25">
      <c r="B105" s="6" t="s">
        <v>59</v>
      </c>
      <c r="C105" s="46">
        <f t="shared" ref="C105:C128" si="15">C4</f>
        <v>1</v>
      </c>
      <c r="D105" s="6"/>
      <c r="E105" s="7"/>
      <c r="G105" s="6" t="s">
        <v>59</v>
      </c>
      <c r="H105" s="46">
        <f t="shared" ref="H105:H128" si="16">H4</f>
        <v>1</v>
      </c>
      <c r="I105" s="6"/>
      <c r="J105" s="7"/>
      <c r="L105" s="6" t="s">
        <v>59</v>
      </c>
      <c r="M105" s="46">
        <f t="shared" ref="M105:M128" si="17">M4</f>
        <v>1</v>
      </c>
      <c r="N105" s="6"/>
      <c r="O105" s="7"/>
      <c r="Q105" s="6" t="s">
        <v>59</v>
      </c>
      <c r="R105" s="46">
        <f t="shared" ref="R105:R128" si="18">R4</f>
        <v>1</v>
      </c>
      <c r="S105" s="6"/>
      <c r="T105" s="7"/>
    </row>
    <row r="106" spans="2:20" ht="12" customHeight="1" x14ac:dyDescent="0.25">
      <c r="B106" s="840" t="s">
        <v>10369</v>
      </c>
      <c r="C106" s="46">
        <f t="shared" si="15"/>
        <v>2</v>
      </c>
      <c r="D106" s="6"/>
      <c r="E106" s="7"/>
      <c r="G106" s="840" t="s">
        <v>10369</v>
      </c>
      <c r="H106" s="46">
        <f t="shared" si="16"/>
        <v>2</v>
      </c>
      <c r="I106" s="6"/>
      <c r="J106" s="7"/>
      <c r="L106" s="840" t="s">
        <v>10369</v>
      </c>
      <c r="M106" s="46">
        <f t="shared" si="17"/>
        <v>2</v>
      </c>
      <c r="N106" s="6"/>
      <c r="O106" s="7"/>
      <c r="Q106" s="840" t="s">
        <v>10369</v>
      </c>
      <c r="R106" s="46">
        <f t="shared" si="18"/>
        <v>2</v>
      </c>
      <c r="S106" s="6"/>
      <c r="T106" s="7"/>
    </row>
    <row r="107" spans="2:20" ht="12" customHeight="1" x14ac:dyDescent="0.25">
      <c r="B107" s="840" t="s">
        <v>10369</v>
      </c>
      <c r="C107" s="46">
        <f t="shared" si="15"/>
        <v>3</v>
      </c>
      <c r="D107" s="6"/>
      <c r="E107" s="7"/>
      <c r="G107" s="840" t="s">
        <v>10369</v>
      </c>
      <c r="H107" s="46">
        <f t="shared" si="16"/>
        <v>3</v>
      </c>
      <c r="I107" s="6"/>
      <c r="J107" s="7"/>
      <c r="L107" s="840" t="s">
        <v>10369</v>
      </c>
      <c r="M107" s="46">
        <f t="shared" si="17"/>
        <v>3</v>
      </c>
      <c r="N107" s="6"/>
      <c r="O107" s="7"/>
      <c r="Q107" s="840" t="s">
        <v>10369</v>
      </c>
      <c r="R107" s="46">
        <f t="shared" si="18"/>
        <v>3</v>
      </c>
      <c r="S107" s="6"/>
      <c r="T107" s="7"/>
    </row>
    <row r="108" spans="2:20" ht="12" customHeight="1" x14ac:dyDescent="0.25">
      <c r="B108" s="840" t="s">
        <v>10369</v>
      </c>
      <c r="C108" s="46">
        <f t="shared" si="15"/>
        <v>4</v>
      </c>
      <c r="D108" s="6"/>
      <c r="E108" s="7"/>
      <c r="G108" s="840" t="s">
        <v>10369</v>
      </c>
      <c r="H108" s="46">
        <f t="shared" si="16"/>
        <v>4</v>
      </c>
      <c r="I108" s="6"/>
      <c r="J108" s="7"/>
      <c r="L108" s="840" t="s">
        <v>10369</v>
      </c>
      <c r="M108" s="46">
        <f t="shared" si="17"/>
        <v>4</v>
      </c>
      <c r="N108" s="6"/>
      <c r="O108" s="7"/>
      <c r="Q108" s="840" t="s">
        <v>10369</v>
      </c>
      <c r="R108" s="46">
        <f t="shared" si="18"/>
        <v>4</v>
      </c>
      <c r="S108" s="6"/>
      <c r="T108" s="7"/>
    </row>
    <row r="109" spans="2:20" ht="12" customHeight="1" x14ac:dyDescent="0.25">
      <c r="B109" s="840" t="s">
        <v>10369</v>
      </c>
      <c r="C109" s="46">
        <f t="shared" si="15"/>
        <v>5</v>
      </c>
      <c r="D109" s="6"/>
      <c r="E109" s="7"/>
      <c r="G109" s="840" t="s">
        <v>10369</v>
      </c>
      <c r="H109" s="46">
        <f t="shared" si="16"/>
        <v>5</v>
      </c>
      <c r="I109" s="6"/>
      <c r="J109" s="7"/>
      <c r="L109" s="840" t="s">
        <v>10369</v>
      </c>
      <c r="M109" s="46">
        <f t="shared" si="17"/>
        <v>5</v>
      </c>
      <c r="N109" s="6"/>
      <c r="O109" s="7"/>
      <c r="Q109" s="840" t="s">
        <v>10369</v>
      </c>
      <c r="R109" s="46">
        <f t="shared" si="18"/>
        <v>5</v>
      </c>
      <c r="S109" s="6"/>
      <c r="T109" s="7"/>
    </row>
    <row r="110" spans="2:20" ht="12" customHeight="1" x14ac:dyDescent="0.25">
      <c r="B110" s="840" t="s">
        <v>10369</v>
      </c>
      <c r="C110" s="46">
        <f t="shared" si="15"/>
        <v>6</v>
      </c>
      <c r="D110" s="6"/>
      <c r="E110" s="7"/>
      <c r="G110" s="840" t="s">
        <v>10369</v>
      </c>
      <c r="H110" s="46">
        <f t="shared" si="16"/>
        <v>6</v>
      </c>
      <c r="I110" s="6"/>
      <c r="J110" s="7"/>
      <c r="L110" s="840" t="s">
        <v>10369</v>
      </c>
      <c r="M110" s="46">
        <f t="shared" si="17"/>
        <v>6</v>
      </c>
      <c r="N110" s="6"/>
      <c r="O110" s="7"/>
      <c r="Q110" s="840" t="s">
        <v>10369</v>
      </c>
      <c r="R110" s="46">
        <f t="shared" si="18"/>
        <v>6</v>
      </c>
      <c r="S110" s="6"/>
      <c r="T110" s="7"/>
    </row>
    <row r="111" spans="2:20" ht="12" customHeight="1" x14ac:dyDescent="0.25">
      <c r="B111" s="840" t="s">
        <v>10369</v>
      </c>
      <c r="C111" s="46">
        <f t="shared" si="15"/>
        <v>7</v>
      </c>
      <c r="D111" s="6"/>
      <c r="E111" s="7"/>
      <c r="G111" s="840" t="s">
        <v>10369</v>
      </c>
      <c r="H111" s="46">
        <f t="shared" si="16"/>
        <v>7</v>
      </c>
      <c r="I111" s="6"/>
      <c r="J111" s="7"/>
      <c r="L111" s="840" t="s">
        <v>10369</v>
      </c>
      <c r="M111" s="46">
        <f t="shared" si="17"/>
        <v>7</v>
      </c>
      <c r="N111" s="6"/>
      <c r="O111" s="7"/>
      <c r="Q111" s="840" t="s">
        <v>10369</v>
      </c>
      <c r="R111" s="46">
        <f t="shared" si="18"/>
        <v>7</v>
      </c>
      <c r="S111" s="6"/>
      <c r="T111" s="7"/>
    </row>
    <row r="112" spans="2:20" ht="12" customHeight="1" x14ac:dyDescent="0.25">
      <c r="B112" s="840" t="s">
        <v>10369</v>
      </c>
      <c r="C112" s="46">
        <f t="shared" si="15"/>
        <v>8</v>
      </c>
      <c r="D112" s="6"/>
      <c r="E112" s="7"/>
      <c r="G112" s="840" t="s">
        <v>10369</v>
      </c>
      <c r="H112" s="46">
        <f t="shared" si="16"/>
        <v>8</v>
      </c>
      <c r="I112" s="6"/>
      <c r="J112" s="7"/>
      <c r="L112" s="840" t="s">
        <v>10369</v>
      </c>
      <c r="M112" s="46">
        <f t="shared" si="17"/>
        <v>8</v>
      </c>
      <c r="N112" s="6"/>
      <c r="O112" s="7"/>
      <c r="Q112" s="840" t="s">
        <v>10369</v>
      </c>
      <c r="R112" s="46">
        <f t="shared" si="18"/>
        <v>8</v>
      </c>
      <c r="S112" s="6"/>
      <c r="T112" s="7"/>
    </row>
    <row r="113" spans="2:20" ht="12" customHeight="1" x14ac:dyDescent="0.25">
      <c r="B113" s="840" t="s">
        <v>10369</v>
      </c>
      <c r="C113" s="46">
        <f t="shared" si="15"/>
        <v>9</v>
      </c>
      <c r="D113" s="6"/>
      <c r="E113" s="7"/>
      <c r="G113" s="840" t="s">
        <v>10369</v>
      </c>
      <c r="H113" s="46">
        <f t="shared" si="16"/>
        <v>9</v>
      </c>
      <c r="I113" s="6"/>
      <c r="J113" s="7"/>
      <c r="L113" s="840" t="s">
        <v>10369</v>
      </c>
      <c r="M113" s="46">
        <f t="shared" si="17"/>
        <v>9</v>
      </c>
      <c r="N113" s="6"/>
      <c r="O113" s="7"/>
      <c r="Q113" s="840" t="s">
        <v>10369</v>
      </c>
      <c r="R113" s="46">
        <f t="shared" si="18"/>
        <v>9</v>
      </c>
      <c r="S113" s="6"/>
      <c r="T113" s="7"/>
    </row>
    <row r="114" spans="2:20" ht="12" customHeight="1" x14ac:dyDescent="0.25">
      <c r="B114" s="840" t="s">
        <v>10369</v>
      </c>
      <c r="C114" s="46">
        <f t="shared" si="15"/>
        <v>10</v>
      </c>
      <c r="D114" s="6"/>
      <c r="E114" s="7"/>
      <c r="G114" s="840" t="s">
        <v>10369</v>
      </c>
      <c r="H114" s="46">
        <f t="shared" si="16"/>
        <v>10</v>
      </c>
      <c r="I114" s="6"/>
      <c r="J114" s="7"/>
      <c r="L114" s="840" t="s">
        <v>10369</v>
      </c>
      <c r="M114" s="46">
        <f t="shared" si="17"/>
        <v>10</v>
      </c>
      <c r="N114" s="6"/>
      <c r="O114" s="7"/>
      <c r="Q114" s="840" t="s">
        <v>10369</v>
      </c>
      <c r="R114" s="46">
        <f t="shared" si="18"/>
        <v>10</v>
      </c>
      <c r="S114" s="6"/>
      <c r="T114" s="7"/>
    </row>
    <row r="115" spans="2:20" ht="12" customHeight="1" x14ac:dyDescent="0.25">
      <c r="B115" s="840" t="s">
        <v>10369</v>
      </c>
      <c r="C115" s="46">
        <f t="shared" si="15"/>
        <v>11</v>
      </c>
      <c r="D115" s="6"/>
      <c r="E115" s="7"/>
      <c r="G115" s="840" t="s">
        <v>10369</v>
      </c>
      <c r="H115" s="46">
        <f t="shared" si="16"/>
        <v>11</v>
      </c>
      <c r="I115" s="6"/>
      <c r="J115" s="7"/>
      <c r="L115" s="840" t="s">
        <v>10369</v>
      </c>
      <c r="M115" s="46">
        <f t="shared" si="17"/>
        <v>11</v>
      </c>
      <c r="N115" s="6"/>
      <c r="O115" s="7"/>
      <c r="Q115" s="840" t="s">
        <v>10369</v>
      </c>
      <c r="R115" s="46">
        <f t="shared" si="18"/>
        <v>11</v>
      </c>
      <c r="S115" s="6"/>
      <c r="T115" s="7"/>
    </row>
    <row r="116" spans="2:20" ht="12" customHeight="1" x14ac:dyDescent="0.25">
      <c r="B116" s="840" t="s">
        <v>10369</v>
      </c>
      <c r="C116" s="46">
        <f t="shared" si="15"/>
        <v>12</v>
      </c>
      <c r="D116" s="6"/>
      <c r="E116" s="7"/>
      <c r="G116" s="840" t="s">
        <v>10369</v>
      </c>
      <c r="H116" s="46">
        <f t="shared" si="16"/>
        <v>12</v>
      </c>
      <c r="I116" s="6"/>
      <c r="J116" s="7"/>
      <c r="L116" s="840" t="s">
        <v>10369</v>
      </c>
      <c r="M116" s="46">
        <f t="shared" si="17"/>
        <v>12</v>
      </c>
      <c r="N116" s="6"/>
      <c r="O116" s="7"/>
      <c r="Q116" s="840" t="s">
        <v>10369</v>
      </c>
      <c r="R116" s="46">
        <f t="shared" si="18"/>
        <v>12</v>
      </c>
      <c r="S116" s="6"/>
      <c r="T116" s="7"/>
    </row>
    <row r="117" spans="2:20" ht="12" customHeight="1" x14ac:dyDescent="0.25">
      <c r="B117" s="840" t="s">
        <v>10369</v>
      </c>
      <c r="C117" s="46">
        <f t="shared" si="15"/>
        <v>13</v>
      </c>
      <c r="D117" s="6"/>
      <c r="E117" s="7"/>
      <c r="G117" s="840" t="s">
        <v>10369</v>
      </c>
      <c r="H117" s="46">
        <f t="shared" si="16"/>
        <v>13</v>
      </c>
      <c r="I117" s="6"/>
      <c r="J117" s="7"/>
      <c r="L117" s="840" t="s">
        <v>10369</v>
      </c>
      <c r="M117" s="46">
        <f t="shared" si="17"/>
        <v>13</v>
      </c>
      <c r="N117" s="6"/>
      <c r="O117" s="7"/>
      <c r="Q117" s="840" t="s">
        <v>10369</v>
      </c>
      <c r="R117" s="46">
        <f t="shared" si="18"/>
        <v>13</v>
      </c>
      <c r="S117" s="6"/>
      <c r="T117" s="7"/>
    </row>
    <row r="118" spans="2:20" ht="12" customHeight="1" x14ac:dyDescent="0.25">
      <c r="B118" s="840" t="s">
        <v>10369</v>
      </c>
      <c r="C118" s="46">
        <f t="shared" si="15"/>
        <v>14</v>
      </c>
      <c r="D118" s="6"/>
      <c r="E118" s="7"/>
      <c r="G118" s="840" t="s">
        <v>10369</v>
      </c>
      <c r="H118" s="46">
        <f t="shared" si="16"/>
        <v>14</v>
      </c>
      <c r="I118" s="6"/>
      <c r="J118" s="7"/>
      <c r="L118" s="840" t="s">
        <v>10369</v>
      </c>
      <c r="M118" s="46">
        <f t="shared" si="17"/>
        <v>14</v>
      </c>
      <c r="N118" s="6"/>
      <c r="O118" s="7"/>
      <c r="Q118" s="840" t="s">
        <v>10369</v>
      </c>
      <c r="R118" s="46">
        <f t="shared" si="18"/>
        <v>14</v>
      </c>
      <c r="S118" s="6"/>
      <c r="T118" s="7"/>
    </row>
    <row r="119" spans="2:20" ht="12" customHeight="1" x14ac:dyDescent="0.25">
      <c r="B119" s="840" t="s">
        <v>10369</v>
      </c>
      <c r="C119" s="46">
        <f t="shared" si="15"/>
        <v>15</v>
      </c>
      <c r="D119" s="6"/>
      <c r="E119" s="7"/>
      <c r="G119" s="840" t="s">
        <v>10369</v>
      </c>
      <c r="H119" s="46">
        <f t="shared" si="16"/>
        <v>15</v>
      </c>
      <c r="I119" s="6"/>
      <c r="J119" s="7"/>
      <c r="L119" s="840" t="s">
        <v>10369</v>
      </c>
      <c r="M119" s="46">
        <f t="shared" si="17"/>
        <v>15</v>
      </c>
      <c r="N119" s="6"/>
      <c r="O119" s="7"/>
      <c r="Q119" s="840" t="s">
        <v>10369</v>
      </c>
      <c r="R119" s="46">
        <f t="shared" si="18"/>
        <v>15</v>
      </c>
      <c r="S119" s="6"/>
      <c r="T119" s="7"/>
    </row>
    <row r="120" spans="2:20" ht="12" customHeight="1" x14ac:dyDescent="0.25">
      <c r="B120" s="840" t="s">
        <v>10369</v>
      </c>
      <c r="C120" s="46">
        <f t="shared" si="15"/>
        <v>16</v>
      </c>
      <c r="D120" s="6"/>
      <c r="E120" s="7"/>
      <c r="G120" s="840" t="s">
        <v>10369</v>
      </c>
      <c r="H120" s="46">
        <f t="shared" si="16"/>
        <v>16</v>
      </c>
      <c r="I120" s="6"/>
      <c r="J120" s="7"/>
      <c r="L120" s="840" t="s">
        <v>10369</v>
      </c>
      <c r="M120" s="46">
        <f t="shared" si="17"/>
        <v>16</v>
      </c>
      <c r="N120" s="6"/>
      <c r="O120" s="7"/>
      <c r="Q120" s="840" t="s">
        <v>10369</v>
      </c>
      <c r="R120" s="46">
        <f t="shared" si="18"/>
        <v>16</v>
      </c>
      <c r="S120" s="6"/>
      <c r="T120" s="7"/>
    </row>
    <row r="121" spans="2:20" ht="12" customHeight="1" x14ac:dyDescent="0.25">
      <c r="B121" s="840" t="s">
        <v>10369</v>
      </c>
      <c r="C121" s="46">
        <f t="shared" si="15"/>
        <v>17</v>
      </c>
      <c r="D121" s="6"/>
      <c r="E121" s="7"/>
      <c r="G121" s="840" t="s">
        <v>10369</v>
      </c>
      <c r="H121" s="46">
        <f t="shared" si="16"/>
        <v>17</v>
      </c>
      <c r="I121" s="6"/>
      <c r="J121" s="7"/>
      <c r="L121" s="840" t="s">
        <v>10369</v>
      </c>
      <c r="M121" s="46">
        <f t="shared" si="17"/>
        <v>17</v>
      </c>
      <c r="N121" s="6"/>
      <c r="O121" s="7"/>
      <c r="Q121" s="840" t="s">
        <v>10369</v>
      </c>
      <c r="R121" s="46">
        <f t="shared" si="18"/>
        <v>17</v>
      </c>
      <c r="S121" s="6"/>
      <c r="T121" s="7"/>
    </row>
    <row r="122" spans="2:20" ht="12" customHeight="1" x14ac:dyDescent="0.25">
      <c r="B122" s="840" t="s">
        <v>10369</v>
      </c>
      <c r="C122" s="46">
        <f t="shared" si="15"/>
        <v>18</v>
      </c>
      <c r="D122" s="6"/>
      <c r="E122" s="7"/>
      <c r="G122" s="840" t="s">
        <v>10369</v>
      </c>
      <c r="H122" s="46">
        <f t="shared" si="16"/>
        <v>18</v>
      </c>
      <c r="I122" s="6"/>
      <c r="J122" s="7"/>
      <c r="L122" s="840" t="s">
        <v>10369</v>
      </c>
      <c r="M122" s="46">
        <f t="shared" si="17"/>
        <v>18</v>
      </c>
      <c r="N122" s="6"/>
      <c r="O122" s="7"/>
      <c r="Q122" s="840" t="s">
        <v>10369</v>
      </c>
      <c r="R122" s="46">
        <f t="shared" si="18"/>
        <v>18</v>
      </c>
      <c r="S122" s="6"/>
      <c r="T122" s="7"/>
    </row>
    <row r="123" spans="2:20" ht="12" customHeight="1" x14ac:dyDescent="0.25">
      <c r="B123" s="840" t="s">
        <v>10369</v>
      </c>
      <c r="C123" s="46">
        <f t="shared" si="15"/>
        <v>19</v>
      </c>
      <c r="D123" s="6"/>
      <c r="E123" s="7"/>
      <c r="G123" s="840" t="s">
        <v>10369</v>
      </c>
      <c r="H123" s="46">
        <f t="shared" si="16"/>
        <v>19</v>
      </c>
      <c r="I123" s="6"/>
      <c r="J123" s="7"/>
      <c r="L123" s="840" t="s">
        <v>10369</v>
      </c>
      <c r="M123" s="46">
        <f t="shared" si="17"/>
        <v>19</v>
      </c>
      <c r="N123" s="6"/>
      <c r="O123" s="7"/>
      <c r="Q123" s="840" t="s">
        <v>10369</v>
      </c>
      <c r="R123" s="46">
        <f t="shared" si="18"/>
        <v>19</v>
      </c>
      <c r="S123" s="6"/>
      <c r="T123" s="7"/>
    </row>
    <row r="124" spans="2:20" ht="12" customHeight="1" x14ac:dyDescent="0.25">
      <c r="B124" s="840" t="s">
        <v>10369</v>
      </c>
      <c r="C124" s="46">
        <f t="shared" si="15"/>
        <v>20</v>
      </c>
      <c r="D124" s="6"/>
      <c r="E124" s="7"/>
      <c r="G124" s="840" t="s">
        <v>10369</v>
      </c>
      <c r="H124" s="46">
        <f t="shared" si="16"/>
        <v>20</v>
      </c>
      <c r="I124" s="6"/>
      <c r="J124" s="7"/>
      <c r="L124" s="840" t="s">
        <v>10369</v>
      </c>
      <c r="M124" s="46">
        <f t="shared" si="17"/>
        <v>20</v>
      </c>
      <c r="N124" s="6"/>
      <c r="O124" s="7"/>
      <c r="Q124" s="840" t="s">
        <v>10369</v>
      </c>
      <c r="R124" s="46">
        <f t="shared" si="18"/>
        <v>20</v>
      </c>
      <c r="S124" s="6"/>
      <c r="T124" s="7"/>
    </row>
    <row r="125" spans="2:20" ht="12" customHeight="1" x14ac:dyDescent="0.25">
      <c r="B125" s="840" t="s">
        <v>10369</v>
      </c>
      <c r="C125" s="46">
        <f t="shared" si="15"/>
        <v>21</v>
      </c>
      <c r="D125" s="6"/>
      <c r="E125" s="7"/>
      <c r="G125" s="840" t="s">
        <v>10369</v>
      </c>
      <c r="H125" s="46">
        <f t="shared" si="16"/>
        <v>21</v>
      </c>
      <c r="I125" s="6"/>
      <c r="J125" s="7"/>
      <c r="L125" s="840" t="s">
        <v>10369</v>
      </c>
      <c r="M125" s="46">
        <f t="shared" si="17"/>
        <v>21</v>
      </c>
      <c r="N125" s="6"/>
      <c r="O125" s="7"/>
      <c r="Q125" s="840" t="s">
        <v>10369</v>
      </c>
      <c r="R125" s="46">
        <f t="shared" si="18"/>
        <v>21</v>
      </c>
      <c r="S125" s="6"/>
      <c r="T125" s="7"/>
    </row>
    <row r="126" spans="2:20" ht="12" customHeight="1" x14ac:dyDescent="0.25">
      <c r="B126" s="840" t="s">
        <v>10369</v>
      </c>
      <c r="C126" s="46">
        <f t="shared" si="15"/>
        <v>22</v>
      </c>
      <c r="D126" s="6"/>
      <c r="E126" s="7"/>
      <c r="G126" s="840" t="s">
        <v>10369</v>
      </c>
      <c r="H126" s="46">
        <f t="shared" si="16"/>
        <v>22</v>
      </c>
      <c r="I126" s="6"/>
      <c r="J126" s="7"/>
      <c r="L126" s="840" t="s">
        <v>10369</v>
      </c>
      <c r="M126" s="46">
        <f t="shared" si="17"/>
        <v>22</v>
      </c>
      <c r="N126" s="6"/>
      <c r="O126" s="7"/>
      <c r="Q126" s="840" t="s">
        <v>10369</v>
      </c>
      <c r="R126" s="46">
        <f t="shared" si="18"/>
        <v>22</v>
      </c>
      <c r="S126" s="6"/>
      <c r="T126" s="7"/>
    </row>
    <row r="127" spans="2:20" ht="12" customHeight="1" x14ac:dyDescent="0.25">
      <c r="B127" s="840" t="s">
        <v>10369</v>
      </c>
      <c r="C127" s="46">
        <f t="shared" si="15"/>
        <v>23</v>
      </c>
      <c r="D127" s="6"/>
      <c r="E127" s="7"/>
      <c r="G127" s="840" t="s">
        <v>10369</v>
      </c>
      <c r="H127" s="46">
        <f t="shared" si="16"/>
        <v>23</v>
      </c>
      <c r="I127" s="6"/>
      <c r="J127" s="7"/>
      <c r="L127" s="840" t="s">
        <v>10369</v>
      </c>
      <c r="M127" s="46">
        <f t="shared" si="17"/>
        <v>23</v>
      </c>
      <c r="N127" s="6"/>
      <c r="O127" s="7"/>
      <c r="Q127" s="840" t="s">
        <v>10369</v>
      </c>
      <c r="R127" s="46">
        <f t="shared" si="18"/>
        <v>23</v>
      </c>
      <c r="S127" s="6"/>
      <c r="T127" s="7"/>
    </row>
    <row r="128" spans="2:20" ht="12" customHeight="1" x14ac:dyDescent="0.25">
      <c r="B128" s="840" t="s">
        <v>10369</v>
      </c>
      <c r="C128" s="46">
        <f t="shared" si="15"/>
        <v>24</v>
      </c>
      <c r="D128" s="6"/>
      <c r="E128" s="7"/>
      <c r="G128" s="840" t="s">
        <v>10369</v>
      </c>
      <c r="H128" s="46">
        <f t="shared" si="16"/>
        <v>24</v>
      </c>
      <c r="I128" s="6"/>
      <c r="J128" s="7"/>
      <c r="L128" s="840" t="s">
        <v>10369</v>
      </c>
      <c r="M128" s="46">
        <f t="shared" si="17"/>
        <v>24</v>
      </c>
      <c r="N128" s="6"/>
      <c r="O128" s="7"/>
      <c r="Q128" s="840" t="s">
        <v>10369</v>
      </c>
      <c r="R128" s="46">
        <f t="shared" si="18"/>
        <v>24</v>
      </c>
      <c r="S128" s="6"/>
      <c r="T128" s="7"/>
    </row>
    <row r="129" spans="2:20" ht="12" customHeight="1" x14ac:dyDescent="0.25">
      <c r="B129" s="840" t="s">
        <v>10369</v>
      </c>
      <c r="C129" s="46">
        <f t="shared" ref="C129:C146" si="19">C28</f>
        <v>25</v>
      </c>
      <c r="D129" s="6"/>
      <c r="E129" s="7"/>
      <c r="G129" s="840" t="s">
        <v>10369</v>
      </c>
      <c r="H129" s="46">
        <f t="shared" ref="H129:H146" si="20">H28</f>
        <v>25</v>
      </c>
      <c r="I129" s="6"/>
      <c r="J129" s="7"/>
      <c r="L129" s="840" t="s">
        <v>10369</v>
      </c>
      <c r="M129" s="46">
        <f t="shared" ref="M129:M146" si="21">M28</f>
        <v>25</v>
      </c>
      <c r="N129" s="6"/>
      <c r="O129" s="7"/>
      <c r="Q129" s="840" t="s">
        <v>10369</v>
      </c>
      <c r="R129" s="46">
        <f t="shared" ref="R129:R146" si="22">R28</f>
        <v>25</v>
      </c>
      <c r="S129" s="6"/>
      <c r="T129" s="7"/>
    </row>
    <row r="130" spans="2:20" ht="12" customHeight="1" x14ac:dyDescent="0.25">
      <c r="B130" s="840" t="s">
        <v>10369</v>
      </c>
      <c r="C130" s="46">
        <f t="shared" si="19"/>
        <v>26</v>
      </c>
      <c r="D130" s="6"/>
      <c r="E130" s="7"/>
      <c r="G130" s="840" t="s">
        <v>10369</v>
      </c>
      <c r="H130" s="46">
        <f t="shared" si="20"/>
        <v>26</v>
      </c>
      <c r="I130" s="6"/>
      <c r="J130" s="7"/>
      <c r="L130" s="840" t="s">
        <v>10369</v>
      </c>
      <c r="M130" s="46">
        <f t="shared" si="21"/>
        <v>26</v>
      </c>
      <c r="N130" s="6"/>
      <c r="O130" s="7"/>
      <c r="Q130" s="840" t="s">
        <v>10369</v>
      </c>
      <c r="R130" s="46">
        <f t="shared" si="22"/>
        <v>26</v>
      </c>
      <c r="S130" s="6"/>
      <c r="T130" s="7"/>
    </row>
    <row r="131" spans="2:20" ht="12" customHeight="1" x14ac:dyDescent="0.25">
      <c r="B131" s="840" t="s">
        <v>10369</v>
      </c>
      <c r="C131" s="46">
        <f t="shared" si="19"/>
        <v>27</v>
      </c>
      <c r="D131" s="6"/>
      <c r="E131" s="7"/>
      <c r="G131" s="840" t="s">
        <v>10369</v>
      </c>
      <c r="H131" s="46">
        <f t="shared" si="20"/>
        <v>27</v>
      </c>
      <c r="I131" s="6"/>
      <c r="J131" s="7"/>
      <c r="L131" s="840" t="s">
        <v>10369</v>
      </c>
      <c r="M131" s="46">
        <f t="shared" si="21"/>
        <v>27</v>
      </c>
      <c r="N131" s="6"/>
      <c r="O131" s="7"/>
      <c r="Q131" s="840" t="s">
        <v>10369</v>
      </c>
      <c r="R131" s="46">
        <f t="shared" si="22"/>
        <v>27</v>
      </c>
      <c r="S131" s="6"/>
      <c r="T131" s="7"/>
    </row>
    <row r="132" spans="2:20" ht="12" customHeight="1" x14ac:dyDescent="0.25">
      <c r="B132" s="840" t="s">
        <v>10369</v>
      </c>
      <c r="C132" s="46">
        <f t="shared" si="19"/>
        <v>28</v>
      </c>
      <c r="D132" s="6"/>
      <c r="E132" s="7"/>
      <c r="G132" s="840" t="s">
        <v>10369</v>
      </c>
      <c r="H132" s="46">
        <f t="shared" si="20"/>
        <v>28</v>
      </c>
      <c r="I132" s="6"/>
      <c r="J132" s="7"/>
      <c r="L132" s="840" t="s">
        <v>10369</v>
      </c>
      <c r="M132" s="46">
        <f t="shared" si="21"/>
        <v>28</v>
      </c>
      <c r="N132" s="6"/>
      <c r="O132" s="7"/>
      <c r="Q132" s="840" t="s">
        <v>10369</v>
      </c>
      <c r="R132" s="46">
        <f t="shared" si="22"/>
        <v>28</v>
      </c>
      <c r="S132" s="6"/>
      <c r="T132" s="7"/>
    </row>
    <row r="133" spans="2:20" ht="12" customHeight="1" x14ac:dyDescent="0.25">
      <c r="B133" s="840" t="s">
        <v>10369</v>
      </c>
      <c r="C133" s="46">
        <f t="shared" si="19"/>
        <v>29</v>
      </c>
      <c r="D133" s="6"/>
      <c r="E133" s="7"/>
      <c r="G133" s="840" t="s">
        <v>10369</v>
      </c>
      <c r="H133" s="46">
        <f t="shared" si="20"/>
        <v>29</v>
      </c>
      <c r="I133" s="6"/>
      <c r="J133" s="7"/>
      <c r="L133" s="840" t="s">
        <v>10369</v>
      </c>
      <c r="M133" s="46">
        <f t="shared" si="21"/>
        <v>29</v>
      </c>
      <c r="N133" s="6"/>
      <c r="O133" s="7"/>
      <c r="Q133" s="840" t="s">
        <v>10369</v>
      </c>
      <c r="R133" s="46">
        <f t="shared" si="22"/>
        <v>29</v>
      </c>
      <c r="S133" s="6"/>
      <c r="T133" s="7"/>
    </row>
    <row r="134" spans="2:20" ht="12" customHeight="1" x14ac:dyDescent="0.25">
      <c r="B134" s="840" t="s">
        <v>10369</v>
      </c>
      <c r="C134" s="46">
        <f t="shared" si="19"/>
        <v>30</v>
      </c>
      <c r="D134" s="6"/>
      <c r="E134" s="7"/>
      <c r="G134" s="840" t="s">
        <v>10369</v>
      </c>
      <c r="H134" s="46">
        <f t="shared" si="20"/>
        <v>30</v>
      </c>
      <c r="I134" s="6"/>
      <c r="J134" s="7"/>
      <c r="L134" s="840" t="s">
        <v>10369</v>
      </c>
      <c r="M134" s="46">
        <f t="shared" si="21"/>
        <v>30</v>
      </c>
      <c r="N134" s="6"/>
      <c r="O134" s="7"/>
      <c r="Q134" s="840" t="s">
        <v>10369</v>
      </c>
      <c r="R134" s="46">
        <f t="shared" si="22"/>
        <v>30</v>
      </c>
      <c r="S134" s="6"/>
      <c r="T134" s="7"/>
    </row>
    <row r="135" spans="2:20" ht="12" customHeight="1" x14ac:dyDescent="0.25">
      <c r="B135" s="840" t="s">
        <v>10369</v>
      </c>
      <c r="C135" s="46">
        <f t="shared" si="19"/>
        <v>31</v>
      </c>
      <c r="D135" s="6"/>
      <c r="E135" s="7"/>
      <c r="G135" s="840" t="s">
        <v>10369</v>
      </c>
      <c r="H135" s="46">
        <f t="shared" si="20"/>
        <v>31</v>
      </c>
      <c r="I135" s="6"/>
      <c r="J135" s="7"/>
      <c r="L135" s="840" t="s">
        <v>10369</v>
      </c>
      <c r="M135" s="46">
        <f t="shared" si="21"/>
        <v>31</v>
      </c>
      <c r="N135" s="6"/>
      <c r="O135" s="7"/>
      <c r="Q135" s="840" t="s">
        <v>10369</v>
      </c>
      <c r="R135" s="46">
        <f t="shared" si="22"/>
        <v>31</v>
      </c>
      <c r="S135" s="6"/>
      <c r="T135" s="7"/>
    </row>
    <row r="136" spans="2:20" ht="12" customHeight="1" x14ac:dyDescent="0.25">
      <c r="B136" s="840" t="s">
        <v>10369</v>
      </c>
      <c r="C136" s="46">
        <f t="shared" si="19"/>
        <v>32</v>
      </c>
      <c r="D136" s="6"/>
      <c r="E136" s="7"/>
      <c r="G136" s="840" t="s">
        <v>10369</v>
      </c>
      <c r="H136" s="46">
        <f t="shared" si="20"/>
        <v>32</v>
      </c>
      <c r="I136" s="6"/>
      <c r="J136" s="7"/>
      <c r="L136" s="840" t="s">
        <v>10369</v>
      </c>
      <c r="M136" s="46">
        <f t="shared" si="21"/>
        <v>32</v>
      </c>
      <c r="N136" s="6"/>
      <c r="O136" s="7"/>
      <c r="Q136" s="840" t="s">
        <v>10369</v>
      </c>
      <c r="R136" s="46">
        <f t="shared" si="22"/>
        <v>32</v>
      </c>
      <c r="S136" s="6"/>
      <c r="T136" s="7"/>
    </row>
    <row r="137" spans="2:20" ht="12" customHeight="1" x14ac:dyDescent="0.25">
      <c r="B137" s="840" t="s">
        <v>10369</v>
      </c>
      <c r="C137" s="46">
        <f t="shared" si="19"/>
        <v>33</v>
      </c>
      <c r="D137" s="6"/>
      <c r="E137" s="7"/>
      <c r="G137" s="840" t="s">
        <v>10369</v>
      </c>
      <c r="H137" s="46">
        <f t="shared" si="20"/>
        <v>33</v>
      </c>
      <c r="I137" s="6"/>
      <c r="J137" s="7"/>
      <c r="L137" s="840" t="s">
        <v>10369</v>
      </c>
      <c r="M137" s="46">
        <f t="shared" si="21"/>
        <v>33</v>
      </c>
      <c r="N137" s="6"/>
      <c r="O137" s="7"/>
      <c r="Q137" s="840" t="s">
        <v>10369</v>
      </c>
      <c r="R137" s="46">
        <f t="shared" si="22"/>
        <v>33</v>
      </c>
      <c r="S137" s="6"/>
      <c r="T137" s="7"/>
    </row>
    <row r="138" spans="2:20" ht="12" customHeight="1" x14ac:dyDescent="0.25">
      <c r="B138" s="840" t="s">
        <v>10369</v>
      </c>
      <c r="C138" s="46">
        <f t="shared" si="19"/>
        <v>34</v>
      </c>
      <c r="D138" s="6"/>
      <c r="E138" s="7"/>
      <c r="G138" s="840" t="s">
        <v>10369</v>
      </c>
      <c r="H138" s="46">
        <f t="shared" si="20"/>
        <v>34</v>
      </c>
      <c r="I138" s="6"/>
      <c r="J138" s="7"/>
      <c r="L138" s="840" t="s">
        <v>10369</v>
      </c>
      <c r="M138" s="46">
        <f t="shared" si="21"/>
        <v>34</v>
      </c>
      <c r="N138" s="6"/>
      <c r="O138" s="7"/>
      <c r="Q138" s="840" t="s">
        <v>10369</v>
      </c>
      <c r="R138" s="46">
        <f t="shared" si="22"/>
        <v>34</v>
      </c>
      <c r="S138" s="6"/>
      <c r="T138" s="7"/>
    </row>
    <row r="139" spans="2:20" ht="12" customHeight="1" x14ac:dyDescent="0.25">
      <c r="B139" s="840" t="s">
        <v>10369</v>
      </c>
      <c r="C139" s="46">
        <f t="shared" si="19"/>
        <v>35</v>
      </c>
      <c r="D139" s="6"/>
      <c r="E139" s="7"/>
      <c r="G139" s="840" t="s">
        <v>10369</v>
      </c>
      <c r="H139" s="46">
        <f t="shared" si="20"/>
        <v>35</v>
      </c>
      <c r="I139" s="6"/>
      <c r="J139" s="7"/>
      <c r="L139" s="840" t="s">
        <v>10369</v>
      </c>
      <c r="M139" s="46">
        <f t="shared" si="21"/>
        <v>35</v>
      </c>
      <c r="N139" s="6"/>
      <c r="O139" s="7"/>
      <c r="Q139" s="840" t="s">
        <v>10369</v>
      </c>
      <c r="R139" s="46">
        <f t="shared" si="22"/>
        <v>35</v>
      </c>
      <c r="S139" s="6"/>
      <c r="T139" s="7"/>
    </row>
    <row r="140" spans="2:20" ht="12" customHeight="1" x14ac:dyDescent="0.25">
      <c r="B140" s="840" t="s">
        <v>10369</v>
      </c>
      <c r="C140" s="46">
        <f t="shared" si="19"/>
        <v>36</v>
      </c>
      <c r="D140" s="6"/>
      <c r="E140" s="7"/>
      <c r="G140" s="840" t="s">
        <v>10369</v>
      </c>
      <c r="H140" s="46">
        <f t="shared" si="20"/>
        <v>36</v>
      </c>
      <c r="I140" s="6"/>
      <c r="J140" s="7"/>
      <c r="L140" s="840" t="s">
        <v>10369</v>
      </c>
      <c r="M140" s="46">
        <f t="shared" si="21"/>
        <v>36</v>
      </c>
      <c r="N140" s="6"/>
      <c r="O140" s="7"/>
      <c r="Q140" s="840" t="s">
        <v>10369</v>
      </c>
      <c r="R140" s="46">
        <f t="shared" si="22"/>
        <v>36</v>
      </c>
      <c r="S140" s="6"/>
      <c r="T140" s="7"/>
    </row>
    <row r="141" spans="2:20" ht="12" customHeight="1" x14ac:dyDescent="0.25">
      <c r="B141" s="840" t="s">
        <v>10369</v>
      </c>
      <c r="C141" s="46">
        <f t="shared" si="19"/>
        <v>37</v>
      </c>
      <c r="D141" s="6"/>
      <c r="E141" s="7"/>
      <c r="G141" s="840" t="s">
        <v>10369</v>
      </c>
      <c r="H141" s="46">
        <f t="shared" si="20"/>
        <v>37</v>
      </c>
      <c r="I141" s="6"/>
      <c r="J141" s="7"/>
      <c r="L141" s="840" t="s">
        <v>10369</v>
      </c>
      <c r="M141" s="46">
        <f t="shared" si="21"/>
        <v>37</v>
      </c>
      <c r="N141" s="6"/>
      <c r="O141" s="7"/>
      <c r="Q141" s="840" t="s">
        <v>10369</v>
      </c>
      <c r="R141" s="46">
        <f t="shared" si="22"/>
        <v>37</v>
      </c>
      <c r="S141" s="6"/>
      <c r="T141" s="7"/>
    </row>
    <row r="142" spans="2:20" ht="12" customHeight="1" x14ac:dyDescent="0.25">
      <c r="B142" s="840" t="s">
        <v>10369</v>
      </c>
      <c r="C142" s="46">
        <f t="shared" si="19"/>
        <v>38</v>
      </c>
      <c r="D142" s="6"/>
      <c r="E142" s="7"/>
      <c r="G142" s="840" t="s">
        <v>10369</v>
      </c>
      <c r="H142" s="46">
        <f t="shared" si="20"/>
        <v>38</v>
      </c>
      <c r="I142" s="6"/>
      <c r="J142" s="7"/>
      <c r="L142" s="840" t="s">
        <v>10369</v>
      </c>
      <c r="M142" s="46">
        <f t="shared" si="21"/>
        <v>38</v>
      </c>
      <c r="N142" s="6"/>
      <c r="O142" s="7"/>
      <c r="Q142" s="840" t="s">
        <v>10369</v>
      </c>
      <c r="R142" s="46">
        <f t="shared" si="22"/>
        <v>38</v>
      </c>
      <c r="S142" s="6"/>
      <c r="T142" s="7"/>
    </row>
    <row r="143" spans="2:20" ht="12" customHeight="1" x14ac:dyDescent="0.25">
      <c r="B143" s="840" t="s">
        <v>10369</v>
      </c>
      <c r="C143" s="46">
        <f t="shared" si="19"/>
        <v>39</v>
      </c>
      <c r="D143" s="6"/>
      <c r="E143" s="7"/>
      <c r="G143" s="840" t="s">
        <v>10369</v>
      </c>
      <c r="H143" s="46">
        <f t="shared" si="20"/>
        <v>39</v>
      </c>
      <c r="I143" s="6"/>
      <c r="J143" s="7"/>
      <c r="L143" s="840" t="s">
        <v>10369</v>
      </c>
      <c r="M143" s="46">
        <f t="shared" si="21"/>
        <v>39</v>
      </c>
      <c r="N143" s="6"/>
      <c r="O143" s="7"/>
      <c r="Q143" s="840" t="s">
        <v>10369</v>
      </c>
      <c r="R143" s="46">
        <f t="shared" si="22"/>
        <v>39</v>
      </c>
      <c r="S143" s="6"/>
      <c r="T143" s="7"/>
    </row>
    <row r="144" spans="2:20" ht="12" customHeight="1" x14ac:dyDescent="0.25">
      <c r="B144" s="840" t="s">
        <v>10369</v>
      </c>
      <c r="C144" s="46">
        <f t="shared" si="19"/>
        <v>40</v>
      </c>
      <c r="D144" s="6"/>
      <c r="E144" s="7"/>
      <c r="G144" s="840" t="s">
        <v>10369</v>
      </c>
      <c r="H144" s="46">
        <f t="shared" si="20"/>
        <v>40</v>
      </c>
      <c r="I144" s="6"/>
      <c r="J144" s="7"/>
      <c r="L144" s="840" t="s">
        <v>10369</v>
      </c>
      <c r="M144" s="46">
        <f t="shared" si="21"/>
        <v>40</v>
      </c>
      <c r="N144" s="6"/>
      <c r="O144" s="7"/>
      <c r="Q144" s="840" t="s">
        <v>10369</v>
      </c>
      <c r="R144" s="46">
        <f t="shared" si="22"/>
        <v>40</v>
      </c>
      <c r="S144" s="6"/>
      <c r="T144" s="7"/>
    </row>
    <row r="145" spans="2:20" ht="12" customHeight="1" x14ac:dyDescent="0.25">
      <c r="B145" s="840" t="s">
        <v>10369</v>
      </c>
      <c r="C145" s="46">
        <f t="shared" si="19"/>
        <v>41</v>
      </c>
      <c r="D145" s="6"/>
      <c r="E145" s="7"/>
      <c r="G145" s="840" t="s">
        <v>10369</v>
      </c>
      <c r="H145" s="46">
        <f t="shared" si="20"/>
        <v>41</v>
      </c>
      <c r="I145" s="6"/>
      <c r="J145" s="7"/>
      <c r="L145" s="840" t="s">
        <v>10369</v>
      </c>
      <c r="M145" s="46">
        <f t="shared" si="21"/>
        <v>41</v>
      </c>
      <c r="N145" s="6"/>
      <c r="O145" s="7"/>
      <c r="Q145" s="840" t="s">
        <v>10369</v>
      </c>
      <c r="R145" s="46">
        <f t="shared" si="22"/>
        <v>41</v>
      </c>
      <c r="S145" s="6"/>
      <c r="T145" s="7"/>
    </row>
    <row r="146" spans="2:20" ht="12" customHeight="1" x14ac:dyDescent="0.25">
      <c r="B146" s="840" t="s">
        <v>10369</v>
      </c>
      <c r="C146" s="46">
        <f t="shared" si="19"/>
        <v>42</v>
      </c>
      <c r="D146" s="6"/>
      <c r="E146" s="7"/>
      <c r="G146" s="840" t="s">
        <v>10369</v>
      </c>
      <c r="H146" s="46">
        <f t="shared" si="20"/>
        <v>42</v>
      </c>
      <c r="I146" s="6"/>
      <c r="J146" s="7"/>
      <c r="L146" s="840" t="s">
        <v>10369</v>
      </c>
      <c r="M146" s="46">
        <f t="shared" si="21"/>
        <v>42</v>
      </c>
      <c r="N146" s="6"/>
      <c r="O146" s="7"/>
      <c r="Q146" s="840" t="s">
        <v>10369</v>
      </c>
      <c r="R146" s="46">
        <f t="shared" si="22"/>
        <v>42</v>
      </c>
      <c r="S146" s="6"/>
      <c r="T146" s="7"/>
    </row>
    <row r="147" spans="2:20" x14ac:dyDescent="0.25">
      <c r="B147" s="75" t="s">
        <v>604</v>
      </c>
      <c r="C147" s="46"/>
      <c r="D147" s="6"/>
      <c r="E147" s="7"/>
      <c r="G147" s="75" t="s">
        <v>604</v>
      </c>
      <c r="H147" s="46"/>
      <c r="I147" s="6"/>
      <c r="J147" s="7"/>
      <c r="L147" s="75" t="s">
        <v>604</v>
      </c>
      <c r="M147" s="46"/>
      <c r="N147" s="6"/>
      <c r="O147" s="7"/>
      <c r="Q147" s="75" t="s">
        <v>604</v>
      </c>
      <c r="R147" s="46"/>
      <c r="S147" s="6"/>
      <c r="T147" s="7"/>
    </row>
    <row r="148" spans="2:20" x14ac:dyDescent="0.25">
      <c r="B148" s="75" t="s">
        <v>1082</v>
      </c>
      <c r="C148" s="46"/>
      <c r="D148" s="6"/>
      <c r="E148" s="7"/>
      <c r="G148" s="75" t="s">
        <v>1082</v>
      </c>
      <c r="H148" s="46"/>
      <c r="I148" s="6"/>
      <c r="J148" s="7"/>
      <c r="L148" s="75" t="s">
        <v>1082</v>
      </c>
      <c r="M148" s="46"/>
      <c r="N148" s="6"/>
      <c r="O148" s="7"/>
      <c r="Q148" s="75" t="s">
        <v>1082</v>
      </c>
      <c r="R148" s="46"/>
      <c r="S148" s="6"/>
      <c r="T148" s="7"/>
    </row>
    <row r="149" spans="2:20" x14ac:dyDescent="0.25">
      <c r="B149" s="479" t="s">
        <v>10365</v>
      </c>
      <c r="C149" s="46"/>
      <c r="D149" s="6"/>
      <c r="E149" s="7"/>
      <c r="G149" s="479" t="s">
        <v>10365</v>
      </c>
      <c r="H149" s="46"/>
      <c r="I149" s="6"/>
      <c r="J149" s="7"/>
      <c r="L149" s="479" t="s">
        <v>10365</v>
      </c>
      <c r="M149" s="46"/>
      <c r="N149" s="6"/>
      <c r="O149" s="7"/>
      <c r="Q149" s="479" t="s">
        <v>10365</v>
      </c>
      <c r="R149" s="46"/>
      <c r="S149" s="6"/>
      <c r="T149" s="7"/>
    </row>
    <row r="150" spans="2:20" x14ac:dyDescent="0.25">
      <c r="B150" s="479" t="s">
        <v>10365</v>
      </c>
      <c r="C150" s="46"/>
      <c r="D150" s="6"/>
      <c r="E150" s="7"/>
      <c r="G150" s="479" t="s">
        <v>10365</v>
      </c>
      <c r="H150" s="46"/>
      <c r="I150" s="6"/>
      <c r="J150" s="7"/>
      <c r="L150" s="479" t="s">
        <v>10365</v>
      </c>
      <c r="M150" s="46"/>
      <c r="N150" s="6"/>
      <c r="O150" s="7"/>
      <c r="Q150" s="479" t="s">
        <v>10365</v>
      </c>
      <c r="R150" s="46"/>
      <c r="S150" s="6"/>
      <c r="T150" s="7"/>
    </row>
    <row r="151" spans="2:20" x14ac:dyDescent="0.25">
      <c r="B151" s="479" t="s">
        <v>10365</v>
      </c>
      <c r="C151" s="46"/>
      <c r="D151" s="6"/>
      <c r="E151" s="7"/>
      <c r="G151" s="479" t="s">
        <v>10365</v>
      </c>
      <c r="H151" s="46"/>
      <c r="I151" s="6"/>
      <c r="J151" s="7"/>
      <c r="L151" s="479" t="s">
        <v>10365</v>
      </c>
      <c r="M151" s="46"/>
      <c r="N151" s="6"/>
      <c r="O151" s="7"/>
      <c r="Q151" s="479" t="s">
        <v>10365</v>
      </c>
      <c r="R151" s="46"/>
      <c r="S151" s="6"/>
      <c r="T151" s="7"/>
    </row>
    <row r="152" spans="2:20" x14ac:dyDescent="0.25">
      <c r="B152" s="479" t="s">
        <v>10365</v>
      </c>
      <c r="C152" s="46"/>
      <c r="D152" s="6"/>
      <c r="E152" s="7"/>
      <c r="G152" s="479" t="s">
        <v>10365</v>
      </c>
      <c r="H152" s="46"/>
      <c r="I152" s="6"/>
      <c r="J152" s="7"/>
      <c r="L152" s="479" t="s">
        <v>10365</v>
      </c>
      <c r="M152" s="46"/>
      <c r="N152" s="6"/>
      <c r="O152" s="7"/>
      <c r="Q152" s="479" t="s">
        <v>10365</v>
      </c>
      <c r="R152" s="46"/>
      <c r="S152" s="6"/>
      <c r="T152" s="7"/>
    </row>
    <row r="153" spans="2:20" x14ac:dyDescent="0.25">
      <c r="B153" s="479" t="s">
        <v>10365</v>
      </c>
      <c r="C153" s="46"/>
      <c r="D153" s="6"/>
      <c r="E153" s="7"/>
      <c r="G153" s="479" t="s">
        <v>10365</v>
      </c>
      <c r="H153" s="46"/>
      <c r="I153" s="6"/>
      <c r="J153" s="7"/>
      <c r="L153" s="479" t="s">
        <v>10365</v>
      </c>
      <c r="M153" s="46"/>
      <c r="N153" s="6"/>
      <c r="O153" s="7"/>
      <c r="Q153" s="479" t="s">
        <v>10365</v>
      </c>
      <c r="R153" s="46"/>
      <c r="S153" s="6"/>
      <c r="T153" s="7"/>
    </row>
    <row r="154" spans="2:20" x14ac:dyDescent="0.25">
      <c r="B154" s="75" t="s">
        <v>42</v>
      </c>
      <c r="C154" s="46"/>
      <c r="D154" s="6"/>
      <c r="E154" s="7"/>
      <c r="G154" s="75" t="s">
        <v>42</v>
      </c>
      <c r="H154" s="46"/>
      <c r="I154" s="6"/>
      <c r="J154" s="7"/>
      <c r="L154" s="75" t="s">
        <v>42</v>
      </c>
      <c r="M154" s="46"/>
      <c r="N154" s="6"/>
      <c r="O154" s="7"/>
      <c r="Q154" s="75" t="s">
        <v>42</v>
      </c>
      <c r="R154" s="46"/>
      <c r="S154" s="6"/>
      <c r="T154" s="7"/>
    </row>
    <row r="155" spans="2:20" x14ac:dyDescent="0.25">
      <c r="B155" s="479" t="s">
        <v>10366</v>
      </c>
      <c r="C155" s="46"/>
      <c r="D155" s="6"/>
      <c r="E155" s="7"/>
      <c r="G155" s="479" t="s">
        <v>10366</v>
      </c>
      <c r="H155" s="46"/>
      <c r="I155" s="6"/>
      <c r="J155" s="7"/>
      <c r="L155" s="479" t="s">
        <v>10366</v>
      </c>
      <c r="M155" s="46"/>
      <c r="N155" s="6"/>
      <c r="O155" s="7"/>
      <c r="Q155" s="479" t="s">
        <v>10366</v>
      </c>
      <c r="R155" s="46"/>
      <c r="S155" s="6"/>
      <c r="T155" s="7"/>
    </row>
    <row r="156" spans="2:20" x14ac:dyDescent="0.25">
      <c r="B156" s="479" t="s">
        <v>10366</v>
      </c>
      <c r="C156" s="46"/>
      <c r="D156" s="6"/>
      <c r="E156" s="7"/>
      <c r="G156" s="479" t="s">
        <v>10366</v>
      </c>
      <c r="H156" s="46"/>
      <c r="I156" s="6"/>
      <c r="J156" s="7"/>
      <c r="L156" s="479" t="s">
        <v>10366</v>
      </c>
      <c r="M156" s="46"/>
      <c r="N156" s="6"/>
      <c r="O156" s="7"/>
      <c r="Q156" s="479" t="s">
        <v>10366</v>
      </c>
      <c r="R156" s="46"/>
      <c r="S156" s="6"/>
      <c r="T156" s="7"/>
    </row>
    <row r="157" spans="2:20" x14ac:dyDescent="0.25">
      <c r="B157" s="479" t="s">
        <v>10366</v>
      </c>
      <c r="C157" s="46"/>
      <c r="D157" s="6"/>
      <c r="E157" s="7"/>
      <c r="G157" s="479" t="s">
        <v>10366</v>
      </c>
      <c r="H157" s="46"/>
      <c r="I157" s="6"/>
      <c r="J157" s="7"/>
      <c r="L157" s="479" t="s">
        <v>10366</v>
      </c>
      <c r="M157" s="46"/>
      <c r="N157" s="6"/>
      <c r="O157" s="7"/>
      <c r="Q157" s="479" t="s">
        <v>10366</v>
      </c>
      <c r="R157" s="46"/>
      <c r="S157" s="6"/>
      <c r="T157" s="7"/>
    </row>
    <row r="158" spans="2:20" x14ac:dyDescent="0.25">
      <c r="B158" s="479" t="s">
        <v>10366</v>
      </c>
      <c r="C158" s="46"/>
      <c r="D158" s="6"/>
      <c r="E158" s="7"/>
      <c r="G158" s="479" t="s">
        <v>10366</v>
      </c>
      <c r="H158" s="46"/>
      <c r="I158" s="6"/>
      <c r="J158" s="7"/>
      <c r="L158" s="479" t="s">
        <v>10366</v>
      </c>
      <c r="M158" s="46"/>
      <c r="N158" s="6"/>
      <c r="O158" s="7"/>
      <c r="Q158" s="479" t="s">
        <v>10366</v>
      </c>
      <c r="R158" s="46"/>
      <c r="S158" s="6"/>
      <c r="T158" s="7"/>
    </row>
    <row r="159" spans="2:20" x14ac:dyDescent="0.25">
      <c r="B159" s="479" t="s">
        <v>10366</v>
      </c>
      <c r="C159" s="46"/>
      <c r="D159" s="6"/>
      <c r="E159" s="7"/>
      <c r="G159" s="479" t="s">
        <v>10366</v>
      </c>
      <c r="H159" s="46"/>
      <c r="I159" s="6"/>
      <c r="J159" s="7"/>
      <c r="L159" s="479" t="s">
        <v>10366</v>
      </c>
      <c r="M159" s="46"/>
      <c r="N159" s="6"/>
      <c r="O159" s="7"/>
      <c r="Q159" s="479" t="s">
        <v>10366</v>
      </c>
      <c r="R159" s="46"/>
      <c r="S159" s="6"/>
      <c r="T159" s="7"/>
    </row>
    <row r="160" spans="2:20" x14ac:dyDescent="0.25">
      <c r="B160" s="75" t="s">
        <v>194</v>
      </c>
      <c r="C160" s="46"/>
      <c r="D160" s="6"/>
      <c r="E160" s="7"/>
      <c r="G160" s="75" t="s">
        <v>194</v>
      </c>
      <c r="H160" s="46"/>
      <c r="I160" s="6"/>
      <c r="J160" s="7"/>
      <c r="L160" s="75" t="s">
        <v>194</v>
      </c>
      <c r="M160" s="46"/>
      <c r="N160" s="6"/>
      <c r="O160" s="7"/>
      <c r="Q160" s="75" t="s">
        <v>194</v>
      </c>
      <c r="R160" s="46"/>
      <c r="S160" s="6"/>
      <c r="T160" s="7"/>
    </row>
    <row r="161" spans="2:20" x14ac:dyDescent="0.25">
      <c r="B161" s="75" t="s">
        <v>10364</v>
      </c>
      <c r="C161" s="46"/>
      <c r="D161" s="6"/>
      <c r="E161" s="7"/>
      <c r="G161" s="75" t="s">
        <v>10364</v>
      </c>
      <c r="H161" s="46"/>
      <c r="I161" s="6"/>
      <c r="J161" s="7"/>
      <c r="L161" s="75" t="s">
        <v>10364</v>
      </c>
      <c r="M161" s="46"/>
      <c r="N161" s="6"/>
      <c r="O161" s="7"/>
      <c r="Q161" s="75" t="s">
        <v>10364</v>
      </c>
      <c r="R161" s="46"/>
      <c r="S161" s="6"/>
      <c r="T161" s="7"/>
    </row>
    <row r="162" spans="2:20" x14ac:dyDescent="0.25">
      <c r="B162" s="479" t="s">
        <v>10367</v>
      </c>
      <c r="C162" s="46"/>
      <c r="D162" s="6"/>
      <c r="E162" s="7"/>
      <c r="G162" s="479" t="s">
        <v>10367</v>
      </c>
      <c r="H162" s="46"/>
      <c r="I162" s="6"/>
      <c r="J162" s="7"/>
      <c r="L162" s="479" t="s">
        <v>10367</v>
      </c>
      <c r="M162" s="46"/>
      <c r="N162" s="6"/>
      <c r="O162" s="7"/>
      <c r="Q162" s="479" t="s">
        <v>10367</v>
      </c>
      <c r="R162" s="46"/>
      <c r="S162" s="6"/>
      <c r="T162" s="7"/>
    </row>
    <row r="163" spans="2:20" x14ac:dyDescent="0.25">
      <c r="B163" s="479" t="s">
        <v>10367</v>
      </c>
      <c r="C163" s="46"/>
      <c r="D163" s="6"/>
      <c r="E163" s="7"/>
      <c r="G163" s="479" t="s">
        <v>10367</v>
      </c>
      <c r="H163" s="46"/>
      <c r="I163" s="6"/>
      <c r="J163" s="7"/>
      <c r="L163" s="479" t="s">
        <v>10367</v>
      </c>
      <c r="M163" s="46"/>
      <c r="N163" s="6"/>
      <c r="O163" s="7"/>
      <c r="Q163" s="479" t="s">
        <v>10367</v>
      </c>
      <c r="R163" s="46"/>
      <c r="S163" s="6"/>
      <c r="T163" s="7"/>
    </row>
    <row r="164" spans="2:20" x14ac:dyDescent="0.25">
      <c r="B164" s="479" t="s">
        <v>10367</v>
      </c>
      <c r="C164" s="46"/>
      <c r="D164" s="6"/>
      <c r="E164" s="7"/>
      <c r="G164" s="479" t="s">
        <v>10367</v>
      </c>
      <c r="H164" s="46"/>
      <c r="I164" s="6"/>
      <c r="J164" s="7"/>
      <c r="L164" s="479" t="s">
        <v>10367</v>
      </c>
      <c r="M164" s="46"/>
      <c r="N164" s="6"/>
      <c r="O164" s="7"/>
      <c r="Q164" s="479" t="s">
        <v>10367</v>
      </c>
      <c r="R164" s="46"/>
      <c r="S164" s="6"/>
      <c r="T164" s="7"/>
    </row>
    <row r="165" spans="2:20" x14ac:dyDescent="0.25">
      <c r="B165" s="479" t="s">
        <v>10367</v>
      </c>
      <c r="C165" s="46"/>
      <c r="D165" s="6"/>
      <c r="E165" s="7"/>
      <c r="G165" s="479" t="s">
        <v>10367</v>
      </c>
      <c r="H165" s="46"/>
      <c r="I165" s="6"/>
      <c r="J165" s="7"/>
      <c r="L165" s="479" t="s">
        <v>10367</v>
      </c>
      <c r="M165" s="46"/>
      <c r="N165" s="6"/>
      <c r="O165" s="7"/>
      <c r="Q165" s="479" t="s">
        <v>10367</v>
      </c>
      <c r="R165" s="46"/>
      <c r="S165" s="6"/>
      <c r="T165" s="7"/>
    </row>
    <row r="166" spans="2:20" x14ac:dyDescent="0.25">
      <c r="B166" s="479" t="s">
        <v>10367</v>
      </c>
      <c r="C166" s="46"/>
      <c r="D166" s="6"/>
      <c r="E166" s="7"/>
      <c r="G166" s="479" t="s">
        <v>10367</v>
      </c>
      <c r="H166" s="46"/>
      <c r="I166" s="6"/>
      <c r="J166" s="7"/>
      <c r="L166" s="479" t="s">
        <v>10367</v>
      </c>
      <c r="M166" s="46"/>
      <c r="N166" s="6"/>
      <c r="O166" s="7"/>
      <c r="Q166" s="479" t="s">
        <v>10367</v>
      </c>
      <c r="R166" s="46"/>
      <c r="S166" s="6"/>
      <c r="T166" s="7"/>
    </row>
    <row r="167" spans="2:20" x14ac:dyDescent="0.25">
      <c r="B167" s="75" t="s">
        <v>126</v>
      </c>
      <c r="C167" s="46"/>
      <c r="D167" s="6"/>
      <c r="E167" s="7"/>
      <c r="G167" s="75" t="s">
        <v>126</v>
      </c>
      <c r="H167" s="46"/>
      <c r="I167" s="6"/>
      <c r="J167" s="7"/>
      <c r="L167" s="75" t="s">
        <v>126</v>
      </c>
      <c r="M167" s="46"/>
      <c r="N167" s="6"/>
      <c r="O167" s="7"/>
      <c r="Q167" s="75" t="s">
        <v>126</v>
      </c>
      <c r="R167" s="46"/>
      <c r="S167" s="6"/>
      <c r="T167" s="7"/>
    </row>
    <row r="168" spans="2:20" x14ac:dyDescent="0.25">
      <c r="B168" s="479" t="s">
        <v>10368</v>
      </c>
      <c r="C168" s="46"/>
      <c r="D168" s="6"/>
      <c r="E168" s="7"/>
      <c r="G168" s="479" t="s">
        <v>10368</v>
      </c>
      <c r="H168" s="46"/>
      <c r="I168" s="6"/>
      <c r="J168" s="7"/>
      <c r="L168" s="479" t="s">
        <v>10368</v>
      </c>
      <c r="M168" s="46"/>
      <c r="N168" s="6"/>
      <c r="O168" s="7"/>
      <c r="Q168" s="479" t="s">
        <v>10368</v>
      </c>
      <c r="R168" s="46"/>
      <c r="S168" s="6"/>
      <c r="T168" s="7"/>
    </row>
    <row r="169" spans="2:20" x14ac:dyDescent="0.25">
      <c r="B169" s="479" t="s">
        <v>10368</v>
      </c>
      <c r="C169" s="46"/>
      <c r="D169" s="6"/>
      <c r="E169" s="7"/>
      <c r="G169" s="479" t="s">
        <v>10368</v>
      </c>
      <c r="H169" s="46"/>
      <c r="I169" s="6"/>
      <c r="J169" s="7"/>
      <c r="L169" s="479" t="s">
        <v>10368</v>
      </c>
      <c r="M169" s="46"/>
      <c r="N169" s="6"/>
      <c r="O169" s="7"/>
      <c r="Q169" s="479" t="s">
        <v>10368</v>
      </c>
      <c r="R169" s="46"/>
      <c r="S169" s="6"/>
      <c r="T169" s="7"/>
    </row>
    <row r="170" spans="2:20" x14ac:dyDescent="0.25">
      <c r="B170" s="479" t="s">
        <v>10368</v>
      </c>
      <c r="C170" s="46"/>
      <c r="D170" s="6"/>
      <c r="E170" s="7"/>
      <c r="G170" s="479" t="s">
        <v>10368</v>
      </c>
      <c r="H170" s="46"/>
      <c r="I170" s="6"/>
      <c r="J170" s="7"/>
      <c r="L170" s="479" t="s">
        <v>10368</v>
      </c>
      <c r="M170" s="46"/>
      <c r="N170" s="6"/>
      <c r="O170" s="7"/>
      <c r="Q170" s="479" t="s">
        <v>10368</v>
      </c>
      <c r="R170" s="46"/>
      <c r="S170" s="6"/>
      <c r="T170" s="7"/>
    </row>
    <row r="171" spans="2:20" x14ac:dyDescent="0.25">
      <c r="B171" s="479" t="s">
        <v>10368</v>
      </c>
      <c r="C171" s="46"/>
      <c r="D171" s="6"/>
      <c r="E171" s="7"/>
      <c r="G171" s="479" t="s">
        <v>10368</v>
      </c>
      <c r="H171" s="46"/>
      <c r="I171" s="6"/>
      <c r="J171" s="7"/>
      <c r="L171" s="479" t="s">
        <v>10368</v>
      </c>
      <c r="M171" s="46"/>
      <c r="N171" s="6"/>
      <c r="O171" s="7"/>
      <c r="Q171" s="479" t="s">
        <v>10368</v>
      </c>
      <c r="R171" s="46"/>
      <c r="S171" s="6"/>
      <c r="T171" s="7"/>
    </row>
    <row r="172" spans="2:20" x14ac:dyDescent="0.25">
      <c r="B172" s="479" t="s">
        <v>10368</v>
      </c>
      <c r="C172" s="46"/>
      <c r="D172" s="6"/>
      <c r="E172" s="7"/>
      <c r="G172" s="479" t="s">
        <v>10368</v>
      </c>
      <c r="H172" s="46"/>
      <c r="I172" s="6"/>
      <c r="J172" s="7"/>
      <c r="L172" s="479" t="s">
        <v>10368</v>
      </c>
      <c r="M172" s="46"/>
      <c r="N172" s="6"/>
      <c r="O172" s="7"/>
      <c r="Q172" s="479" t="s">
        <v>10368</v>
      </c>
      <c r="R172" s="46"/>
      <c r="S172" s="6"/>
      <c r="T172" s="7"/>
    </row>
    <row r="173" spans="2:20" x14ac:dyDescent="0.25">
      <c r="B173" s="75" t="s">
        <v>29</v>
      </c>
      <c r="C173" s="46"/>
      <c r="D173" s="6"/>
      <c r="E173" s="7"/>
      <c r="G173" s="75" t="s">
        <v>29</v>
      </c>
      <c r="H173" s="46"/>
      <c r="I173" s="6"/>
      <c r="J173" s="7"/>
      <c r="L173" s="75" t="s">
        <v>29</v>
      </c>
      <c r="M173" s="46"/>
      <c r="N173" s="6"/>
      <c r="O173" s="7"/>
      <c r="Q173" s="75" t="s">
        <v>29</v>
      </c>
      <c r="R173" s="46"/>
      <c r="S173" s="6"/>
      <c r="T173" s="7"/>
    </row>
    <row r="174" spans="2:20" x14ac:dyDescent="0.25">
      <c r="B174" s="75" t="s">
        <v>606</v>
      </c>
      <c r="C174" s="46"/>
      <c r="D174" s="6"/>
      <c r="E174" s="7"/>
      <c r="G174" s="75" t="s">
        <v>606</v>
      </c>
      <c r="H174" s="46"/>
      <c r="I174" s="6"/>
      <c r="J174" s="7"/>
      <c r="L174" s="75" t="s">
        <v>606</v>
      </c>
      <c r="M174" s="46"/>
      <c r="N174" s="6"/>
      <c r="O174" s="7"/>
      <c r="Q174" s="75" t="s">
        <v>606</v>
      </c>
      <c r="R174" s="46"/>
      <c r="S174" s="6"/>
      <c r="T174" s="7"/>
    </row>
    <row r="175" spans="2:20" x14ac:dyDescent="0.25">
      <c r="B175" s="75" t="s">
        <v>607</v>
      </c>
      <c r="C175" s="46"/>
      <c r="D175" s="6"/>
      <c r="E175" s="7"/>
      <c r="G175" s="75" t="s">
        <v>607</v>
      </c>
      <c r="H175" s="46"/>
      <c r="I175" s="6"/>
      <c r="J175" s="7"/>
      <c r="L175" s="75" t="s">
        <v>607</v>
      </c>
      <c r="M175" s="46"/>
      <c r="N175" s="6"/>
      <c r="O175" s="7"/>
      <c r="Q175" s="75" t="s">
        <v>607</v>
      </c>
      <c r="R175" s="46"/>
      <c r="S175" s="6"/>
      <c r="T175" s="7"/>
    </row>
    <row r="176" spans="2:20" x14ac:dyDescent="0.25">
      <c r="B176" s="75" t="s">
        <v>608</v>
      </c>
      <c r="C176" s="46"/>
      <c r="D176" s="6"/>
      <c r="E176" s="7"/>
      <c r="G176" s="75" t="s">
        <v>608</v>
      </c>
      <c r="H176" s="46"/>
      <c r="I176" s="6"/>
      <c r="J176" s="7"/>
      <c r="L176" s="75" t="s">
        <v>608</v>
      </c>
      <c r="M176" s="46"/>
      <c r="N176" s="6"/>
      <c r="O176" s="7"/>
      <c r="Q176" s="75" t="s">
        <v>608</v>
      </c>
      <c r="R176" s="46"/>
      <c r="S176" s="6"/>
      <c r="T176" s="7"/>
    </row>
    <row r="177" spans="2:23" x14ac:dyDescent="0.25">
      <c r="B177" s="75" t="s">
        <v>127</v>
      </c>
      <c r="C177" s="46"/>
      <c r="D177" s="6"/>
      <c r="E177" s="7"/>
      <c r="G177" s="75" t="s">
        <v>127</v>
      </c>
      <c r="H177" s="46"/>
      <c r="I177" s="6"/>
      <c r="J177" s="7"/>
      <c r="L177" s="75" t="s">
        <v>127</v>
      </c>
      <c r="M177" s="46"/>
      <c r="N177" s="6"/>
      <c r="O177" s="7"/>
      <c r="Q177" s="75" t="s">
        <v>127</v>
      </c>
      <c r="R177" s="46"/>
      <c r="S177" s="6"/>
      <c r="T177" s="7"/>
    </row>
    <row r="178" spans="2:23" x14ac:dyDescent="0.25">
      <c r="B178" s="75" t="s">
        <v>128</v>
      </c>
      <c r="C178" s="46"/>
      <c r="D178" s="6"/>
      <c r="E178" s="7"/>
      <c r="G178" s="75" t="s">
        <v>128</v>
      </c>
      <c r="H178" s="46"/>
      <c r="I178" s="6"/>
      <c r="J178" s="7"/>
      <c r="L178" s="75" t="s">
        <v>128</v>
      </c>
      <c r="M178" s="46"/>
      <c r="N178" s="6"/>
      <c r="O178" s="7"/>
      <c r="Q178" s="75" t="s">
        <v>128</v>
      </c>
      <c r="R178" s="46"/>
      <c r="S178" s="6"/>
      <c r="T178" s="7"/>
    </row>
    <row r="179" spans="2:23" x14ac:dyDescent="0.25">
      <c r="B179" s="75" t="s">
        <v>1182</v>
      </c>
      <c r="C179" s="46"/>
      <c r="D179" s="6"/>
      <c r="E179" s="7"/>
      <c r="G179" s="75" t="s">
        <v>1182</v>
      </c>
      <c r="H179" s="46"/>
      <c r="I179" s="6"/>
      <c r="J179" s="7"/>
      <c r="L179" s="75" t="s">
        <v>1182</v>
      </c>
      <c r="M179" s="46"/>
      <c r="N179" s="6"/>
      <c r="O179" s="7"/>
      <c r="Q179" s="75" t="s">
        <v>1182</v>
      </c>
      <c r="R179" s="46"/>
      <c r="S179" s="6"/>
      <c r="T179" s="7"/>
    </row>
    <row r="180" spans="2:23" x14ac:dyDescent="0.25">
      <c r="B180" s="1867" t="s">
        <v>57</v>
      </c>
      <c r="C180" s="1867"/>
      <c r="D180" s="1867"/>
      <c r="E180" s="4">
        <f>SUM(E101:E179)</f>
        <v>0</v>
      </c>
      <c r="G180" s="1867" t="s">
        <v>57</v>
      </c>
      <c r="H180" s="1867"/>
      <c r="I180" s="1867"/>
      <c r="J180" s="4">
        <f>SUM(J57:J179)</f>
        <v>0</v>
      </c>
      <c r="L180" s="1867" t="s">
        <v>57</v>
      </c>
      <c r="M180" s="1867"/>
      <c r="N180" s="1867"/>
      <c r="O180" s="4">
        <f>SUM(O57:O179)</f>
        <v>0</v>
      </c>
      <c r="Q180" s="1867" t="s">
        <v>57</v>
      </c>
      <c r="R180" s="1867"/>
      <c r="S180" s="1867"/>
      <c r="T180" s="4">
        <f>SUM(T57:T179)</f>
        <v>0</v>
      </c>
    </row>
    <row r="181" spans="2:23" x14ac:dyDescent="0.25">
      <c r="D181" s="50" t="s">
        <v>58</v>
      </c>
      <c r="I181" s="50" t="s">
        <v>58</v>
      </c>
      <c r="N181" s="50" t="s">
        <v>58</v>
      </c>
      <c r="S181" s="50" t="s">
        <v>58</v>
      </c>
    </row>
    <row r="182" spans="2:23" x14ac:dyDescent="0.25">
      <c r="B182" s="792" t="s">
        <v>54</v>
      </c>
      <c r="C182" s="793"/>
      <c r="D182" s="794">
        <f>E182/21</f>
        <v>30.209523809523809</v>
      </c>
      <c r="E182" s="795">
        <f>'B 1'!U94</f>
        <v>634.4</v>
      </c>
      <c r="G182" s="804" t="s">
        <v>10352</v>
      </c>
      <c r="H182" s="805"/>
      <c r="I182" s="806">
        <f>J182/21</f>
        <v>0</v>
      </c>
      <c r="J182" s="807">
        <f>'B 1'!Z94</f>
        <v>0</v>
      </c>
      <c r="L182" s="816" t="s">
        <v>10353</v>
      </c>
      <c r="M182" s="817"/>
      <c r="N182" s="818" t="e">
        <f>O182/21</f>
        <v>#VALUE!</v>
      </c>
      <c r="O182" s="819" t="str">
        <f>'B 1'!AF94</f>
        <v>Project Total:</v>
      </c>
      <c r="Q182" s="828" t="s">
        <v>10354</v>
      </c>
      <c r="R182" s="829"/>
      <c r="S182" s="830">
        <f>T182/21</f>
        <v>30.209523985005891</v>
      </c>
      <c r="T182" s="831">
        <f>'B 1'!AK94</f>
        <v>634.40000368512369</v>
      </c>
    </row>
    <row r="183" spans="2:23" x14ac:dyDescent="0.25">
      <c r="B183" s="796" t="s">
        <v>53</v>
      </c>
      <c r="C183" s="797"/>
      <c r="D183" s="798">
        <f>E183/21</f>
        <v>0</v>
      </c>
      <c r="E183" s="799">
        <f>E54+E180</f>
        <v>0</v>
      </c>
      <c r="G183" s="808" t="s">
        <v>53</v>
      </c>
      <c r="H183" s="809"/>
      <c r="I183" s="810">
        <f>J183/21</f>
        <v>0</v>
      </c>
      <c r="J183" s="811">
        <f>J54+J180</f>
        <v>0</v>
      </c>
      <c r="L183" s="820" t="s">
        <v>53</v>
      </c>
      <c r="M183" s="821"/>
      <c r="N183" s="822">
        <f>O183/21</f>
        <v>0</v>
      </c>
      <c r="O183" s="823">
        <f>O54+O180</f>
        <v>0</v>
      </c>
      <c r="Q183" s="832" t="s">
        <v>53</v>
      </c>
      <c r="R183" s="833"/>
      <c r="S183" s="834">
        <f>T183/21</f>
        <v>0</v>
      </c>
      <c r="T183" s="835">
        <f>T54+T180</f>
        <v>0</v>
      </c>
      <c r="W183" s="5"/>
    </row>
    <row r="184" spans="2:23" ht="18.75" x14ac:dyDescent="0.3">
      <c r="B184" s="800" t="s">
        <v>10340</v>
      </c>
      <c r="C184" s="801"/>
      <c r="D184" s="802"/>
      <c r="E184" s="803">
        <f>E182-E183</f>
        <v>634.4</v>
      </c>
      <c r="G184" s="812" t="s">
        <v>10340</v>
      </c>
      <c r="H184" s="813"/>
      <c r="I184" s="814"/>
      <c r="J184" s="815">
        <f>J182-J183</f>
        <v>0</v>
      </c>
      <c r="L184" s="824" t="s">
        <v>10340</v>
      </c>
      <c r="M184" s="825"/>
      <c r="N184" s="826"/>
      <c r="O184" s="827" t="e">
        <f>O182-O183</f>
        <v>#VALUE!</v>
      </c>
      <c r="Q184" s="836" t="s">
        <v>10340</v>
      </c>
      <c r="R184" s="837"/>
      <c r="S184" s="838"/>
      <c r="T184" s="839">
        <f>T182-T183</f>
        <v>634.40000368512369</v>
      </c>
    </row>
  </sheetData>
  <mergeCells count="28">
    <mergeCell ref="G180:I180"/>
    <mergeCell ref="L1:O1"/>
    <mergeCell ref="Q1:T1"/>
    <mergeCell ref="L2:O2"/>
    <mergeCell ref="Q2:T2"/>
    <mergeCell ref="L54:N54"/>
    <mergeCell ref="Q54:S54"/>
    <mergeCell ref="L55:O55"/>
    <mergeCell ref="Q55:T55"/>
    <mergeCell ref="L180:N180"/>
    <mergeCell ref="Q180:S180"/>
    <mergeCell ref="G99:I99"/>
    <mergeCell ref="L99:N99"/>
    <mergeCell ref="Q99:S99"/>
    <mergeCell ref="G100:J100"/>
    <mergeCell ref="G1:J1"/>
    <mergeCell ref="G2:J2"/>
    <mergeCell ref="G54:I54"/>
    <mergeCell ref="L100:O100"/>
    <mergeCell ref="Q100:T100"/>
    <mergeCell ref="G55:J55"/>
    <mergeCell ref="B180:D180"/>
    <mergeCell ref="B1:E1"/>
    <mergeCell ref="B2:E2"/>
    <mergeCell ref="B54:D54"/>
    <mergeCell ref="B55:E55"/>
    <mergeCell ref="B99:D99"/>
    <mergeCell ref="B100:E100"/>
  </mergeCells>
  <phoneticPr fontId="57" type="noConversion"/>
  <pageMargins left="0.7" right="0.7" top="0.75" bottom="0.75" header="0.3" footer="0.3"/>
  <pageSetup orientation="landscape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88DDFA-03BE-4537-8311-AF2C8E9E8481}">
  <sheetPr codeName="Sheet8"/>
  <dimension ref="A1:I119"/>
  <sheetViews>
    <sheetView workbookViewId="0"/>
  </sheetViews>
  <sheetFormatPr defaultRowHeight="15" x14ac:dyDescent="0.25"/>
  <cols>
    <col min="1" max="1" width="38" customWidth="1"/>
    <col min="8" max="8" width="27" customWidth="1"/>
    <col min="9" max="9" width="21.5703125" customWidth="1"/>
  </cols>
  <sheetData>
    <row r="1" spans="1:9" x14ac:dyDescent="0.25">
      <c r="A1" s="9" t="s">
        <v>422</v>
      </c>
      <c r="B1" s="51" t="s">
        <v>192</v>
      </c>
      <c r="C1" s="53" t="s">
        <v>372</v>
      </c>
    </row>
    <row r="2" spans="1:9" x14ac:dyDescent="0.25">
      <c r="A2" s="9" t="s">
        <v>436</v>
      </c>
    </row>
    <row r="3" spans="1:9" x14ac:dyDescent="0.25">
      <c r="A3" t="s">
        <v>414</v>
      </c>
      <c r="B3" s="56">
        <v>200</v>
      </c>
      <c r="C3" s="58">
        <v>199.1</v>
      </c>
      <c r="H3" s="9" t="s">
        <v>507</v>
      </c>
      <c r="I3" s="9" t="s">
        <v>487</v>
      </c>
    </row>
    <row r="4" spans="1:9" x14ac:dyDescent="0.25">
      <c r="A4" t="s">
        <v>415</v>
      </c>
      <c r="B4" s="56">
        <v>200</v>
      </c>
      <c r="C4" s="58">
        <v>254.32</v>
      </c>
      <c r="H4" t="s">
        <v>470</v>
      </c>
      <c r="I4" t="s">
        <v>494</v>
      </c>
    </row>
    <row r="5" spans="1:9" x14ac:dyDescent="0.25">
      <c r="A5" t="s">
        <v>416</v>
      </c>
      <c r="B5" s="56">
        <v>200</v>
      </c>
      <c r="C5" s="58">
        <v>199.92</v>
      </c>
      <c r="H5" t="s">
        <v>471</v>
      </c>
      <c r="I5" t="s">
        <v>490</v>
      </c>
    </row>
    <row r="6" spans="1:9" x14ac:dyDescent="0.25">
      <c r="A6" t="s">
        <v>417</v>
      </c>
      <c r="B6" s="56">
        <v>200</v>
      </c>
      <c r="C6" s="58">
        <v>252.96</v>
      </c>
      <c r="H6" t="s">
        <v>134</v>
      </c>
      <c r="I6" t="s">
        <v>498</v>
      </c>
    </row>
    <row r="7" spans="1:9" x14ac:dyDescent="0.25">
      <c r="A7" t="s">
        <v>418</v>
      </c>
      <c r="B7" s="56">
        <v>100</v>
      </c>
      <c r="C7" s="58">
        <v>122.06</v>
      </c>
      <c r="H7" t="s">
        <v>482</v>
      </c>
      <c r="I7" t="s">
        <v>495</v>
      </c>
    </row>
    <row r="8" spans="1:9" x14ac:dyDescent="0.25">
      <c r="A8" t="s">
        <v>419</v>
      </c>
      <c r="B8" s="56">
        <v>100</v>
      </c>
      <c r="C8" s="58">
        <v>164.73</v>
      </c>
      <c r="H8" t="s">
        <v>483</v>
      </c>
      <c r="I8" t="s">
        <v>500</v>
      </c>
    </row>
    <row r="9" spans="1:9" x14ac:dyDescent="0.25">
      <c r="A9" s="9" t="s">
        <v>437</v>
      </c>
      <c r="B9" s="57"/>
      <c r="C9" s="57"/>
      <c r="H9" t="s">
        <v>481</v>
      </c>
      <c r="I9" t="s">
        <v>504</v>
      </c>
    </row>
    <row r="10" spans="1:9" x14ac:dyDescent="0.25">
      <c r="A10" t="s">
        <v>420</v>
      </c>
      <c r="B10" s="56">
        <v>200</v>
      </c>
      <c r="C10" s="58">
        <v>410.3</v>
      </c>
      <c r="H10" t="s">
        <v>479</v>
      </c>
      <c r="I10" t="s">
        <v>505</v>
      </c>
    </row>
    <row r="11" spans="1:9" x14ac:dyDescent="0.25">
      <c r="A11" t="s">
        <v>421</v>
      </c>
      <c r="B11" s="56">
        <v>200</v>
      </c>
      <c r="C11" s="58">
        <v>410.4</v>
      </c>
      <c r="H11" t="s">
        <v>478</v>
      </c>
      <c r="I11" t="s">
        <v>499</v>
      </c>
    </row>
    <row r="12" spans="1:9" x14ac:dyDescent="0.25">
      <c r="A12" t="s">
        <v>443</v>
      </c>
      <c r="B12" s="56">
        <v>100</v>
      </c>
      <c r="C12" s="58">
        <v>246.5</v>
      </c>
      <c r="H12" t="s">
        <v>480</v>
      </c>
      <c r="I12" t="s">
        <v>503</v>
      </c>
    </row>
    <row r="13" spans="1:9" x14ac:dyDescent="0.25">
      <c r="A13" s="9" t="s">
        <v>438</v>
      </c>
      <c r="C13" s="57"/>
      <c r="H13" t="s">
        <v>477</v>
      </c>
      <c r="I13" t="s">
        <v>506</v>
      </c>
    </row>
    <row r="14" spans="1:9" x14ac:dyDescent="0.25">
      <c r="A14" t="s">
        <v>423</v>
      </c>
      <c r="B14" s="56">
        <v>200</v>
      </c>
      <c r="C14" s="58">
        <v>189.64</v>
      </c>
      <c r="H14" t="s">
        <v>475</v>
      </c>
      <c r="I14" t="s">
        <v>492</v>
      </c>
    </row>
    <row r="15" spans="1:9" x14ac:dyDescent="0.25">
      <c r="A15" t="s">
        <v>424</v>
      </c>
      <c r="B15" s="56">
        <v>200</v>
      </c>
      <c r="C15" s="58">
        <v>225.94</v>
      </c>
      <c r="H15" t="s">
        <v>476</v>
      </c>
      <c r="I15" t="s">
        <v>491</v>
      </c>
    </row>
    <row r="16" spans="1:9" x14ac:dyDescent="0.25">
      <c r="A16" t="s">
        <v>425</v>
      </c>
      <c r="B16" s="56">
        <v>200</v>
      </c>
      <c r="C16" s="58">
        <v>189.64</v>
      </c>
      <c r="H16" t="s">
        <v>474</v>
      </c>
      <c r="I16" t="s">
        <v>493</v>
      </c>
    </row>
    <row r="17" spans="1:9" x14ac:dyDescent="0.25">
      <c r="A17" t="s">
        <v>426</v>
      </c>
      <c r="B17" s="56">
        <v>200</v>
      </c>
      <c r="C17" s="58">
        <v>191.28</v>
      </c>
      <c r="H17" t="s">
        <v>485</v>
      </c>
      <c r="I17" t="s">
        <v>496</v>
      </c>
    </row>
    <row r="18" spans="1:9" x14ac:dyDescent="0.25">
      <c r="A18" t="s">
        <v>427</v>
      </c>
      <c r="B18" s="56">
        <v>200</v>
      </c>
      <c r="C18" s="58">
        <v>225.84</v>
      </c>
      <c r="H18" t="s">
        <v>473</v>
      </c>
      <c r="I18" t="s">
        <v>502</v>
      </c>
    </row>
    <row r="19" spans="1:9" x14ac:dyDescent="0.25">
      <c r="A19" t="s">
        <v>428</v>
      </c>
      <c r="B19" s="56">
        <v>200</v>
      </c>
      <c r="C19" s="58">
        <v>189.4</v>
      </c>
      <c r="H19" t="s">
        <v>484</v>
      </c>
      <c r="I19" t="s">
        <v>501</v>
      </c>
    </row>
    <row r="20" spans="1:9" x14ac:dyDescent="0.25">
      <c r="A20" t="s">
        <v>429</v>
      </c>
      <c r="B20" s="56">
        <v>200</v>
      </c>
      <c r="C20" s="58">
        <v>225</v>
      </c>
      <c r="H20" t="s">
        <v>486</v>
      </c>
      <c r="I20" t="s">
        <v>497</v>
      </c>
    </row>
    <row r="21" spans="1:9" x14ac:dyDescent="0.25">
      <c r="A21" t="s">
        <v>430</v>
      </c>
      <c r="B21" s="56">
        <v>200</v>
      </c>
      <c r="C21" s="58">
        <v>189.4</v>
      </c>
      <c r="H21" t="s">
        <v>472</v>
      </c>
      <c r="I21" t="s">
        <v>488</v>
      </c>
    </row>
    <row r="22" spans="1:9" x14ac:dyDescent="0.25">
      <c r="A22" t="s">
        <v>431</v>
      </c>
      <c r="B22" s="56">
        <v>200</v>
      </c>
      <c r="C22" s="58">
        <v>225</v>
      </c>
      <c r="I22" t="s">
        <v>489</v>
      </c>
    </row>
    <row r="23" spans="1:9" x14ac:dyDescent="0.25">
      <c r="A23" t="s">
        <v>432</v>
      </c>
      <c r="B23" s="56">
        <v>200</v>
      </c>
      <c r="C23" s="58">
        <v>181</v>
      </c>
    </row>
    <row r="24" spans="1:9" x14ac:dyDescent="0.25">
      <c r="B24" s="56"/>
      <c r="C24" s="58"/>
    </row>
    <row r="25" spans="1:9" x14ac:dyDescent="0.25">
      <c r="A25" s="9" t="s">
        <v>439</v>
      </c>
      <c r="B25" s="57"/>
      <c r="C25" s="57"/>
    </row>
    <row r="26" spans="1:9" x14ac:dyDescent="0.25">
      <c r="A26" t="s">
        <v>433</v>
      </c>
      <c r="B26" s="56">
        <v>200</v>
      </c>
      <c r="C26" s="58">
        <v>159.94</v>
      </c>
    </row>
    <row r="27" spans="1:9" x14ac:dyDescent="0.25">
      <c r="A27" t="s">
        <v>434</v>
      </c>
      <c r="B27" s="56">
        <v>200</v>
      </c>
      <c r="C27" s="58">
        <v>158.4</v>
      </c>
    </row>
    <row r="28" spans="1:9" x14ac:dyDescent="0.25">
      <c r="A28" t="s">
        <v>435</v>
      </c>
      <c r="B28" s="56">
        <v>200</v>
      </c>
      <c r="C28" s="58">
        <v>158.4</v>
      </c>
    </row>
    <row r="29" spans="1:9" ht="15" customHeight="1" x14ac:dyDescent="0.25">
      <c r="A29" s="9" t="s">
        <v>440</v>
      </c>
      <c r="H29" s="9" t="s">
        <v>508</v>
      </c>
    </row>
    <row r="30" spans="1:9" ht="15" customHeight="1" x14ac:dyDescent="0.25">
      <c r="A30" t="s">
        <v>444</v>
      </c>
      <c r="B30" s="56">
        <v>200</v>
      </c>
      <c r="C30" s="58">
        <v>168.65</v>
      </c>
      <c r="H30" t="s">
        <v>509</v>
      </c>
    </row>
    <row r="31" spans="1:9" ht="15" customHeight="1" x14ac:dyDescent="0.25">
      <c r="A31" t="s">
        <v>465</v>
      </c>
      <c r="B31" s="56">
        <v>200</v>
      </c>
      <c r="C31" s="58">
        <v>176.98</v>
      </c>
      <c r="H31" t="s">
        <v>510</v>
      </c>
    </row>
    <row r="32" spans="1:9" ht="15" customHeight="1" x14ac:dyDescent="0.25">
      <c r="A32" t="s">
        <v>445</v>
      </c>
      <c r="B32" s="56">
        <v>200</v>
      </c>
      <c r="C32" s="58">
        <v>168.65</v>
      </c>
      <c r="H32" t="s">
        <v>475</v>
      </c>
    </row>
    <row r="33" spans="1:9" ht="15" customHeight="1" x14ac:dyDescent="0.25">
      <c r="A33" t="s">
        <v>466</v>
      </c>
      <c r="B33" s="56">
        <v>200</v>
      </c>
      <c r="C33" s="58">
        <v>176.98</v>
      </c>
      <c r="H33" t="s">
        <v>511</v>
      </c>
    </row>
    <row r="34" spans="1:9" ht="15" customHeight="1" x14ac:dyDescent="0.25">
      <c r="A34" t="s">
        <v>446</v>
      </c>
      <c r="B34" s="56">
        <v>200</v>
      </c>
      <c r="C34" s="58">
        <v>168.65</v>
      </c>
      <c r="H34" t="s">
        <v>512</v>
      </c>
    </row>
    <row r="35" spans="1:9" ht="15" customHeight="1" x14ac:dyDescent="0.25">
      <c r="A35" t="s">
        <v>467</v>
      </c>
      <c r="B35" s="56">
        <v>200</v>
      </c>
      <c r="C35" s="58">
        <v>177.01</v>
      </c>
      <c r="H35" t="s">
        <v>513</v>
      </c>
      <c r="I35" s="59"/>
    </row>
    <row r="36" spans="1:9" ht="15" customHeight="1" x14ac:dyDescent="0.25">
      <c r="A36" s="9" t="s">
        <v>441</v>
      </c>
      <c r="C36" s="58"/>
      <c r="H36" t="s">
        <v>514</v>
      </c>
    </row>
    <row r="37" spans="1:9" x14ac:dyDescent="0.25">
      <c r="A37" t="s">
        <v>453</v>
      </c>
      <c r="B37" s="56">
        <v>200</v>
      </c>
      <c r="C37" s="58">
        <v>239.36</v>
      </c>
      <c r="H37" t="s">
        <v>137</v>
      </c>
    </row>
    <row r="38" spans="1:9" x14ac:dyDescent="0.25">
      <c r="A38" t="s">
        <v>452</v>
      </c>
      <c r="B38" s="56">
        <v>200</v>
      </c>
      <c r="C38" s="58">
        <v>274.7</v>
      </c>
      <c r="H38" t="s">
        <v>515</v>
      </c>
    </row>
    <row r="39" spans="1:9" x14ac:dyDescent="0.25">
      <c r="A39" t="s">
        <v>459</v>
      </c>
      <c r="B39" s="56">
        <v>200</v>
      </c>
      <c r="C39" s="58">
        <v>345.33</v>
      </c>
      <c r="H39" t="s">
        <v>477</v>
      </c>
    </row>
    <row r="40" spans="1:9" x14ac:dyDescent="0.25">
      <c r="A40" t="s">
        <v>447</v>
      </c>
      <c r="B40" s="56">
        <v>200</v>
      </c>
      <c r="C40" s="58">
        <v>239.36</v>
      </c>
      <c r="H40" t="s">
        <v>133</v>
      </c>
    </row>
    <row r="41" spans="1:9" x14ac:dyDescent="0.25">
      <c r="A41" t="s">
        <v>454</v>
      </c>
      <c r="B41" s="56">
        <v>200</v>
      </c>
      <c r="C41" s="58">
        <v>274.7</v>
      </c>
      <c r="H41" t="s">
        <v>474</v>
      </c>
    </row>
    <row r="42" spans="1:9" x14ac:dyDescent="0.25">
      <c r="A42" t="s">
        <v>460</v>
      </c>
      <c r="B42" s="56">
        <v>200</v>
      </c>
      <c r="C42" s="58">
        <v>345.33</v>
      </c>
      <c r="H42" s="9" t="s">
        <v>516</v>
      </c>
    </row>
    <row r="43" spans="1:9" x14ac:dyDescent="0.25">
      <c r="A43" t="s">
        <v>448</v>
      </c>
      <c r="B43" s="56">
        <v>100</v>
      </c>
      <c r="C43" s="58">
        <v>137.36000000000001</v>
      </c>
      <c r="H43" t="s">
        <v>472</v>
      </c>
    </row>
    <row r="44" spans="1:9" x14ac:dyDescent="0.25">
      <c r="A44" t="s">
        <v>455</v>
      </c>
      <c r="B44" s="56">
        <v>100</v>
      </c>
      <c r="C44" s="58">
        <v>155.16</v>
      </c>
      <c r="H44" t="s">
        <v>517</v>
      </c>
    </row>
    <row r="45" spans="1:9" x14ac:dyDescent="0.25">
      <c r="A45" t="s">
        <v>461</v>
      </c>
      <c r="B45" s="56">
        <v>100</v>
      </c>
      <c r="C45" s="58">
        <v>188.38</v>
      </c>
      <c r="H45" s="9" t="s">
        <v>468</v>
      </c>
    </row>
    <row r="46" spans="1:9" x14ac:dyDescent="0.25">
      <c r="A46" s="9" t="s">
        <v>442</v>
      </c>
      <c r="C46" s="58"/>
      <c r="H46" t="s">
        <v>518</v>
      </c>
    </row>
    <row r="47" spans="1:9" x14ac:dyDescent="0.25">
      <c r="A47" t="s">
        <v>449</v>
      </c>
      <c r="B47" s="56">
        <v>200</v>
      </c>
      <c r="C47" s="58"/>
      <c r="H47" t="s">
        <v>519</v>
      </c>
    </row>
    <row r="48" spans="1:9" x14ac:dyDescent="0.25">
      <c r="A48" t="s">
        <v>456</v>
      </c>
      <c r="B48" s="56">
        <v>200</v>
      </c>
      <c r="C48" s="58">
        <v>276.14999999999998</v>
      </c>
      <c r="H48" t="s">
        <v>520</v>
      </c>
    </row>
    <row r="49" spans="1:8" x14ac:dyDescent="0.25">
      <c r="A49" t="s">
        <v>462</v>
      </c>
      <c r="B49" s="56">
        <v>200</v>
      </c>
      <c r="C49" s="58">
        <v>299.72000000000003</v>
      </c>
      <c r="H49" t="s">
        <v>521</v>
      </c>
    </row>
    <row r="50" spans="1:8" x14ac:dyDescent="0.25">
      <c r="A50" t="s">
        <v>450</v>
      </c>
      <c r="B50" s="56">
        <v>200</v>
      </c>
      <c r="H50" t="s">
        <v>522</v>
      </c>
    </row>
    <row r="51" spans="1:8" x14ac:dyDescent="0.25">
      <c r="A51" t="s">
        <v>457</v>
      </c>
      <c r="B51" s="56">
        <v>200</v>
      </c>
      <c r="C51" s="58">
        <v>276.14999999999998</v>
      </c>
      <c r="H51" s="9" t="s">
        <v>469</v>
      </c>
    </row>
    <row r="52" spans="1:8" x14ac:dyDescent="0.25">
      <c r="A52" t="s">
        <v>463</v>
      </c>
      <c r="B52" s="56">
        <v>200</v>
      </c>
      <c r="C52" s="58">
        <v>299.72000000000003</v>
      </c>
      <c r="H52" t="s">
        <v>523</v>
      </c>
    </row>
    <row r="53" spans="1:8" x14ac:dyDescent="0.25">
      <c r="A53" t="s">
        <v>451</v>
      </c>
      <c r="B53" s="56">
        <v>200</v>
      </c>
      <c r="C53" s="58">
        <v>194.5</v>
      </c>
      <c r="H53" t="s">
        <v>524</v>
      </c>
    </row>
    <row r="54" spans="1:8" x14ac:dyDescent="0.25">
      <c r="A54" t="s">
        <v>458</v>
      </c>
      <c r="B54" s="56">
        <v>200</v>
      </c>
      <c r="C54" s="58">
        <v>205.94</v>
      </c>
      <c r="H54" t="s">
        <v>525</v>
      </c>
    </row>
    <row r="55" spans="1:8" x14ac:dyDescent="0.25">
      <c r="A55" t="s">
        <v>464</v>
      </c>
      <c r="B55" s="56">
        <v>200</v>
      </c>
      <c r="C55" s="58"/>
      <c r="H55" t="s">
        <v>526</v>
      </c>
    </row>
    <row r="56" spans="1:8" x14ac:dyDescent="0.25">
      <c r="H56" t="s">
        <v>527</v>
      </c>
    </row>
    <row r="57" spans="1:8" x14ac:dyDescent="0.25">
      <c r="H57" t="s">
        <v>528</v>
      </c>
    </row>
    <row r="58" spans="1:8" x14ac:dyDescent="0.25">
      <c r="H58" t="s">
        <v>529</v>
      </c>
    </row>
    <row r="59" spans="1:8" x14ac:dyDescent="0.25">
      <c r="H59" t="s">
        <v>530</v>
      </c>
    </row>
    <row r="60" spans="1:8" x14ac:dyDescent="0.25">
      <c r="H60" t="s">
        <v>531</v>
      </c>
    </row>
    <row r="61" spans="1:8" x14ac:dyDescent="0.25">
      <c r="H61" t="s">
        <v>532</v>
      </c>
    </row>
    <row r="62" spans="1:8" x14ac:dyDescent="0.25">
      <c r="H62" t="s">
        <v>533</v>
      </c>
    </row>
    <row r="63" spans="1:8" x14ac:dyDescent="0.25">
      <c r="H63" t="s">
        <v>534</v>
      </c>
    </row>
    <row r="65" spans="8:8" x14ac:dyDescent="0.25">
      <c r="H65" s="9" t="s">
        <v>535</v>
      </c>
    </row>
    <row r="66" spans="8:8" x14ac:dyDescent="0.25">
      <c r="H66" s="9" t="s">
        <v>555</v>
      </c>
    </row>
    <row r="67" spans="8:8" x14ac:dyDescent="0.25">
      <c r="H67" t="s">
        <v>536</v>
      </c>
    </row>
    <row r="68" spans="8:8" x14ac:dyDescent="0.25">
      <c r="H68" t="s">
        <v>556</v>
      </c>
    </row>
    <row r="69" spans="8:8" x14ac:dyDescent="0.25">
      <c r="H69" t="s">
        <v>133</v>
      </c>
    </row>
    <row r="70" spans="8:8" x14ac:dyDescent="0.25">
      <c r="H70" t="s">
        <v>539</v>
      </c>
    </row>
    <row r="71" spans="8:8" x14ac:dyDescent="0.25">
      <c r="H71" t="s">
        <v>557</v>
      </c>
    </row>
    <row r="72" spans="8:8" x14ac:dyDescent="0.25">
      <c r="H72" t="s">
        <v>137</v>
      </c>
    </row>
    <row r="73" spans="8:8" x14ac:dyDescent="0.25">
      <c r="H73" t="s">
        <v>558</v>
      </c>
    </row>
    <row r="74" spans="8:8" x14ac:dyDescent="0.25">
      <c r="H74" t="s">
        <v>543</v>
      </c>
    </row>
    <row r="75" spans="8:8" x14ac:dyDescent="0.25">
      <c r="H75" t="s">
        <v>545</v>
      </c>
    </row>
    <row r="76" spans="8:8" x14ac:dyDescent="0.25">
      <c r="H76" t="s">
        <v>559</v>
      </c>
    </row>
    <row r="77" spans="8:8" x14ac:dyDescent="0.25">
      <c r="H77" t="s">
        <v>560</v>
      </c>
    </row>
    <row r="78" spans="8:8" x14ac:dyDescent="0.25">
      <c r="H78" t="s">
        <v>538</v>
      </c>
    </row>
    <row r="79" spans="8:8" x14ac:dyDescent="0.25">
      <c r="H79" t="s">
        <v>541</v>
      </c>
    </row>
    <row r="80" spans="8:8" x14ac:dyDescent="0.25">
      <c r="H80" t="s">
        <v>519</v>
      </c>
    </row>
    <row r="81" spans="8:8" x14ac:dyDescent="0.25">
      <c r="H81" t="s">
        <v>484</v>
      </c>
    </row>
    <row r="82" spans="8:8" x14ac:dyDescent="0.25">
      <c r="H82" t="s">
        <v>561</v>
      </c>
    </row>
    <row r="84" spans="8:8" x14ac:dyDescent="0.25">
      <c r="H84" s="9" t="s">
        <v>562</v>
      </c>
    </row>
    <row r="85" spans="8:8" x14ac:dyDescent="0.25">
      <c r="H85" t="s">
        <v>551</v>
      </c>
    </row>
    <row r="86" spans="8:8" x14ac:dyDescent="0.25">
      <c r="H86" t="s">
        <v>547</v>
      </c>
    </row>
    <row r="87" spans="8:8" x14ac:dyDescent="0.25">
      <c r="H87" t="s">
        <v>550</v>
      </c>
    </row>
    <row r="88" spans="8:8" x14ac:dyDescent="0.25">
      <c r="H88" t="s">
        <v>553</v>
      </c>
    </row>
    <row r="89" spans="8:8" x14ac:dyDescent="0.25">
      <c r="H89" t="s">
        <v>563</v>
      </c>
    </row>
    <row r="90" spans="8:8" x14ac:dyDescent="0.25">
      <c r="H90" t="s">
        <v>546</v>
      </c>
    </row>
    <row r="91" spans="8:8" x14ac:dyDescent="0.25">
      <c r="H91" t="s">
        <v>549</v>
      </c>
    </row>
    <row r="92" spans="8:8" x14ac:dyDescent="0.25">
      <c r="H92" t="s">
        <v>537</v>
      </c>
    </row>
    <row r="93" spans="8:8" x14ac:dyDescent="0.25">
      <c r="H93" t="s">
        <v>554</v>
      </c>
    </row>
    <row r="94" spans="8:8" x14ac:dyDescent="0.25">
      <c r="H94" t="s">
        <v>540</v>
      </c>
    </row>
    <row r="95" spans="8:8" x14ac:dyDescent="0.25">
      <c r="H95" t="s">
        <v>542</v>
      </c>
    </row>
    <row r="96" spans="8:8" x14ac:dyDescent="0.25">
      <c r="H96" t="s">
        <v>544</v>
      </c>
    </row>
    <row r="97" spans="8:8" x14ac:dyDescent="0.25">
      <c r="H97" t="s">
        <v>548</v>
      </c>
    </row>
    <row r="98" spans="8:8" x14ac:dyDescent="0.25">
      <c r="H98" t="s">
        <v>552</v>
      </c>
    </row>
    <row r="99" spans="8:8" x14ac:dyDescent="0.25">
      <c r="H99" s="9" t="s">
        <v>10099</v>
      </c>
    </row>
    <row r="100" spans="8:8" x14ac:dyDescent="0.25">
      <c r="H100" s="519" t="s">
        <v>726</v>
      </c>
    </row>
    <row r="101" spans="8:8" x14ac:dyDescent="0.25">
      <c r="H101" s="519" t="s">
        <v>148</v>
      </c>
    </row>
    <row r="102" spans="8:8" x14ac:dyDescent="0.25">
      <c r="H102" s="519" t="s">
        <v>475</v>
      </c>
    </row>
    <row r="103" spans="8:8" x14ac:dyDescent="0.25">
      <c r="H103" s="519" t="s">
        <v>144</v>
      </c>
    </row>
    <row r="104" spans="8:8" x14ac:dyDescent="0.25">
      <c r="H104" s="519" t="s">
        <v>7769</v>
      </c>
    </row>
    <row r="105" spans="8:8" x14ac:dyDescent="0.25">
      <c r="H105" s="519" t="s">
        <v>477</v>
      </c>
    </row>
    <row r="106" spans="8:8" x14ac:dyDescent="0.25">
      <c r="H106" s="519" t="s">
        <v>7770</v>
      </c>
    </row>
    <row r="107" spans="8:8" x14ac:dyDescent="0.25">
      <c r="H107" s="519" t="s">
        <v>10097</v>
      </c>
    </row>
    <row r="108" spans="8:8" x14ac:dyDescent="0.25">
      <c r="H108" s="519" t="s">
        <v>141</v>
      </c>
    </row>
    <row r="109" spans="8:8" x14ac:dyDescent="0.25">
      <c r="H109" s="519" t="s">
        <v>10096</v>
      </c>
    </row>
    <row r="110" spans="8:8" x14ac:dyDescent="0.25">
      <c r="H110" s="519" t="s">
        <v>524</v>
      </c>
    </row>
    <row r="111" spans="8:8" x14ac:dyDescent="0.25">
      <c r="H111" s="519" t="s">
        <v>363</v>
      </c>
    </row>
    <row r="112" spans="8:8" x14ac:dyDescent="0.25">
      <c r="H112" s="519" t="s">
        <v>701</v>
      </c>
    </row>
    <row r="113" spans="8:8" x14ac:dyDescent="0.25">
      <c r="H113" s="519" t="s">
        <v>526</v>
      </c>
    </row>
    <row r="114" spans="8:8" x14ac:dyDescent="0.25">
      <c r="H114" s="519" t="s">
        <v>133</v>
      </c>
    </row>
    <row r="115" spans="8:8" x14ac:dyDescent="0.25">
      <c r="H115" s="519" t="s">
        <v>517</v>
      </c>
    </row>
    <row r="116" spans="8:8" x14ac:dyDescent="0.25">
      <c r="H116" s="519" t="s">
        <v>510</v>
      </c>
    </row>
    <row r="117" spans="8:8" x14ac:dyDescent="0.25">
      <c r="H117" s="519" t="s">
        <v>10098</v>
      </c>
    </row>
    <row r="118" spans="8:8" x14ac:dyDescent="0.25">
      <c r="H118" s="519" t="s">
        <v>511</v>
      </c>
    </row>
    <row r="119" spans="8:8" x14ac:dyDescent="0.25">
      <c r="H119" s="519" t="s">
        <v>137</v>
      </c>
    </row>
  </sheetData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9D2F5D-4A8D-4C83-A6DB-ED3DB240634A}">
  <sheetPr codeName="Sheet5">
    <tabColor rgb="FFCC9900"/>
  </sheetPr>
  <dimension ref="A1"/>
  <sheetViews>
    <sheetView workbookViewId="0"/>
  </sheetViews>
  <sheetFormatPr defaultRowHeight="15" x14ac:dyDescent="0.25"/>
  <sheetData/>
  <pageMargins left="0.7" right="0.7" top="0.75" bottom="0.75" header="0.3" footer="0.3"/>
  <pageSetup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177F6F-6D5E-4BBC-B2D9-B3605CD2AB20}">
  <dimension ref="A1:N3075"/>
  <sheetViews>
    <sheetView workbookViewId="0"/>
  </sheetViews>
  <sheetFormatPr defaultColWidth="8.85546875" defaultRowHeight="15" x14ac:dyDescent="0.25"/>
  <cols>
    <col min="1" max="1" width="19.140625" style="505" customWidth="1"/>
    <col min="2" max="2" width="48" style="505" customWidth="1"/>
    <col min="3" max="9" width="6.85546875" style="512" customWidth="1"/>
    <col min="10" max="12" width="6.85546875" style="505" customWidth="1"/>
    <col min="13" max="13" width="10.5703125" style="516" bestFit="1" customWidth="1"/>
    <col min="14" max="14" width="10.85546875" style="505" customWidth="1"/>
    <col min="15" max="16384" width="8.85546875" style="505"/>
  </cols>
  <sheetData>
    <row r="1" spans="1:14" ht="21" x14ac:dyDescent="0.35">
      <c r="A1" s="504" t="s">
        <v>1263</v>
      </c>
    </row>
    <row r="2" spans="1:14" x14ac:dyDescent="0.25">
      <c r="A2" s="506" t="s">
        <v>1264</v>
      </c>
      <c r="B2" s="507" t="s">
        <v>1265</v>
      </c>
      <c r="C2" s="513" t="s">
        <v>10042</v>
      </c>
      <c r="D2" s="513" t="s">
        <v>9859</v>
      </c>
      <c r="E2" s="513" t="s">
        <v>10043</v>
      </c>
      <c r="F2" s="513" t="s">
        <v>234</v>
      </c>
      <c r="G2" s="513"/>
      <c r="H2" s="513"/>
      <c r="I2" s="513"/>
      <c r="J2" s="507"/>
      <c r="K2" s="507"/>
      <c r="L2" s="508" t="s">
        <v>1266</v>
      </c>
      <c r="M2" s="517" t="s">
        <v>372</v>
      </c>
      <c r="N2" s="508" t="s">
        <v>1267</v>
      </c>
    </row>
    <row r="3" spans="1:14" s="518" customFormat="1" x14ac:dyDescent="0.25">
      <c r="A3" s="518" t="s">
        <v>1268</v>
      </c>
      <c r="B3" s="518" t="s">
        <v>1269</v>
      </c>
      <c r="C3" s="519" t="s">
        <v>7417</v>
      </c>
      <c r="D3" s="519" t="s">
        <v>7423</v>
      </c>
      <c r="E3" s="519" t="s">
        <v>7420</v>
      </c>
      <c r="F3" s="519" t="s">
        <v>7421</v>
      </c>
      <c r="G3" s="519"/>
      <c r="H3" s="519" t="s">
        <v>7422</v>
      </c>
      <c r="I3" s="519"/>
      <c r="L3" s="518" t="s">
        <v>1206</v>
      </c>
      <c r="M3" s="520">
        <v>37.25</v>
      </c>
      <c r="N3" s="518" t="s">
        <v>1206</v>
      </c>
    </row>
    <row r="4" spans="1:14" s="518" customFormat="1" x14ac:dyDescent="0.25">
      <c r="A4" s="518" t="s">
        <v>1270</v>
      </c>
      <c r="B4" s="518" t="s">
        <v>1271</v>
      </c>
      <c r="C4" s="519" t="s">
        <v>7417</v>
      </c>
      <c r="D4" s="519" t="s">
        <v>7423</v>
      </c>
      <c r="E4" s="519" t="s">
        <v>7420</v>
      </c>
      <c r="F4" s="519" t="s">
        <v>571</v>
      </c>
      <c r="G4" s="519"/>
      <c r="H4" s="519" t="s">
        <v>7422</v>
      </c>
      <c r="I4" s="519"/>
      <c r="L4" s="518" t="s">
        <v>1206</v>
      </c>
      <c r="M4" s="520">
        <v>37.25</v>
      </c>
      <c r="N4" s="518" t="s">
        <v>1206</v>
      </c>
    </row>
    <row r="5" spans="1:14" s="518" customFormat="1" x14ac:dyDescent="0.25">
      <c r="A5" s="518" t="s">
        <v>1272</v>
      </c>
      <c r="B5" s="518" t="s">
        <v>1273</v>
      </c>
      <c r="C5" s="519" t="s">
        <v>7417</v>
      </c>
      <c r="D5" s="519" t="s">
        <v>7423</v>
      </c>
      <c r="E5" s="519" t="s">
        <v>7420</v>
      </c>
      <c r="F5" s="519" t="s">
        <v>570</v>
      </c>
      <c r="G5" s="519"/>
      <c r="H5" s="519" t="s">
        <v>7422</v>
      </c>
      <c r="I5" s="519"/>
      <c r="L5" s="518" t="s">
        <v>1206</v>
      </c>
      <c r="M5" s="520">
        <v>37.25</v>
      </c>
      <c r="N5" s="518" t="s">
        <v>1206</v>
      </c>
    </row>
    <row r="6" spans="1:14" s="518" customFormat="1" x14ac:dyDescent="0.25">
      <c r="A6" s="518" t="s">
        <v>1274</v>
      </c>
      <c r="B6" s="518" t="s">
        <v>1275</v>
      </c>
      <c r="C6" s="519" t="s">
        <v>7417</v>
      </c>
      <c r="D6" s="519" t="s">
        <v>7423</v>
      </c>
      <c r="E6" s="519" t="s">
        <v>7420</v>
      </c>
      <c r="F6" s="519" t="s">
        <v>7424</v>
      </c>
      <c r="G6" s="519" t="s">
        <v>582</v>
      </c>
      <c r="H6" s="519" t="s">
        <v>7422</v>
      </c>
      <c r="I6" s="519"/>
      <c r="L6" s="518" t="s">
        <v>1206</v>
      </c>
      <c r="M6" s="520">
        <v>37.25</v>
      </c>
      <c r="N6" s="518" t="s">
        <v>1206</v>
      </c>
    </row>
    <row r="7" spans="1:14" s="518" customFormat="1" x14ac:dyDescent="0.25">
      <c r="A7" s="518" t="s">
        <v>1276</v>
      </c>
      <c r="B7" s="518" t="s">
        <v>1277</v>
      </c>
      <c r="C7" s="519" t="s">
        <v>7417</v>
      </c>
      <c r="D7" s="519" t="s">
        <v>7423</v>
      </c>
      <c r="E7" s="519" t="s">
        <v>7420</v>
      </c>
      <c r="F7" s="519" t="s">
        <v>143</v>
      </c>
      <c r="G7" s="519"/>
      <c r="H7" s="519" t="s">
        <v>7422</v>
      </c>
      <c r="I7" s="519"/>
      <c r="L7" s="518" t="s">
        <v>1206</v>
      </c>
      <c r="M7" s="520">
        <v>37.25</v>
      </c>
      <c r="N7" s="518" t="s">
        <v>1206</v>
      </c>
    </row>
    <row r="8" spans="1:14" s="518" customFormat="1" x14ac:dyDescent="0.25">
      <c r="A8" s="518" t="s">
        <v>1278</v>
      </c>
      <c r="B8" s="518" t="s">
        <v>1279</v>
      </c>
      <c r="C8" s="519" t="s">
        <v>7417</v>
      </c>
      <c r="D8" s="519" t="s">
        <v>7423</v>
      </c>
      <c r="E8" s="519" t="s">
        <v>7420</v>
      </c>
      <c r="F8" s="519" t="s">
        <v>7425</v>
      </c>
      <c r="G8" s="519" t="s">
        <v>361</v>
      </c>
      <c r="H8" s="519" t="s">
        <v>7422</v>
      </c>
      <c r="I8" s="519"/>
      <c r="L8" s="518" t="s">
        <v>1206</v>
      </c>
      <c r="M8" s="520">
        <v>37.25</v>
      </c>
      <c r="N8" s="518" t="s">
        <v>1206</v>
      </c>
    </row>
    <row r="9" spans="1:14" s="518" customFormat="1" x14ac:dyDescent="0.25">
      <c r="A9" s="518" t="s">
        <v>1280</v>
      </c>
      <c r="B9" s="518" t="s">
        <v>1281</v>
      </c>
      <c r="C9" s="519" t="s">
        <v>7417</v>
      </c>
      <c r="D9" s="519" t="s">
        <v>7423</v>
      </c>
      <c r="E9" s="519" t="s">
        <v>7420</v>
      </c>
      <c r="F9" s="519" t="s">
        <v>675</v>
      </c>
      <c r="G9" s="519" t="s">
        <v>7426</v>
      </c>
      <c r="H9" s="519" t="s">
        <v>7422</v>
      </c>
      <c r="I9" s="519"/>
      <c r="L9" s="518" t="s">
        <v>1206</v>
      </c>
      <c r="M9" s="520">
        <v>37.25</v>
      </c>
      <c r="N9" s="518" t="s">
        <v>1206</v>
      </c>
    </row>
    <row r="10" spans="1:14" s="518" customFormat="1" x14ac:dyDescent="0.25">
      <c r="A10" s="518" t="s">
        <v>1282</v>
      </c>
      <c r="B10" s="518" t="s">
        <v>1283</v>
      </c>
      <c r="C10" s="519" t="s">
        <v>7417</v>
      </c>
      <c r="D10" s="519" t="s">
        <v>7423</v>
      </c>
      <c r="E10" s="519" t="s">
        <v>7420</v>
      </c>
      <c r="F10" s="519" t="s">
        <v>577</v>
      </c>
      <c r="G10" s="519"/>
      <c r="H10" s="519" t="s">
        <v>7422</v>
      </c>
      <c r="I10" s="519"/>
      <c r="L10" s="518" t="s">
        <v>1206</v>
      </c>
      <c r="M10" s="520">
        <v>37.25</v>
      </c>
      <c r="N10" s="518" t="s">
        <v>1206</v>
      </c>
    </row>
    <row r="11" spans="1:14" s="518" customFormat="1" x14ac:dyDescent="0.25">
      <c r="A11" s="518" t="s">
        <v>1284</v>
      </c>
      <c r="B11" s="518" t="s">
        <v>1285</v>
      </c>
      <c r="C11" s="519" t="s">
        <v>7417</v>
      </c>
      <c r="D11" s="519" t="s">
        <v>7423</v>
      </c>
      <c r="E11" s="519" t="s">
        <v>7420</v>
      </c>
      <c r="F11" s="519" t="s">
        <v>7427</v>
      </c>
      <c r="G11" s="519" t="s">
        <v>7428</v>
      </c>
      <c r="H11" s="519" t="s">
        <v>7422</v>
      </c>
      <c r="I11" s="519"/>
      <c r="L11" s="518" t="s">
        <v>1206</v>
      </c>
      <c r="M11" s="520">
        <v>37.25</v>
      </c>
      <c r="N11" s="518" t="s">
        <v>1206</v>
      </c>
    </row>
    <row r="12" spans="1:14" s="518" customFormat="1" x14ac:dyDescent="0.25">
      <c r="A12" s="518" t="s">
        <v>1286</v>
      </c>
      <c r="B12" s="518" t="s">
        <v>1287</v>
      </c>
      <c r="C12" s="519" t="s">
        <v>7429</v>
      </c>
      <c r="D12" s="519" t="s">
        <v>7430</v>
      </c>
      <c r="E12" s="519" t="s">
        <v>7431</v>
      </c>
      <c r="F12" s="519" t="s">
        <v>7432</v>
      </c>
      <c r="G12" s="519" t="s">
        <v>7433</v>
      </c>
      <c r="H12" s="519" t="s">
        <v>7434</v>
      </c>
      <c r="I12" s="519"/>
      <c r="L12" s="518" t="s">
        <v>1206</v>
      </c>
      <c r="M12" s="520">
        <v>37.049999999999997</v>
      </c>
      <c r="N12" s="518" t="s">
        <v>1206</v>
      </c>
    </row>
    <row r="13" spans="1:14" s="518" customFormat="1" x14ac:dyDescent="0.25">
      <c r="A13" s="518" t="s">
        <v>1288</v>
      </c>
      <c r="B13" s="518" t="s">
        <v>1289</v>
      </c>
      <c r="C13" s="519" t="s">
        <v>7429</v>
      </c>
      <c r="D13" s="519" t="s">
        <v>7430</v>
      </c>
      <c r="E13" s="519" t="s">
        <v>7431</v>
      </c>
      <c r="F13" s="519" t="s">
        <v>7435</v>
      </c>
      <c r="G13" s="519" t="s">
        <v>7436</v>
      </c>
      <c r="H13" s="519" t="s">
        <v>7434</v>
      </c>
      <c r="I13" s="519"/>
      <c r="L13" s="518" t="s">
        <v>1206</v>
      </c>
      <c r="M13" s="520">
        <v>37.049999999999997</v>
      </c>
      <c r="N13" s="518" t="s">
        <v>1206</v>
      </c>
    </row>
    <row r="14" spans="1:14" s="518" customFormat="1" x14ac:dyDescent="0.25">
      <c r="A14" s="518" t="s">
        <v>1290</v>
      </c>
      <c r="B14" s="518" t="s">
        <v>1291</v>
      </c>
      <c r="C14" s="519" t="s">
        <v>7429</v>
      </c>
      <c r="D14" s="519" t="s">
        <v>7430</v>
      </c>
      <c r="E14" s="519" t="s">
        <v>7431</v>
      </c>
      <c r="F14" s="519" t="s">
        <v>7435</v>
      </c>
      <c r="G14" s="519" t="s">
        <v>7433</v>
      </c>
      <c r="H14" s="519" t="s">
        <v>7434</v>
      </c>
      <c r="I14" s="519"/>
      <c r="L14" s="518" t="s">
        <v>1206</v>
      </c>
      <c r="M14" s="520">
        <v>37.049999999999997</v>
      </c>
      <c r="N14" s="518" t="s">
        <v>1206</v>
      </c>
    </row>
    <row r="15" spans="1:14" s="518" customFormat="1" x14ac:dyDescent="0.25">
      <c r="A15" s="518" t="s">
        <v>1292</v>
      </c>
      <c r="B15" s="518" t="s">
        <v>1293</v>
      </c>
      <c r="C15" s="519" t="s">
        <v>7429</v>
      </c>
      <c r="D15" s="519" t="s">
        <v>7430</v>
      </c>
      <c r="E15" s="519" t="s">
        <v>7431</v>
      </c>
      <c r="F15" s="519" t="s">
        <v>7435</v>
      </c>
      <c r="G15" s="519" t="s">
        <v>7437</v>
      </c>
      <c r="H15" s="519" t="s">
        <v>7434</v>
      </c>
      <c r="I15" s="519"/>
      <c r="L15" s="518" t="s">
        <v>1206</v>
      </c>
      <c r="M15" s="520">
        <v>37.049999999999997</v>
      </c>
      <c r="N15" s="518" t="s">
        <v>1206</v>
      </c>
    </row>
    <row r="16" spans="1:14" s="518" customFormat="1" x14ac:dyDescent="0.25">
      <c r="A16" s="518" t="s">
        <v>1294</v>
      </c>
      <c r="B16" s="518" t="s">
        <v>1295</v>
      </c>
      <c r="C16" s="519" t="s">
        <v>7429</v>
      </c>
      <c r="D16" s="519" t="s">
        <v>7430</v>
      </c>
      <c r="E16" s="519" t="s">
        <v>7431</v>
      </c>
      <c r="F16" s="519" t="s">
        <v>7438</v>
      </c>
      <c r="G16" s="519"/>
      <c r="H16" s="519" t="s">
        <v>7434</v>
      </c>
      <c r="I16" s="519"/>
      <c r="L16" s="518" t="s">
        <v>1206</v>
      </c>
      <c r="M16" s="520">
        <v>37.049999999999997</v>
      </c>
      <c r="N16" s="518" t="s">
        <v>1206</v>
      </c>
    </row>
    <row r="17" spans="1:14" s="518" customFormat="1" x14ac:dyDescent="0.25">
      <c r="A17" s="518" t="s">
        <v>1296</v>
      </c>
      <c r="B17" s="518" t="s">
        <v>1297</v>
      </c>
      <c r="C17" s="519" t="s">
        <v>7429</v>
      </c>
      <c r="D17" s="519" t="s">
        <v>7430</v>
      </c>
      <c r="E17" s="519" t="s">
        <v>7431</v>
      </c>
      <c r="F17" s="519" t="s">
        <v>7439</v>
      </c>
      <c r="G17" s="519"/>
      <c r="H17" s="519" t="s">
        <v>7434</v>
      </c>
      <c r="I17" s="519"/>
      <c r="L17" s="518" t="s">
        <v>1206</v>
      </c>
      <c r="M17" s="520">
        <v>37.049999999999997</v>
      </c>
      <c r="N17" s="518" t="s">
        <v>1206</v>
      </c>
    </row>
    <row r="18" spans="1:14" s="518" customFormat="1" x14ac:dyDescent="0.25">
      <c r="A18" s="518" t="s">
        <v>1298</v>
      </c>
      <c r="B18" s="518" t="s">
        <v>1299</v>
      </c>
      <c r="C18" s="519" t="s">
        <v>7429</v>
      </c>
      <c r="D18" s="519" t="s">
        <v>7430</v>
      </c>
      <c r="E18" s="519" t="s">
        <v>7431</v>
      </c>
      <c r="F18" s="519" t="s">
        <v>7440</v>
      </c>
      <c r="G18" s="519" t="s">
        <v>7441</v>
      </c>
      <c r="H18" s="519" t="s">
        <v>7434</v>
      </c>
      <c r="I18" s="519"/>
      <c r="L18" s="518" t="s">
        <v>1206</v>
      </c>
      <c r="M18" s="520">
        <v>37.049999999999997</v>
      </c>
      <c r="N18" s="518" t="s">
        <v>1206</v>
      </c>
    </row>
    <row r="19" spans="1:14" s="518" customFormat="1" x14ac:dyDescent="0.25">
      <c r="A19" s="518" t="s">
        <v>1300</v>
      </c>
      <c r="B19" s="518" t="s">
        <v>1301</v>
      </c>
      <c r="C19" s="519" t="s">
        <v>7429</v>
      </c>
      <c r="D19" s="519" t="s">
        <v>7430</v>
      </c>
      <c r="E19" s="519" t="s">
        <v>7431</v>
      </c>
      <c r="F19" s="519" t="s">
        <v>7442</v>
      </c>
      <c r="G19" s="519"/>
      <c r="H19" s="519" t="s">
        <v>7434</v>
      </c>
      <c r="I19" s="519"/>
      <c r="L19" s="518" t="s">
        <v>1206</v>
      </c>
      <c r="M19" s="520">
        <v>37.049999999999997</v>
      </c>
      <c r="N19" s="518" t="s">
        <v>1206</v>
      </c>
    </row>
    <row r="20" spans="1:14" s="518" customFormat="1" x14ac:dyDescent="0.25">
      <c r="A20" s="518" t="s">
        <v>1302</v>
      </c>
      <c r="B20" s="518" t="s">
        <v>1303</v>
      </c>
      <c r="C20" s="519" t="s">
        <v>7429</v>
      </c>
      <c r="D20" s="519" t="s">
        <v>7443</v>
      </c>
      <c r="E20" s="519" t="s">
        <v>7431</v>
      </c>
      <c r="F20" s="519" t="s">
        <v>7444</v>
      </c>
      <c r="G20" s="519" t="s">
        <v>7445</v>
      </c>
      <c r="H20" s="519" t="s">
        <v>7434</v>
      </c>
      <c r="I20" s="519"/>
      <c r="L20" s="518" t="s">
        <v>1206</v>
      </c>
      <c r="M20" s="520">
        <v>42</v>
      </c>
      <c r="N20" s="518" t="s">
        <v>1206</v>
      </c>
    </row>
    <row r="21" spans="1:14" s="518" customFormat="1" x14ac:dyDescent="0.25">
      <c r="A21" s="518" t="s">
        <v>1304</v>
      </c>
      <c r="B21" s="518" t="s">
        <v>1305</v>
      </c>
      <c r="C21" s="519" t="s">
        <v>7429</v>
      </c>
      <c r="D21" s="519" t="s">
        <v>7443</v>
      </c>
      <c r="E21" s="519" t="s">
        <v>7431</v>
      </c>
      <c r="F21" s="519" t="s">
        <v>7446</v>
      </c>
      <c r="G21" s="519"/>
      <c r="H21" s="519" t="s">
        <v>7434</v>
      </c>
      <c r="I21" s="519"/>
      <c r="L21" s="518" t="s">
        <v>1206</v>
      </c>
      <c r="M21" s="520">
        <v>42</v>
      </c>
      <c r="N21" s="518" t="s">
        <v>1206</v>
      </c>
    </row>
    <row r="22" spans="1:14" s="518" customFormat="1" x14ac:dyDescent="0.25">
      <c r="A22" s="518" t="s">
        <v>1306</v>
      </c>
      <c r="B22" s="518" t="s">
        <v>1307</v>
      </c>
      <c r="C22" s="519" t="s">
        <v>7429</v>
      </c>
      <c r="D22" s="519" t="s">
        <v>7443</v>
      </c>
      <c r="E22" s="519" t="s">
        <v>7431</v>
      </c>
      <c r="F22" s="519" t="s">
        <v>7447</v>
      </c>
      <c r="G22" s="519"/>
      <c r="H22" s="519" t="s">
        <v>7434</v>
      </c>
      <c r="I22" s="519"/>
      <c r="L22" s="518" t="s">
        <v>1206</v>
      </c>
      <c r="M22" s="520">
        <v>42</v>
      </c>
      <c r="N22" s="518" t="s">
        <v>1206</v>
      </c>
    </row>
    <row r="23" spans="1:14" s="518" customFormat="1" x14ac:dyDescent="0.25">
      <c r="A23" s="518" t="s">
        <v>1308</v>
      </c>
      <c r="B23" s="518" t="s">
        <v>1309</v>
      </c>
      <c r="C23" s="519" t="s">
        <v>7429</v>
      </c>
      <c r="D23" s="519" t="s">
        <v>7443</v>
      </c>
      <c r="E23" s="519" t="s">
        <v>7431</v>
      </c>
      <c r="F23" s="519" t="s">
        <v>7448</v>
      </c>
      <c r="G23" s="519" t="s">
        <v>7433</v>
      </c>
      <c r="H23" s="519" t="s">
        <v>7434</v>
      </c>
      <c r="I23" s="519"/>
      <c r="L23" s="518" t="s">
        <v>1206</v>
      </c>
      <c r="M23" s="520">
        <v>42</v>
      </c>
      <c r="N23" s="518" t="s">
        <v>1206</v>
      </c>
    </row>
    <row r="24" spans="1:14" s="518" customFormat="1" x14ac:dyDescent="0.25">
      <c r="A24" s="518" t="s">
        <v>1310</v>
      </c>
      <c r="B24" s="518" t="s">
        <v>1311</v>
      </c>
      <c r="C24" s="519" t="s">
        <v>7429</v>
      </c>
      <c r="D24" s="519" t="s">
        <v>7443</v>
      </c>
      <c r="E24" s="519" t="s">
        <v>7431</v>
      </c>
      <c r="F24" s="519" t="s">
        <v>7449</v>
      </c>
      <c r="G24" s="519"/>
      <c r="H24" s="519" t="s">
        <v>7434</v>
      </c>
      <c r="I24" s="519"/>
      <c r="L24" s="518" t="s">
        <v>1206</v>
      </c>
      <c r="M24" s="520">
        <v>42</v>
      </c>
      <c r="N24" s="518" t="s">
        <v>1206</v>
      </c>
    </row>
    <row r="25" spans="1:14" s="518" customFormat="1" x14ac:dyDescent="0.25">
      <c r="A25" s="518" t="s">
        <v>1312</v>
      </c>
      <c r="B25" s="518" t="s">
        <v>1313</v>
      </c>
      <c r="C25" s="519" t="s">
        <v>7429</v>
      </c>
      <c r="D25" s="519" t="s">
        <v>7443</v>
      </c>
      <c r="E25" s="519" t="s">
        <v>7431</v>
      </c>
      <c r="F25" s="519" t="s">
        <v>7450</v>
      </c>
      <c r="G25" s="519"/>
      <c r="H25" s="519" t="s">
        <v>7434</v>
      </c>
      <c r="I25" s="519"/>
      <c r="L25" s="518" t="s">
        <v>1206</v>
      </c>
      <c r="M25" s="520">
        <v>42</v>
      </c>
      <c r="N25" s="518" t="s">
        <v>1206</v>
      </c>
    </row>
    <row r="26" spans="1:14" s="518" customFormat="1" x14ac:dyDescent="0.25">
      <c r="A26" s="518" t="s">
        <v>1314</v>
      </c>
      <c r="B26" s="518" t="s">
        <v>1315</v>
      </c>
      <c r="C26" s="519" t="s">
        <v>7429</v>
      </c>
      <c r="D26" s="519" t="s">
        <v>7443</v>
      </c>
      <c r="E26" s="519" t="s">
        <v>7431</v>
      </c>
      <c r="F26" s="519" t="s">
        <v>7451</v>
      </c>
      <c r="G26" s="519" t="s">
        <v>7452</v>
      </c>
      <c r="H26" s="519" t="s">
        <v>7434</v>
      </c>
      <c r="I26" s="519"/>
      <c r="L26" s="518" t="s">
        <v>1206</v>
      </c>
      <c r="M26" s="520">
        <v>42</v>
      </c>
      <c r="N26" s="518" t="s">
        <v>1206</v>
      </c>
    </row>
    <row r="27" spans="1:14" s="518" customFormat="1" x14ac:dyDescent="0.25">
      <c r="A27" s="518" t="s">
        <v>1316</v>
      </c>
      <c r="B27" s="518" t="s">
        <v>1317</v>
      </c>
      <c r="C27" s="519" t="s">
        <v>7429</v>
      </c>
      <c r="D27" s="519" t="s">
        <v>7443</v>
      </c>
      <c r="E27" s="519" t="s">
        <v>7431</v>
      </c>
      <c r="F27" s="519" t="s">
        <v>7453</v>
      </c>
      <c r="G27" s="519" t="s">
        <v>7433</v>
      </c>
      <c r="H27" s="519" t="s">
        <v>7434</v>
      </c>
      <c r="I27" s="519"/>
      <c r="L27" s="518" t="s">
        <v>1206</v>
      </c>
      <c r="M27" s="520">
        <v>42</v>
      </c>
      <c r="N27" s="518" t="s">
        <v>1206</v>
      </c>
    </row>
    <row r="28" spans="1:14" s="518" customFormat="1" x14ac:dyDescent="0.25">
      <c r="A28" s="518" t="s">
        <v>1318</v>
      </c>
      <c r="B28" s="518" t="s">
        <v>1319</v>
      </c>
      <c r="C28" s="519" t="s">
        <v>7429</v>
      </c>
      <c r="D28" s="519" t="s">
        <v>7443</v>
      </c>
      <c r="E28" s="519" t="s">
        <v>7431</v>
      </c>
      <c r="F28" s="519" t="s">
        <v>7454</v>
      </c>
      <c r="G28" s="519" t="s">
        <v>7437</v>
      </c>
      <c r="H28" s="519" t="s">
        <v>7434</v>
      </c>
      <c r="I28" s="519"/>
      <c r="L28" s="518" t="s">
        <v>1206</v>
      </c>
      <c r="M28" s="520">
        <v>42</v>
      </c>
      <c r="N28" s="518" t="s">
        <v>1206</v>
      </c>
    </row>
    <row r="29" spans="1:14" s="518" customFormat="1" x14ac:dyDescent="0.25">
      <c r="A29" s="518" t="s">
        <v>1320</v>
      </c>
      <c r="B29" s="518" t="s">
        <v>1321</v>
      </c>
      <c r="C29" s="519" t="s">
        <v>7429</v>
      </c>
      <c r="D29" s="519" t="s">
        <v>7443</v>
      </c>
      <c r="E29" s="519" t="s">
        <v>7431</v>
      </c>
      <c r="F29" s="519" t="s">
        <v>7455</v>
      </c>
      <c r="G29" s="519"/>
      <c r="H29" s="519" t="s">
        <v>7434</v>
      </c>
      <c r="I29" s="519"/>
      <c r="L29" s="518" t="s">
        <v>1206</v>
      </c>
      <c r="M29" s="520">
        <v>42</v>
      </c>
      <c r="N29" s="518" t="s">
        <v>1206</v>
      </c>
    </row>
    <row r="30" spans="1:14" s="518" customFormat="1" x14ac:dyDescent="0.25">
      <c r="A30" s="518" t="s">
        <v>1322</v>
      </c>
      <c r="B30" s="518" t="s">
        <v>1323</v>
      </c>
      <c r="C30" s="519" t="s">
        <v>7429</v>
      </c>
      <c r="D30" s="519" t="s">
        <v>7443</v>
      </c>
      <c r="E30" s="519" t="s">
        <v>7431</v>
      </c>
      <c r="F30" s="519" t="s">
        <v>7456</v>
      </c>
      <c r="G30" s="519" t="s">
        <v>7457</v>
      </c>
      <c r="H30" s="519" t="s">
        <v>7434</v>
      </c>
      <c r="I30" s="519"/>
      <c r="L30" s="518" t="s">
        <v>1206</v>
      </c>
      <c r="M30" s="520">
        <v>42</v>
      </c>
      <c r="N30" s="518" t="s">
        <v>1206</v>
      </c>
    </row>
    <row r="31" spans="1:14" s="518" customFormat="1" x14ac:dyDescent="0.25">
      <c r="A31" s="518" t="s">
        <v>1324</v>
      </c>
      <c r="B31" s="518" t="s">
        <v>1325</v>
      </c>
      <c r="C31" s="519" t="s">
        <v>7429</v>
      </c>
      <c r="D31" s="519" t="s">
        <v>7443</v>
      </c>
      <c r="E31" s="519" t="s">
        <v>7431</v>
      </c>
      <c r="F31" s="519" t="s">
        <v>7458</v>
      </c>
      <c r="G31" s="519" t="s">
        <v>7459</v>
      </c>
      <c r="H31" s="519" t="s">
        <v>7434</v>
      </c>
      <c r="I31" s="519"/>
      <c r="L31" s="518" t="s">
        <v>1206</v>
      </c>
      <c r="M31" s="520">
        <v>42</v>
      </c>
      <c r="N31" s="518" t="s">
        <v>1206</v>
      </c>
    </row>
    <row r="32" spans="1:14" s="518" customFormat="1" x14ac:dyDescent="0.25">
      <c r="A32" s="518" t="s">
        <v>1326</v>
      </c>
      <c r="B32" s="518" t="s">
        <v>1327</v>
      </c>
      <c r="C32" s="519" t="s">
        <v>7429</v>
      </c>
      <c r="D32" s="519" t="s">
        <v>7443</v>
      </c>
      <c r="E32" s="519" t="s">
        <v>7431</v>
      </c>
      <c r="F32" s="519" t="s">
        <v>7460</v>
      </c>
      <c r="G32" s="519" t="s">
        <v>7436</v>
      </c>
      <c r="H32" s="519" t="s">
        <v>7434</v>
      </c>
      <c r="I32" s="519"/>
      <c r="L32" s="518" t="s">
        <v>1206</v>
      </c>
      <c r="M32" s="520">
        <v>42</v>
      </c>
      <c r="N32" s="518" t="s">
        <v>1206</v>
      </c>
    </row>
    <row r="33" spans="1:14" s="518" customFormat="1" x14ac:dyDescent="0.25">
      <c r="A33" s="518" t="s">
        <v>1328</v>
      </c>
      <c r="B33" s="518" t="s">
        <v>1329</v>
      </c>
      <c r="C33" s="519" t="s">
        <v>7429</v>
      </c>
      <c r="D33" s="519" t="s">
        <v>7443</v>
      </c>
      <c r="E33" s="519" t="s">
        <v>7431</v>
      </c>
      <c r="F33" s="519" t="s">
        <v>7461</v>
      </c>
      <c r="G33" s="519"/>
      <c r="H33" s="519" t="s">
        <v>7434</v>
      </c>
      <c r="I33" s="519"/>
      <c r="L33" s="518" t="s">
        <v>1206</v>
      </c>
      <c r="M33" s="520">
        <v>42</v>
      </c>
      <c r="N33" s="518" t="s">
        <v>1206</v>
      </c>
    </row>
    <row r="34" spans="1:14" s="518" customFormat="1" x14ac:dyDescent="0.25">
      <c r="A34" s="518" t="s">
        <v>1330</v>
      </c>
      <c r="B34" s="518" t="s">
        <v>1331</v>
      </c>
      <c r="C34" s="519" t="s">
        <v>7429</v>
      </c>
      <c r="D34" s="519" t="s">
        <v>7462</v>
      </c>
      <c r="E34" s="519" t="s">
        <v>7431</v>
      </c>
      <c r="F34" s="519" t="s">
        <v>7463</v>
      </c>
      <c r="G34" s="519" t="s">
        <v>363</v>
      </c>
      <c r="H34" s="519" t="s">
        <v>7434</v>
      </c>
      <c r="I34" s="519"/>
      <c r="L34" s="518" t="s">
        <v>1206</v>
      </c>
      <c r="M34" s="520">
        <v>42</v>
      </c>
      <c r="N34" s="518" t="s">
        <v>1206</v>
      </c>
    </row>
    <row r="35" spans="1:14" s="518" customFormat="1" x14ac:dyDescent="0.25">
      <c r="A35" s="518" t="s">
        <v>1332</v>
      </c>
      <c r="B35" s="518" t="s">
        <v>1333</v>
      </c>
      <c r="C35" s="519" t="s">
        <v>7429</v>
      </c>
      <c r="D35" s="519" t="s">
        <v>7464</v>
      </c>
      <c r="E35" s="519"/>
      <c r="F35" s="519" t="s">
        <v>7447</v>
      </c>
      <c r="G35" s="519"/>
      <c r="H35" s="519" t="s">
        <v>7434</v>
      </c>
      <c r="I35" s="519"/>
      <c r="L35" s="518" t="s">
        <v>1206</v>
      </c>
      <c r="M35" s="520">
        <v>63</v>
      </c>
      <c r="N35" s="518" t="s">
        <v>1206</v>
      </c>
    </row>
    <row r="36" spans="1:14" s="518" customFormat="1" x14ac:dyDescent="0.25">
      <c r="A36" s="518" t="s">
        <v>1334</v>
      </c>
      <c r="B36" s="518" t="s">
        <v>1335</v>
      </c>
      <c r="C36" s="519" t="s">
        <v>7429</v>
      </c>
      <c r="D36" s="519" t="s">
        <v>7464</v>
      </c>
      <c r="E36" s="519"/>
      <c r="F36" s="519" t="s">
        <v>7448</v>
      </c>
      <c r="G36" s="519" t="s">
        <v>7433</v>
      </c>
      <c r="H36" s="519" t="s">
        <v>7434</v>
      </c>
      <c r="I36" s="519"/>
      <c r="L36" s="518" t="s">
        <v>1206</v>
      </c>
      <c r="M36" s="520">
        <v>63</v>
      </c>
      <c r="N36" s="518" t="s">
        <v>1206</v>
      </c>
    </row>
    <row r="37" spans="1:14" s="518" customFormat="1" x14ac:dyDescent="0.25">
      <c r="A37" s="518" t="s">
        <v>1336</v>
      </c>
      <c r="B37" s="518" t="s">
        <v>1337</v>
      </c>
      <c r="C37" s="519" t="s">
        <v>7429</v>
      </c>
      <c r="D37" s="519" t="s">
        <v>7464</v>
      </c>
      <c r="E37" s="519"/>
      <c r="F37" s="519" t="s">
        <v>7449</v>
      </c>
      <c r="G37" s="519"/>
      <c r="H37" s="519" t="s">
        <v>7434</v>
      </c>
      <c r="I37" s="519"/>
      <c r="L37" s="518" t="s">
        <v>1206</v>
      </c>
      <c r="M37" s="520">
        <v>63</v>
      </c>
      <c r="N37" s="518" t="s">
        <v>1206</v>
      </c>
    </row>
    <row r="38" spans="1:14" s="518" customFormat="1" x14ac:dyDescent="0.25">
      <c r="A38" s="518" t="s">
        <v>1338</v>
      </c>
      <c r="B38" s="518" t="s">
        <v>1339</v>
      </c>
      <c r="C38" s="519" t="s">
        <v>7429</v>
      </c>
      <c r="D38" s="519" t="s">
        <v>7464</v>
      </c>
      <c r="E38" s="519"/>
      <c r="F38" s="519" t="s">
        <v>7450</v>
      </c>
      <c r="G38" s="519"/>
      <c r="H38" s="519" t="s">
        <v>7434</v>
      </c>
      <c r="I38" s="519"/>
      <c r="L38" s="518" t="s">
        <v>1206</v>
      </c>
      <c r="M38" s="520">
        <v>63</v>
      </c>
      <c r="N38" s="518" t="s">
        <v>1206</v>
      </c>
    </row>
    <row r="39" spans="1:14" s="518" customFormat="1" x14ac:dyDescent="0.25">
      <c r="A39" s="518" t="s">
        <v>1340</v>
      </c>
      <c r="B39" s="518" t="s">
        <v>1341</v>
      </c>
      <c r="C39" s="519" t="s">
        <v>7429</v>
      </c>
      <c r="D39" s="519" t="s">
        <v>7464</v>
      </c>
      <c r="E39" s="519"/>
      <c r="F39" s="519" t="s">
        <v>7453</v>
      </c>
      <c r="G39" s="519" t="s">
        <v>7433</v>
      </c>
      <c r="H39" s="519" t="s">
        <v>7434</v>
      </c>
      <c r="I39" s="519"/>
      <c r="L39" s="518" t="s">
        <v>1206</v>
      </c>
      <c r="M39" s="520">
        <v>63</v>
      </c>
      <c r="N39" s="518" t="s">
        <v>1206</v>
      </c>
    </row>
    <row r="40" spans="1:14" s="518" customFormat="1" x14ac:dyDescent="0.25">
      <c r="A40" s="518" t="s">
        <v>1342</v>
      </c>
      <c r="B40" s="518" t="s">
        <v>1343</v>
      </c>
      <c r="C40" s="519" t="s">
        <v>7429</v>
      </c>
      <c r="D40" s="519" t="s">
        <v>7464</v>
      </c>
      <c r="E40" s="519"/>
      <c r="F40" s="519" t="s">
        <v>7454</v>
      </c>
      <c r="G40" s="519" t="s">
        <v>7437</v>
      </c>
      <c r="H40" s="519" t="s">
        <v>7434</v>
      </c>
      <c r="I40" s="519"/>
      <c r="L40" s="518" t="s">
        <v>1206</v>
      </c>
      <c r="M40" s="520">
        <v>63</v>
      </c>
      <c r="N40" s="518" t="s">
        <v>1206</v>
      </c>
    </row>
    <row r="41" spans="1:14" s="518" customFormat="1" x14ac:dyDescent="0.25">
      <c r="A41" s="518" t="s">
        <v>1344</v>
      </c>
      <c r="B41" s="518" t="s">
        <v>1345</v>
      </c>
      <c r="C41" s="519" t="s">
        <v>7429</v>
      </c>
      <c r="D41" s="519" t="s">
        <v>7464</v>
      </c>
      <c r="E41" s="519"/>
      <c r="F41" s="519" t="s">
        <v>7455</v>
      </c>
      <c r="G41" s="519"/>
      <c r="H41" s="519" t="s">
        <v>7434</v>
      </c>
      <c r="I41" s="519"/>
      <c r="L41" s="518" t="s">
        <v>1206</v>
      </c>
      <c r="M41" s="520">
        <v>63</v>
      </c>
      <c r="N41" s="518" t="s">
        <v>1206</v>
      </c>
    </row>
    <row r="42" spans="1:14" s="518" customFormat="1" x14ac:dyDescent="0.25">
      <c r="A42" s="518" t="s">
        <v>1346</v>
      </c>
      <c r="B42" s="518" t="s">
        <v>1347</v>
      </c>
      <c r="C42" s="519" t="s">
        <v>7429</v>
      </c>
      <c r="D42" s="519" t="s">
        <v>7464</v>
      </c>
      <c r="E42" s="519"/>
      <c r="F42" s="519" t="s">
        <v>7460</v>
      </c>
      <c r="G42" s="519" t="s">
        <v>7436</v>
      </c>
      <c r="H42" s="519" t="s">
        <v>7434</v>
      </c>
      <c r="I42" s="519"/>
      <c r="L42" s="518" t="s">
        <v>1206</v>
      </c>
      <c r="M42" s="520">
        <v>63</v>
      </c>
      <c r="N42" s="518" t="s">
        <v>1206</v>
      </c>
    </row>
    <row r="43" spans="1:14" s="518" customFormat="1" x14ac:dyDescent="0.25">
      <c r="A43" s="518" t="s">
        <v>1348</v>
      </c>
      <c r="B43" s="518" t="s">
        <v>1349</v>
      </c>
      <c r="C43" s="519" t="s">
        <v>7429</v>
      </c>
      <c r="D43" s="519" t="s">
        <v>7465</v>
      </c>
      <c r="E43" s="519"/>
      <c r="F43" s="519" t="s">
        <v>7463</v>
      </c>
      <c r="G43" s="519" t="s">
        <v>363</v>
      </c>
      <c r="H43" s="519" t="s">
        <v>7466</v>
      </c>
      <c r="I43" s="519"/>
      <c r="L43" s="518" t="s">
        <v>1206</v>
      </c>
      <c r="M43" s="520">
        <v>63</v>
      </c>
      <c r="N43" s="518" t="s">
        <v>1206</v>
      </c>
    </row>
    <row r="44" spans="1:14" s="518" customFormat="1" x14ac:dyDescent="0.25">
      <c r="A44" s="518" t="s">
        <v>1350</v>
      </c>
      <c r="B44" s="518" t="s">
        <v>1351</v>
      </c>
      <c r="C44" s="519" t="s">
        <v>7467</v>
      </c>
      <c r="D44" s="519" t="s">
        <v>7468</v>
      </c>
      <c r="E44" s="519" t="s">
        <v>7431</v>
      </c>
      <c r="F44" s="519">
        <v>252</v>
      </c>
      <c r="G44" s="519" t="s">
        <v>7469</v>
      </c>
      <c r="H44" s="519" t="s">
        <v>361</v>
      </c>
      <c r="I44" s="519" t="s">
        <v>7470</v>
      </c>
      <c r="L44" s="518" t="s">
        <v>1206</v>
      </c>
      <c r="M44" s="520">
        <v>49</v>
      </c>
      <c r="N44" s="518" t="s">
        <v>1206</v>
      </c>
    </row>
    <row r="45" spans="1:14" s="518" customFormat="1" x14ac:dyDescent="0.25">
      <c r="A45" s="518" t="s">
        <v>1352</v>
      </c>
      <c r="B45" s="518" t="s">
        <v>1353</v>
      </c>
      <c r="C45" s="519" t="s">
        <v>7467</v>
      </c>
      <c r="D45" s="519" t="s">
        <v>7468</v>
      </c>
      <c r="E45" s="519" t="s">
        <v>7431</v>
      </c>
      <c r="F45" s="519">
        <v>252</v>
      </c>
      <c r="G45" s="519" t="s">
        <v>148</v>
      </c>
      <c r="H45" s="519" t="s">
        <v>7471</v>
      </c>
      <c r="I45" s="519" t="s">
        <v>7470</v>
      </c>
      <c r="L45" s="518" t="s">
        <v>1206</v>
      </c>
      <c r="M45" s="520">
        <v>49</v>
      </c>
      <c r="N45" s="518" t="s">
        <v>1206</v>
      </c>
    </row>
    <row r="46" spans="1:14" s="518" customFormat="1" x14ac:dyDescent="0.25">
      <c r="A46" s="518" t="s">
        <v>1354</v>
      </c>
      <c r="B46" s="518" t="s">
        <v>1355</v>
      </c>
      <c r="C46" s="519" t="s">
        <v>7467</v>
      </c>
      <c r="D46" s="519" t="s">
        <v>7468</v>
      </c>
      <c r="E46" s="519" t="s">
        <v>7431</v>
      </c>
      <c r="F46" s="519">
        <v>252</v>
      </c>
      <c r="G46" s="519" t="s">
        <v>514</v>
      </c>
      <c r="H46" s="519" t="s">
        <v>7470</v>
      </c>
      <c r="I46" s="519"/>
      <c r="L46" s="518" t="s">
        <v>1206</v>
      </c>
      <c r="M46" s="520">
        <v>49</v>
      </c>
      <c r="N46" s="518" t="s">
        <v>1206</v>
      </c>
    </row>
    <row r="47" spans="1:14" s="518" customFormat="1" x14ac:dyDescent="0.25">
      <c r="A47" s="518" t="s">
        <v>1356</v>
      </c>
      <c r="B47" s="518" t="s">
        <v>1357</v>
      </c>
      <c r="C47" s="519" t="s">
        <v>7467</v>
      </c>
      <c r="D47" s="519" t="s">
        <v>7468</v>
      </c>
      <c r="E47" s="519" t="s">
        <v>7431</v>
      </c>
      <c r="F47" s="519">
        <v>252</v>
      </c>
      <c r="G47" s="519" t="s">
        <v>7472</v>
      </c>
      <c r="H47" s="519" t="s">
        <v>7473</v>
      </c>
      <c r="I47" s="519" t="s">
        <v>7470</v>
      </c>
      <c r="L47" s="518" t="s">
        <v>1206</v>
      </c>
      <c r="M47" s="520">
        <v>49</v>
      </c>
      <c r="N47" s="518" t="s">
        <v>1206</v>
      </c>
    </row>
    <row r="48" spans="1:14" s="518" customFormat="1" x14ac:dyDescent="0.25">
      <c r="A48" s="518" t="s">
        <v>1358</v>
      </c>
      <c r="B48" s="518" t="s">
        <v>1359</v>
      </c>
      <c r="C48" s="519" t="s">
        <v>7467</v>
      </c>
      <c r="D48" s="519" t="s">
        <v>7468</v>
      </c>
      <c r="E48" s="519" t="s">
        <v>7431</v>
      </c>
      <c r="F48" s="519">
        <v>252</v>
      </c>
      <c r="G48" s="519" t="s">
        <v>7474</v>
      </c>
      <c r="H48" s="519" t="s">
        <v>7428</v>
      </c>
      <c r="I48" s="519" t="s">
        <v>7470</v>
      </c>
      <c r="L48" s="518" t="s">
        <v>1206</v>
      </c>
      <c r="M48" s="520">
        <v>49</v>
      </c>
      <c r="N48" s="518" t="s">
        <v>1206</v>
      </c>
    </row>
    <row r="49" spans="1:14" s="518" customFormat="1" x14ac:dyDescent="0.25">
      <c r="A49" s="518" t="s">
        <v>1360</v>
      </c>
      <c r="B49" s="518" t="s">
        <v>1361</v>
      </c>
      <c r="C49" s="519" t="s">
        <v>7467</v>
      </c>
      <c r="D49" s="519" t="s">
        <v>7468</v>
      </c>
      <c r="E49" s="519" t="s">
        <v>7431</v>
      </c>
      <c r="F49" s="519">
        <v>252</v>
      </c>
      <c r="G49" s="519" t="s">
        <v>7475</v>
      </c>
      <c r="H49" s="519" t="s">
        <v>7476</v>
      </c>
      <c r="I49" s="519" t="s">
        <v>7470</v>
      </c>
      <c r="L49" s="518" t="s">
        <v>1206</v>
      </c>
      <c r="M49" s="520">
        <v>49</v>
      </c>
      <c r="N49" s="518" t="s">
        <v>1206</v>
      </c>
    </row>
    <row r="50" spans="1:14" s="518" customFormat="1" x14ac:dyDescent="0.25">
      <c r="A50" s="518" t="s">
        <v>1362</v>
      </c>
      <c r="B50" s="518" t="s">
        <v>1363</v>
      </c>
      <c r="C50" s="519" t="s">
        <v>7467</v>
      </c>
      <c r="D50" s="519" t="s">
        <v>7468</v>
      </c>
      <c r="E50" s="519" t="s">
        <v>7431</v>
      </c>
      <c r="F50" s="519">
        <v>252</v>
      </c>
      <c r="G50" s="519" t="s">
        <v>519</v>
      </c>
      <c r="H50" s="519" t="s">
        <v>363</v>
      </c>
      <c r="I50" s="519" t="s">
        <v>7470</v>
      </c>
      <c r="L50" s="518" t="s">
        <v>1206</v>
      </c>
      <c r="M50" s="520">
        <v>49</v>
      </c>
      <c r="N50" s="518" t="s">
        <v>1206</v>
      </c>
    </row>
    <row r="51" spans="1:14" s="518" customFormat="1" x14ac:dyDescent="0.25">
      <c r="A51" s="518" t="s">
        <v>1364</v>
      </c>
      <c r="B51" s="518" t="s">
        <v>1365</v>
      </c>
      <c r="C51" s="519" t="s">
        <v>7467</v>
      </c>
      <c r="D51" s="519" t="s">
        <v>7468</v>
      </c>
      <c r="E51" s="519" t="s">
        <v>7431</v>
      </c>
      <c r="F51" s="519">
        <v>252</v>
      </c>
      <c r="G51" s="519" t="s">
        <v>729</v>
      </c>
      <c r="H51" s="519" t="s">
        <v>7470</v>
      </c>
      <c r="I51" s="519"/>
      <c r="L51" s="518" t="s">
        <v>1206</v>
      </c>
      <c r="M51" s="520">
        <v>49</v>
      </c>
      <c r="N51" s="518" t="s">
        <v>1206</v>
      </c>
    </row>
    <row r="52" spans="1:14" s="518" customFormat="1" x14ac:dyDescent="0.25">
      <c r="A52" s="518" t="s">
        <v>1366</v>
      </c>
      <c r="B52" s="518" t="s">
        <v>1367</v>
      </c>
      <c r="C52" s="519" t="s">
        <v>7467</v>
      </c>
      <c r="D52" s="519" t="s">
        <v>7468</v>
      </c>
      <c r="E52" s="519" t="s">
        <v>7431</v>
      </c>
      <c r="F52" s="519">
        <v>252</v>
      </c>
      <c r="G52" s="519" t="s">
        <v>7477</v>
      </c>
      <c r="H52" s="519" t="s">
        <v>7428</v>
      </c>
      <c r="I52" s="519" t="s">
        <v>7470</v>
      </c>
      <c r="L52" s="518" t="s">
        <v>1206</v>
      </c>
      <c r="M52" s="520">
        <v>49</v>
      </c>
      <c r="N52" s="518" t="s">
        <v>1206</v>
      </c>
    </row>
    <row r="53" spans="1:14" s="518" customFormat="1" x14ac:dyDescent="0.25">
      <c r="A53" s="518" t="s">
        <v>1368</v>
      </c>
      <c r="B53" s="518" t="s">
        <v>1369</v>
      </c>
      <c r="C53" s="519" t="s">
        <v>7478</v>
      </c>
      <c r="D53" s="519" t="s">
        <v>7479</v>
      </c>
      <c r="E53" s="519" t="s">
        <v>7480</v>
      </c>
      <c r="F53" s="519" t="s">
        <v>7481</v>
      </c>
      <c r="G53" s="519" t="s">
        <v>148</v>
      </c>
      <c r="H53" s="519" t="s">
        <v>7482</v>
      </c>
      <c r="I53" s="519" t="s">
        <v>7422</v>
      </c>
      <c r="L53" s="518" t="s">
        <v>1206</v>
      </c>
      <c r="M53" s="520">
        <v>42.1</v>
      </c>
      <c r="N53" s="518" t="s">
        <v>1206</v>
      </c>
    </row>
    <row r="54" spans="1:14" s="518" customFormat="1" x14ac:dyDescent="0.25">
      <c r="A54" s="518" t="s">
        <v>1370</v>
      </c>
      <c r="B54" s="518" t="s">
        <v>1371</v>
      </c>
      <c r="C54" s="519" t="s">
        <v>7478</v>
      </c>
      <c r="D54" s="519" t="s">
        <v>7483</v>
      </c>
      <c r="E54" s="519" t="s">
        <v>7484</v>
      </c>
      <c r="F54" s="519" t="s">
        <v>7485</v>
      </c>
      <c r="G54" s="519" t="s">
        <v>7431</v>
      </c>
      <c r="H54" s="519" t="s">
        <v>7486</v>
      </c>
      <c r="I54" s="519" t="s">
        <v>7422</v>
      </c>
      <c r="L54" s="518" t="s">
        <v>1206</v>
      </c>
      <c r="M54" s="520">
        <v>63</v>
      </c>
      <c r="N54" s="518" t="s">
        <v>1206</v>
      </c>
    </row>
    <row r="55" spans="1:14" s="518" customFormat="1" x14ac:dyDescent="0.25">
      <c r="A55" s="518" t="s">
        <v>1372</v>
      </c>
      <c r="B55" s="518" t="s">
        <v>1373</v>
      </c>
      <c r="C55" s="519" t="s">
        <v>7478</v>
      </c>
      <c r="D55" s="519" t="s">
        <v>7483</v>
      </c>
      <c r="E55" s="519" t="s">
        <v>7484</v>
      </c>
      <c r="F55" s="519" t="s">
        <v>7485</v>
      </c>
      <c r="G55" s="519" t="s">
        <v>7431</v>
      </c>
      <c r="H55" s="519" t="s">
        <v>7487</v>
      </c>
      <c r="I55" s="519" t="s">
        <v>7422</v>
      </c>
      <c r="L55" s="518" t="s">
        <v>1206</v>
      </c>
      <c r="M55" s="520">
        <v>63</v>
      </c>
      <c r="N55" s="518" t="s">
        <v>1206</v>
      </c>
    </row>
    <row r="56" spans="1:14" s="518" customFormat="1" x14ac:dyDescent="0.25">
      <c r="A56" s="518" t="s">
        <v>1374</v>
      </c>
      <c r="B56" s="518" t="s">
        <v>1375</v>
      </c>
      <c r="C56" s="519" t="s">
        <v>7478</v>
      </c>
      <c r="D56" s="519" t="s">
        <v>7483</v>
      </c>
      <c r="E56" s="519" t="s">
        <v>7484</v>
      </c>
      <c r="F56" s="519" t="s">
        <v>7485</v>
      </c>
      <c r="G56" s="519" t="s">
        <v>7431</v>
      </c>
      <c r="H56" s="519" t="s">
        <v>7488</v>
      </c>
      <c r="I56" s="519" t="s">
        <v>7489</v>
      </c>
      <c r="J56" s="518" t="s">
        <v>7422</v>
      </c>
      <c r="L56" s="518" t="s">
        <v>1206</v>
      </c>
      <c r="M56" s="520">
        <v>63</v>
      </c>
      <c r="N56" s="518" t="s">
        <v>1206</v>
      </c>
    </row>
    <row r="57" spans="1:14" s="518" customFormat="1" x14ac:dyDescent="0.25">
      <c r="A57" s="518" t="s">
        <v>1376</v>
      </c>
      <c r="B57" s="518" t="s">
        <v>1377</v>
      </c>
      <c r="C57" s="519" t="s">
        <v>7478</v>
      </c>
      <c r="D57" s="519" t="s">
        <v>7483</v>
      </c>
      <c r="E57" s="519" t="s">
        <v>7484</v>
      </c>
      <c r="F57" s="519" t="s">
        <v>7485</v>
      </c>
      <c r="G57" s="519" t="s">
        <v>7431</v>
      </c>
      <c r="H57" s="519" t="s">
        <v>7490</v>
      </c>
      <c r="I57" s="519" t="s">
        <v>7491</v>
      </c>
      <c r="J57" s="518" t="s">
        <v>7422</v>
      </c>
      <c r="L57" s="518" t="s">
        <v>1206</v>
      </c>
      <c r="M57" s="520">
        <v>63</v>
      </c>
      <c r="N57" s="518" t="s">
        <v>1206</v>
      </c>
    </row>
    <row r="58" spans="1:14" s="518" customFormat="1" x14ac:dyDescent="0.25">
      <c r="A58" s="518" t="s">
        <v>1378</v>
      </c>
      <c r="B58" s="518" t="s">
        <v>1379</v>
      </c>
      <c r="C58" s="519" t="s">
        <v>7478</v>
      </c>
      <c r="D58" s="519" t="s">
        <v>7479</v>
      </c>
      <c r="E58" s="519" t="s">
        <v>7480</v>
      </c>
      <c r="F58" s="519" t="s">
        <v>590</v>
      </c>
      <c r="G58" s="519" t="s">
        <v>7422</v>
      </c>
      <c r="H58" s="519"/>
      <c r="I58" s="519"/>
      <c r="L58" s="518" t="s">
        <v>1206</v>
      </c>
      <c r="M58" s="520">
        <v>42.1</v>
      </c>
      <c r="N58" s="518" t="s">
        <v>1206</v>
      </c>
    </row>
    <row r="59" spans="1:14" s="518" customFormat="1" x14ac:dyDescent="0.25">
      <c r="A59" s="518" t="s">
        <v>1380</v>
      </c>
      <c r="B59" s="518" t="s">
        <v>1381</v>
      </c>
      <c r="C59" s="519" t="s">
        <v>7478</v>
      </c>
      <c r="D59" s="519" t="s">
        <v>7479</v>
      </c>
      <c r="E59" s="519" t="s">
        <v>7480</v>
      </c>
      <c r="F59" s="519" t="s">
        <v>7492</v>
      </c>
      <c r="G59" s="519" t="s">
        <v>7493</v>
      </c>
      <c r="H59" s="519" t="s">
        <v>7422</v>
      </c>
      <c r="I59" s="519"/>
      <c r="L59" s="518" t="s">
        <v>1206</v>
      </c>
      <c r="M59" s="520">
        <v>42.1</v>
      </c>
      <c r="N59" s="518" t="s">
        <v>1206</v>
      </c>
    </row>
    <row r="60" spans="1:14" s="518" customFormat="1" x14ac:dyDescent="0.25">
      <c r="A60" s="518" t="s">
        <v>1382</v>
      </c>
      <c r="B60" s="518" t="s">
        <v>1383</v>
      </c>
      <c r="C60" s="519" t="s">
        <v>7478</v>
      </c>
      <c r="D60" s="519" t="s">
        <v>7494</v>
      </c>
      <c r="E60" s="519" t="s">
        <v>7480</v>
      </c>
      <c r="F60" s="519" t="s">
        <v>7492</v>
      </c>
      <c r="G60" s="519" t="s">
        <v>7495</v>
      </c>
      <c r="H60" s="519" t="s">
        <v>7422</v>
      </c>
      <c r="I60" s="519"/>
      <c r="L60" s="518" t="s">
        <v>1206</v>
      </c>
      <c r="M60" s="520">
        <v>42.1</v>
      </c>
      <c r="N60" s="518" t="s">
        <v>1206</v>
      </c>
    </row>
    <row r="61" spans="1:14" s="518" customFormat="1" x14ac:dyDescent="0.25">
      <c r="A61" s="518" t="s">
        <v>1384</v>
      </c>
      <c r="B61" s="518" t="s">
        <v>1385</v>
      </c>
      <c r="C61" s="519" t="s">
        <v>7478</v>
      </c>
      <c r="D61" s="519" t="s">
        <v>7479</v>
      </c>
      <c r="E61" s="519" t="s">
        <v>7480</v>
      </c>
      <c r="F61" s="519" t="s">
        <v>582</v>
      </c>
      <c r="G61" s="519" t="s">
        <v>7422</v>
      </c>
      <c r="H61" s="519"/>
      <c r="I61" s="519"/>
      <c r="L61" s="518" t="s">
        <v>1206</v>
      </c>
      <c r="M61" s="520">
        <v>42.1</v>
      </c>
      <c r="N61" s="518" t="s">
        <v>1206</v>
      </c>
    </row>
    <row r="62" spans="1:14" s="518" customFormat="1" x14ac:dyDescent="0.25">
      <c r="A62" s="518" t="s">
        <v>1386</v>
      </c>
      <c r="B62" s="518" t="s">
        <v>1387</v>
      </c>
      <c r="C62" s="519" t="s">
        <v>7478</v>
      </c>
      <c r="D62" s="519" t="s">
        <v>7479</v>
      </c>
      <c r="E62" s="519" t="s">
        <v>7480</v>
      </c>
      <c r="F62" s="519" t="s">
        <v>7496</v>
      </c>
      <c r="G62" s="519" t="s">
        <v>7426</v>
      </c>
      <c r="H62" s="519" t="s">
        <v>7422</v>
      </c>
      <c r="I62" s="519"/>
      <c r="L62" s="518" t="s">
        <v>1206</v>
      </c>
      <c r="M62" s="520">
        <v>42.1</v>
      </c>
      <c r="N62" s="518" t="s">
        <v>1206</v>
      </c>
    </row>
    <row r="63" spans="1:14" s="518" customFormat="1" x14ac:dyDescent="0.25">
      <c r="A63" s="518" t="s">
        <v>1388</v>
      </c>
      <c r="B63" s="518" t="s">
        <v>1389</v>
      </c>
      <c r="C63" s="519" t="s">
        <v>7478</v>
      </c>
      <c r="D63" s="519" t="s">
        <v>7479</v>
      </c>
      <c r="E63" s="519" t="s">
        <v>7480</v>
      </c>
      <c r="F63" s="519" t="s">
        <v>7497</v>
      </c>
      <c r="G63" s="519" t="s">
        <v>148</v>
      </c>
      <c r="H63" s="519" t="s">
        <v>7422</v>
      </c>
      <c r="I63" s="519"/>
      <c r="L63" s="518" t="s">
        <v>1206</v>
      </c>
      <c r="M63" s="520">
        <v>42.1</v>
      </c>
      <c r="N63" s="518" t="s">
        <v>1206</v>
      </c>
    </row>
    <row r="64" spans="1:14" s="518" customFormat="1" x14ac:dyDescent="0.25">
      <c r="A64" s="518" t="s">
        <v>1390</v>
      </c>
      <c r="B64" s="518" t="s">
        <v>1391</v>
      </c>
      <c r="C64" s="519" t="s">
        <v>7478</v>
      </c>
      <c r="D64" s="519" t="s">
        <v>7479</v>
      </c>
      <c r="E64" s="519" t="s">
        <v>7480</v>
      </c>
      <c r="F64" s="519" t="s">
        <v>7498</v>
      </c>
      <c r="G64" s="519" t="s">
        <v>7426</v>
      </c>
      <c r="H64" s="519" t="s">
        <v>7422</v>
      </c>
      <c r="I64" s="519"/>
      <c r="L64" s="518" t="s">
        <v>1206</v>
      </c>
      <c r="M64" s="520">
        <v>42.1</v>
      </c>
      <c r="N64" s="518" t="s">
        <v>1206</v>
      </c>
    </row>
    <row r="65" spans="1:14" s="518" customFormat="1" x14ac:dyDescent="0.25">
      <c r="A65" s="518" t="s">
        <v>1392</v>
      </c>
      <c r="B65" s="518" t="s">
        <v>1393</v>
      </c>
      <c r="C65" s="519" t="s">
        <v>7478</v>
      </c>
      <c r="D65" s="519" t="s">
        <v>7479</v>
      </c>
      <c r="E65" s="519" t="s">
        <v>7480</v>
      </c>
      <c r="F65" s="519" t="s">
        <v>7499</v>
      </c>
      <c r="G65" s="519" t="s">
        <v>7426</v>
      </c>
      <c r="H65" s="519" t="s">
        <v>7422</v>
      </c>
      <c r="I65" s="519"/>
      <c r="L65" s="518" t="s">
        <v>1206</v>
      </c>
      <c r="M65" s="520">
        <v>42.1</v>
      </c>
      <c r="N65" s="518" t="s">
        <v>1206</v>
      </c>
    </row>
    <row r="66" spans="1:14" s="518" customFormat="1" x14ac:dyDescent="0.25">
      <c r="A66" s="518" t="s">
        <v>1394</v>
      </c>
      <c r="B66" s="518" t="s">
        <v>1395</v>
      </c>
      <c r="C66" s="519" t="s">
        <v>7478</v>
      </c>
      <c r="D66" s="519" t="s">
        <v>7479</v>
      </c>
      <c r="E66" s="519" t="s">
        <v>7480</v>
      </c>
      <c r="F66" s="519" t="s">
        <v>7500</v>
      </c>
      <c r="G66" s="519" t="s">
        <v>7422</v>
      </c>
      <c r="H66" s="519"/>
      <c r="I66" s="519"/>
      <c r="L66" s="518" t="s">
        <v>1206</v>
      </c>
      <c r="M66" s="520">
        <v>42.1</v>
      </c>
      <c r="N66" s="518" t="s">
        <v>1206</v>
      </c>
    </row>
    <row r="67" spans="1:14" s="518" customFormat="1" x14ac:dyDescent="0.25">
      <c r="A67" s="518" t="s">
        <v>1396</v>
      </c>
      <c r="B67" s="518" t="s">
        <v>1397</v>
      </c>
      <c r="C67" s="519" t="s">
        <v>7478</v>
      </c>
      <c r="D67" s="519" t="s">
        <v>7479</v>
      </c>
      <c r="E67" s="519" t="s">
        <v>7480</v>
      </c>
      <c r="F67" s="519" t="s">
        <v>593</v>
      </c>
      <c r="G67" s="519" t="s">
        <v>7422</v>
      </c>
      <c r="H67" s="519"/>
      <c r="I67" s="519"/>
      <c r="L67" s="518" t="s">
        <v>1206</v>
      </c>
      <c r="M67" s="520">
        <v>42.1</v>
      </c>
      <c r="N67" s="518" t="s">
        <v>1206</v>
      </c>
    </row>
    <row r="68" spans="1:14" s="518" customFormat="1" x14ac:dyDescent="0.25">
      <c r="A68" s="518" t="s">
        <v>1398</v>
      </c>
      <c r="B68" s="518" t="s">
        <v>1399</v>
      </c>
      <c r="C68" s="519" t="s">
        <v>7478</v>
      </c>
      <c r="D68" s="519" t="s">
        <v>7494</v>
      </c>
      <c r="E68" s="519" t="s">
        <v>7480</v>
      </c>
      <c r="F68" s="519" t="s">
        <v>7501</v>
      </c>
      <c r="G68" s="519" t="s">
        <v>7422</v>
      </c>
      <c r="H68" s="519"/>
      <c r="I68" s="519"/>
      <c r="L68" s="518" t="s">
        <v>1206</v>
      </c>
      <c r="M68" s="520">
        <v>42.1</v>
      </c>
      <c r="N68" s="518" t="s">
        <v>1206</v>
      </c>
    </row>
    <row r="69" spans="1:14" x14ac:dyDescent="0.25">
      <c r="A69" s="505" t="s">
        <v>1400</v>
      </c>
      <c r="B69" s="505" t="s">
        <v>1401</v>
      </c>
      <c r="C69" s="512" t="s">
        <v>7502</v>
      </c>
      <c r="D69" s="512" t="s">
        <v>7503</v>
      </c>
      <c r="E69" s="512" t="s">
        <v>7504</v>
      </c>
      <c r="F69" s="512" t="s">
        <v>7505</v>
      </c>
      <c r="L69" s="505" t="s">
        <v>114</v>
      </c>
      <c r="M69" s="516">
        <v>55</v>
      </c>
      <c r="N69" s="505" t="s">
        <v>114</v>
      </c>
    </row>
    <row r="70" spans="1:14" x14ac:dyDescent="0.25">
      <c r="A70" s="505" t="s">
        <v>1402</v>
      </c>
      <c r="B70" s="505" t="s">
        <v>1403</v>
      </c>
      <c r="C70" s="512" t="s">
        <v>7506</v>
      </c>
      <c r="D70" s="512" t="s">
        <v>7507</v>
      </c>
      <c r="E70" s="512" t="s">
        <v>7508</v>
      </c>
      <c r="F70" s="512" t="s">
        <v>7509</v>
      </c>
      <c r="L70" s="505" t="s">
        <v>114</v>
      </c>
      <c r="M70" s="516">
        <v>664.75</v>
      </c>
      <c r="N70" s="505" t="s">
        <v>114</v>
      </c>
    </row>
    <row r="71" spans="1:14" x14ac:dyDescent="0.25">
      <c r="A71" s="505" t="s">
        <v>1404</v>
      </c>
      <c r="B71" s="505" t="s">
        <v>1405</v>
      </c>
      <c r="C71" s="512" t="s">
        <v>7510</v>
      </c>
      <c r="D71" s="512" t="s">
        <v>7511</v>
      </c>
      <c r="E71" s="512" t="s">
        <v>7512</v>
      </c>
      <c r="F71" s="512" t="s">
        <v>7513</v>
      </c>
      <c r="L71" s="505" t="s">
        <v>114</v>
      </c>
      <c r="M71" s="516">
        <v>745.4</v>
      </c>
      <c r="N71" s="505" t="s">
        <v>114</v>
      </c>
    </row>
    <row r="72" spans="1:14" x14ac:dyDescent="0.25">
      <c r="A72" s="505" t="s">
        <v>1406</v>
      </c>
      <c r="B72" s="505" t="s">
        <v>1407</v>
      </c>
      <c r="C72" s="512" t="s">
        <v>7514</v>
      </c>
      <c r="D72" s="512" t="s">
        <v>7515</v>
      </c>
      <c r="E72" s="512" t="s">
        <v>7516</v>
      </c>
      <c r="F72" s="512" t="s">
        <v>7517</v>
      </c>
      <c r="L72" s="505" t="s">
        <v>114</v>
      </c>
      <c r="M72" s="516">
        <v>532.4</v>
      </c>
      <c r="N72" s="505" t="s">
        <v>114</v>
      </c>
    </row>
    <row r="73" spans="1:14" x14ac:dyDescent="0.25">
      <c r="A73" s="505" t="s">
        <v>1408</v>
      </c>
      <c r="B73" s="505" t="s">
        <v>1409</v>
      </c>
      <c r="C73" s="512" t="s">
        <v>7518</v>
      </c>
      <c r="D73" s="512" t="s">
        <v>7519</v>
      </c>
      <c r="E73" s="512" t="s">
        <v>7504</v>
      </c>
      <c r="F73" s="512" t="s">
        <v>7520</v>
      </c>
      <c r="G73" s="512" t="s">
        <v>7521</v>
      </c>
      <c r="L73" s="505" t="s">
        <v>114</v>
      </c>
      <c r="M73" s="516">
        <v>155.25</v>
      </c>
      <c r="N73" s="505" t="s">
        <v>114</v>
      </c>
    </row>
    <row r="74" spans="1:14" s="518" customFormat="1" x14ac:dyDescent="0.25">
      <c r="A74" s="518" t="s">
        <v>1410</v>
      </c>
      <c r="B74" s="518" t="s">
        <v>1411</v>
      </c>
      <c r="C74" s="519" t="s">
        <v>7417</v>
      </c>
      <c r="D74" s="519" t="s">
        <v>7522</v>
      </c>
      <c r="E74" s="519" t="s">
        <v>7523</v>
      </c>
      <c r="F74" s="519" t="s">
        <v>570</v>
      </c>
      <c r="G74" s="519" t="s">
        <v>7422</v>
      </c>
      <c r="H74" s="519"/>
      <c r="I74" s="519"/>
      <c r="L74" s="518" t="s">
        <v>1206</v>
      </c>
      <c r="M74" s="520">
        <v>61.97</v>
      </c>
      <c r="N74" s="518" t="s">
        <v>1206</v>
      </c>
    </row>
    <row r="75" spans="1:14" s="518" customFormat="1" x14ac:dyDescent="0.25">
      <c r="A75" s="518" t="s">
        <v>1412</v>
      </c>
      <c r="B75" s="518" t="s">
        <v>1413</v>
      </c>
      <c r="C75" s="519" t="s">
        <v>7417</v>
      </c>
      <c r="D75" s="519" t="s">
        <v>7522</v>
      </c>
      <c r="E75" s="519" t="s">
        <v>7523</v>
      </c>
      <c r="F75" s="519" t="s">
        <v>143</v>
      </c>
      <c r="G75" s="519" t="s">
        <v>7422</v>
      </c>
      <c r="H75" s="519"/>
      <c r="I75" s="519"/>
      <c r="L75" s="518" t="s">
        <v>1206</v>
      </c>
      <c r="M75" s="520">
        <v>61.97</v>
      </c>
      <c r="N75" s="518" t="s">
        <v>1206</v>
      </c>
    </row>
    <row r="76" spans="1:14" s="518" customFormat="1" x14ac:dyDescent="0.25">
      <c r="A76" s="518" t="s">
        <v>1414</v>
      </c>
      <c r="B76" s="518" t="s">
        <v>1415</v>
      </c>
      <c r="C76" s="519" t="s">
        <v>7417</v>
      </c>
      <c r="D76" s="519" t="s">
        <v>7524</v>
      </c>
      <c r="E76" s="519" t="s">
        <v>7523</v>
      </c>
      <c r="F76" s="519" t="s">
        <v>7525</v>
      </c>
      <c r="G76" s="519" t="s">
        <v>7489</v>
      </c>
      <c r="H76" s="519" t="s">
        <v>7422</v>
      </c>
      <c r="I76" s="519"/>
      <c r="L76" s="518" t="s">
        <v>1206</v>
      </c>
      <c r="M76" s="520">
        <v>61.97</v>
      </c>
      <c r="N76" s="518" t="s">
        <v>1206</v>
      </c>
    </row>
    <row r="77" spans="1:14" s="518" customFormat="1" x14ac:dyDescent="0.25">
      <c r="A77" s="518" t="s">
        <v>1416</v>
      </c>
      <c r="B77" s="518" t="s">
        <v>1417</v>
      </c>
      <c r="C77" s="519" t="s">
        <v>7429</v>
      </c>
      <c r="D77" s="519" t="s">
        <v>7431</v>
      </c>
      <c r="E77" s="519" t="s">
        <v>7526</v>
      </c>
      <c r="F77" s="519" t="s">
        <v>7460</v>
      </c>
      <c r="G77" s="519" t="s">
        <v>7437</v>
      </c>
      <c r="H77" s="519" t="s">
        <v>7527</v>
      </c>
      <c r="I77" s="519"/>
      <c r="L77" s="518" t="s">
        <v>1206</v>
      </c>
      <c r="M77" s="520">
        <v>55</v>
      </c>
      <c r="N77" s="518" t="s">
        <v>1206</v>
      </c>
    </row>
    <row r="78" spans="1:14" s="518" customFormat="1" x14ac:dyDescent="0.25">
      <c r="A78" s="518" t="s">
        <v>1418</v>
      </c>
      <c r="B78" s="518" t="s">
        <v>1419</v>
      </c>
      <c r="C78" s="519" t="s">
        <v>7467</v>
      </c>
      <c r="D78" s="519" t="s">
        <v>7528</v>
      </c>
      <c r="E78" s="519">
        <v>273</v>
      </c>
      <c r="F78" s="519" t="s">
        <v>7418</v>
      </c>
      <c r="G78" s="519" t="s">
        <v>7529</v>
      </c>
      <c r="H78" s="519" t="s">
        <v>361</v>
      </c>
      <c r="I78" s="519" t="s">
        <v>7530</v>
      </c>
      <c r="L78" s="518" t="s">
        <v>1206</v>
      </c>
      <c r="M78" s="520">
        <v>49</v>
      </c>
      <c r="N78" s="518" t="s">
        <v>1206</v>
      </c>
    </row>
    <row r="79" spans="1:14" s="518" customFormat="1" x14ac:dyDescent="0.25">
      <c r="A79" s="518" t="s">
        <v>1420</v>
      </c>
      <c r="B79" s="518" t="s">
        <v>1421</v>
      </c>
      <c r="C79" s="519" t="s">
        <v>7467</v>
      </c>
      <c r="D79" s="519" t="s">
        <v>7528</v>
      </c>
      <c r="E79" s="519">
        <v>273</v>
      </c>
      <c r="F79" s="519" t="s">
        <v>7418</v>
      </c>
      <c r="G79" s="519" t="s">
        <v>7531</v>
      </c>
      <c r="H79" s="519" t="s">
        <v>148</v>
      </c>
      <c r="I79" s="519" t="s">
        <v>7530</v>
      </c>
      <c r="L79" s="518" t="s">
        <v>1206</v>
      </c>
      <c r="M79" s="520">
        <v>49</v>
      </c>
      <c r="N79" s="518" t="s">
        <v>1206</v>
      </c>
    </row>
    <row r="80" spans="1:14" s="518" customFormat="1" x14ac:dyDescent="0.25">
      <c r="A80" s="518" t="s">
        <v>1422</v>
      </c>
      <c r="B80" s="518" t="s">
        <v>1423</v>
      </c>
      <c r="C80" s="519" t="s">
        <v>7467</v>
      </c>
      <c r="D80" s="519" t="s">
        <v>7528</v>
      </c>
      <c r="E80" s="519">
        <v>273</v>
      </c>
      <c r="F80" s="519" t="s">
        <v>7418</v>
      </c>
      <c r="G80" s="519" t="s">
        <v>519</v>
      </c>
      <c r="H80" s="519" t="s">
        <v>7426</v>
      </c>
      <c r="I80" s="519" t="s">
        <v>7530</v>
      </c>
      <c r="L80" s="518" t="s">
        <v>1206</v>
      </c>
      <c r="M80" s="520">
        <v>49</v>
      </c>
      <c r="N80" s="518" t="s">
        <v>1206</v>
      </c>
    </row>
    <row r="81" spans="1:14" s="518" customFormat="1" x14ac:dyDescent="0.25">
      <c r="A81" s="518" t="s">
        <v>1424</v>
      </c>
      <c r="B81" s="518" t="s">
        <v>1425</v>
      </c>
      <c r="C81" s="519" t="s">
        <v>7467</v>
      </c>
      <c r="D81" s="519" t="s">
        <v>7528</v>
      </c>
      <c r="E81" s="519">
        <v>273</v>
      </c>
      <c r="F81" s="519" t="s">
        <v>7418</v>
      </c>
      <c r="G81" s="519" t="s">
        <v>7427</v>
      </c>
      <c r="H81" s="519" t="s">
        <v>7428</v>
      </c>
      <c r="I81" s="519" t="s">
        <v>7530</v>
      </c>
      <c r="L81" s="518" t="s">
        <v>1206</v>
      </c>
      <c r="M81" s="520">
        <v>49</v>
      </c>
      <c r="N81" s="518" t="s">
        <v>1206</v>
      </c>
    </row>
    <row r="82" spans="1:14" s="518" customFormat="1" x14ac:dyDescent="0.25">
      <c r="A82" s="518" t="s">
        <v>1426</v>
      </c>
      <c r="B82" s="518" t="s">
        <v>1427</v>
      </c>
      <c r="C82" s="519" t="s">
        <v>7417</v>
      </c>
      <c r="D82" s="519" t="s">
        <v>7532</v>
      </c>
      <c r="E82" s="519" t="s">
        <v>7533</v>
      </c>
      <c r="F82" s="519" t="s">
        <v>7534</v>
      </c>
      <c r="G82" s="519"/>
      <c r="H82" s="519"/>
      <c r="I82" s="519"/>
      <c r="L82" s="518" t="s">
        <v>1206</v>
      </c>
      <c r="M82" s="520">
        <v>53.85</v>
      </c>
      <c r="N82" s="518" t="s">
        <v>1206</v>
      </c>
    </row>
    <row r="83" spans="1:14" s="518" customFormat="1" x14ac:dyDescent="0.25">
      <c r="A83" s="518" t="s">
        <v>1428</v>
      </c>
      <c r="B83" s="518" t="s">
        <v>1429</v>
      </c>
      <c r="C83" s="519" t="s">
        <v>7417</v>
      </c>
      <c r="D83" s="519" t="s">
        <v>7418</v>
      </c>
      <c r="E83" s="519" t="s">
        <v>7535</v>
      </c>
      <c r="F83" s="519" t="s">
        <v>571</v>
      </c>
      <c r="G83" s="519" t="s">
        <v>7536</v>
      </c>
      <c r="H83" s="519"/>
      <c r="I83" s="519"/>
      <c r="L83" s="518" t="s">
        <v>1206</v>
      </c>
      <c r="M83" s="520">
        <v>59.15</v>
      </c>
      <c r="N83" s="518" t="s">
        <v>1206</v>
      </c>
    </row>
    <row r="84" spans="1:14" s="518" customFormat="1" x14ac:dyDescent="0.25">
      <c r="A84" s="518" t="s">
        <v>1430</v>
      </c>
      <c r="B84" s="518" t="s">
        <v>1431</v>
      </c>
      <c r="C84" s="519" t="s">
        <v>7417</v>
      </c>
      <c r="D84" s="519" t="s">
        <v>7418</v>
      </c>
      <c r="E84" s="519" t="s">
        <v>7535</v>
      </c>
      <c r="F84" s="519" t="s">
        <v>570</v>
      </c>
      <c r="G84" s="519" t="s">
        <v>7536</v>
      </c>
      <c r="H84" s="519"/>
      <c r="I84" s="519"/>
      <c r="L84" s="518" t="s">
        <v>1206</v>
      </c>
      <c r="M84" s="520">
        <v>59.15</v>
      </c>
      <c r="N84" s="518" t="s">
        <v>1206</v>
      </c>
    </row>
    <row r="85" spans="1:14" s="518" customFormat="1" x14ac:dyDescent="0.25">
      <c r="A85" s="518" t="s">
        <v>1432</v>
      </c>
      <c r="B85" s="518" t="s">
        <v>1433</v>
      </c>
      <c r="C85" s="519" t="s">
        <v>7417</v>
      </c>
      <c r="D85" s="519" t="s">
        <v>7418</v>
      </c>
      <c r="E85" s="519" t="s">
        <v>7535</v>
      </c>
      <c r="F85" s="519" t="s">
        <v>7424</v>
      </c>
      <c r="G85" s="519" t="s">
        <v>7537</v>
      </c>
      <c r="H85" s="519" t="s">
        <v>7536</v>
      </c>
      <c r="I85" s="519"/>
      <c r="L85" s="518" t="s">
        <v>1206</v>
      </c>
      <c r="M85" s="520">
        <v>59.15</v>
      </c>
      <c r="N85" s="518" t="s">
        <v>1206</v>
      </c>
    </row>
    <row r="86" spans="1:14" s="518" customFormat="1" x14ac:dyDescent="0.25">
      <c r="A86" s="518" t="s">
        <v>1434</v>
      </c>
      <c r="B86" s="518" t="s">
        <v>1435</v>
      </c>
      <c r="C86" s="519" t="s">
        <v>7417</v>
      </c>
      <c r="D86" s="519" t="s">
        <v>7418</v>
      </c>
      <c r="E86" s="519" t="s">
        <v>7535</v>
      </c>
      <c r="F86" s="519" t="s">
        <v>143</v>
      </c>
      <c r="G86" s="519" t="s">
        <v>7536</v>
      </c>
      <c r="H86" s="519"/>
      <c r="I86" s="519"/>
      <c r="L86" s="518" t="s">
        <v>1206</v>
      </c>
      <c r="M86" s="520">
        <v>59.15</v>
      </c>
      <c r="N86" s="518" t="s">
        <v>1206</v>
      </c>
    </row>
    <row r="87" spans="1:14" s="518" customFormat="1" x14ac:dyDescent="0.25">
      <c r="A87" s="518" t="s">
        <v>1436</v>
      </c>
      <c r="B87" s="518" t="s">
        <v>1437</v>
      </c>
      <c r="C87" s="519" t="s">
        <v>7417</v>
      </c>
      <c r="D87" s="519" t="s">
        <v>7418</v>
      </c>
      <c r="E87" s="519" t="s">
        <v>7535</v>
      </c>
      <c r="F87" s="519" t="s">
        <v>573</v>
      </c>
      <c r="G87" s="519" t="s">
        <v>7536</v>
      </c>
      <c r="H87" s="519"/>
      <c r="I87" s="519"/>
      <c r="L87" s="518" t="s">
        <v>1206</v>
      </c>
      <c r="M87" s="520">
        <v>59.15</v>
      </c>
      <c r="N87" s="518" t="s">
        <v>1206</v>
      </c>
    </row>
    <row r="88" spans="1:14" s="518" customFormat="1" x14ac:dyDescent="0.25">
      <c r="A88" s="518" t="s">
        <v>1438</v>
      </c>
      <c r="B88" s="518" t="s">
        <v>1439</v>
      </c>
      <c r="C88" s="519" t="s">
        <v>7417</v>
      </c>
      <c r="D88" s="519" t="s">
        <v>7418</v>
      </c>
      <c r="E88" s="519" t="s">
        <v>7535</v>
      </c>
      <c r="F88" s="519" t="s">
        <v>675</v>
      </c>
      <c r="G88" s="519" t="s">
        <v>7426</v>
      </c>
      <c r="H88" s="519" t="s">
        <v>7536</v>
      </c>
      <c r="I88" s="519"/>
      <c r="L88" s="518" t="s">
        <v>1206</v>
      </c>
      <c r="M88" s="520">
        <v>59.15</v>
      </c>
      <c r="N88" s="518" t="s">
        <v>1206</v>
      </c>
    </row>
    <row r="89" spans="1:14" s="518" customFormat="1" x14ac:dyDescent="0.25">
      <c r="A89" s="518" t="s">
        <v>1440</v>
      </c>
      <c r="B89" s="518" t="s">
        <v>1441</v>
      </c>
      <c r="C89" s="519" t="s">
        <v>7417</v>
      </c>
      <c r="D89" s="519" t="s">
        <v>7418</v>
      </c>
      <c r="E89" s="519" t="s">
        <v>7535</v>
      </c>
      <c r="F89" s="519" t="s">
        <v>577</v>
      </c>
      <c r="G89" s="519" t="s">
        <v>7536</v>
      </c>
      <c r="H89" s="519"/>
      <c r="I89" s="519"/>
      <c r="L89" s="518" t="s">
        <v>1206</v>
      </c>
      <c r="M89" s="520">
        <v>59.15</v>
      </c>
      <c r="N89" s="518" t="s">
        <v>1206</v>
      </c>
    </row>
    <row r="90" spans="1:14" s="518" customFormat="1" x14ac:dyDescent="0.25">
      <c r="A90" s="518" t="s">
        <v>1442</v>
      </c>
      <c r="B90" s="518" t="s">
        <v>1443</v>
      </c>
      <c r="C90" s="519" t="s">
        <v>7417</v>
      </c>
      <c r="D90" s="519" t="s">
        <v>7418</v>
      </c>
      <c r="E90" s="519" t="s">
        <v>7535</v>
      </c>
      <c r="F90" s="519" t="s">
        <v>7538</v>
      </c>
      <c r="G90" s="519" t="s">
        <v>7536</v>
      </c>
      <c r="H90" s="519"/>
      <c r="I90" s="519"/>
      <c r="L90" s="518" t="s">
        <v>1206</v>
      </c>
      <c r="M90" s="520">
        <v>59.15</v>
      </c>
      <c r="N90" s="518" t="s">
        <v>1206</v>
      </c>
    </row>
    <row r="91" spans="1:14" s="518" customFormat="1" x14ac:dyDescent="0.25">
      <c r="A91" s="518" t="s">
        <v>1444</v>
      </c>
      <c r="B91" s="518" t="s">
        <v>1445</v>
      </c>
      <c r="C91" s="519" t="s">
        <v>7417</v>
      </c>
      <c r="D91" s="519" t="s">
        <v>7418</v>
      </c>
      <c r="E91" s="519" t="s">
        <v>7535</v>
      </c>
      <c r="F91" s="519" t="s">
        <v>7539</v>
      </c>
      <c r="G91" s="519" t="s">
        <v>143</v>
      </c>
      <c r="H91" s="519" t="s">
        <v>7536</v>
      </c>
      <c r="I91" s="519"/>
      <c r="L91" s="518" t="s">
        <v>1206</v>
      </c>
      <c r="M91" s="520">
        <v>71.67</v>
      </c>
      <c r="N91" s="518" t="s">
        <v>1206</v>
      </c>
    </row>
    <row r="92" spans="1:14" s="518" customFormat="1" x14ac:dyDescent="0.25">
      <c r="A92" s="518" t="s">
        <v>1446</v>
      </c>
      <c r="B92" s="518" t="s">
        <v>1447</v>
      </c>
      <c r="C92" s="519" t="s">
        <v>7417</v>
      </c>
      <c r="D92" s="519" t="s">
        <v>7418</v>
      </c>
      <c r="E92" s="519" t="s">
        <v>7535</v>
      </c>
      <c r="F92" s="519" t="s">
        <v>7539</v>
      </c>
      <c r="G92" s="519" t="s">
        <v>675</v>
      </c>
      <c r="H92" s="519" t="s">
        <v>7426</v>
      </c>
      <c r="I92" s="519" t="s">
        <v>7536</v>
      </c>
      <c r="L92" s="518" t="s">
        <v>1206</v>
      </c>
      <c r="M92" s="520">
        <v>71.67</v>
      </c>
      <c r="N92" s="518" t="s">
        <v>1206</v>
      </c>
    </row>
    <row r="93" spans="1:14" s="518" customFormat="1" x14ac:dyDescent="0.25">
      <c r="A93" s="518" t="s">
        <v>1448</v>
      </c>
      <c r="B93" s="518" t="s">
        <v>1449</v>
      </c>
      <c r="C93" s="519" t="s">
        <v>7417</v>
      </c>
      <c r="D93" s="519" t="s">
        <v>7540</v>
      </c>
      <c r="E93" s="519" t="s">
        <v>7541</v>
      </c>
      <c r="F93" s="519" t="s">
        <v>143</v>
      </c>
      <c r="G93" s="519" t="s">
        <v>7542</v>
      </c>
      <c r="H93" s="519"/>
      <c r="I93" s="519"/>
      <c r="L93" s="518" t="s">
        <v>1206</v>
      </c>
      <c r="M93" s="520">
        <v>59.15</v>
      </c>
      <c r="N93" s="518" t="s">
        <v>1206</v>
      </c>
    </row>
    <row r="94" spans="1:14" s="518" customFormat="1" x14ac:dyDescent="0.25">
      <c r="A94" s="518" t="s">
        <v>1450</v>
      </c>
      <c r="B94" s="518" t="s">
        <v>1451</v>
      </c>
      <c r="C94" s="519" t="s">
        <v>7417</v>
      </c>
      <c r="D94" s="519" t="s">
        <v>7543</v>
      </c>
      <c r="E94" s="519" t="s">
        <v>7533</v>
      </c>
      <c r="F94" s="519" t="s">
        <v>7544</v>
      </c>
      <c r="G94" s="519"/>
      <c r="H94" s="519"/>
      <c r="I94" s="519"/>
      <c r="L94" s="518" t="s">
        <v>1206</v>
      </c>
      <c r="M94" s="520">
        <v>53.95</v>
      </c>
      <c r="N94" s="518" t="s">
        <v>1206</v>
      </c>
    </row>
    <row r="95" spans="1:14" s="518" customFormat="1" x14ac:dyDescent="0.25">
      <c r="A95" s="518" t="s">
        <v>1452</v>
      </c>
      <c r="B95" s="518" t="s">
        <v>1453</v>
      </c>
      <c r="C95" s="519" t="s">
        <v>7429</v>
      </c>
      <c r="D95" s="519" t="s">
        <v>7545</v>
      </c>
      <c r="E95" s="519" t="s">
        <v>7546</v>
      </c>
      <c r="F95" s="519" t="s">
        <v>7460</v>
      </c>
      <c r="G95" s="519" t="s">
        <v>7491</v>
      </c>
      <c r="H95" s="519" t="s">
        <v>7547</v>
      </c>
      <c r="I95" s="519"/>
      <c r="L95" s="518" t="s">
        <v>1206</v>
      </c>
      <c r="M95" s="520">
        <v>60</v>
      </c>
      <c r="N95" s="518" t="s">
        <v>1206</v>
      </c>
    </row>
    <row r="96" spans="1:14" s="518" customFormat="1" x14ac:dyDescent="0.25">
      <c r="A96" s="518" t="s">
        <v>1454</v>
      </c>
      <c r="B96" s="518" t="s">
        <v>1455</v>
      </c>
      <c r="C96" s="519" t="s">
        <v>7429</v>
      </c>
      <c r="D96" s="519" t="s">
        <v>7431</v>
      </c>
      <c r="E96" s="519" t="s">
        <v>7541</v>
      </c>
      <c r="F96" s="519">
        <v>12</v>
      </c>
      <c r="G96" s="519" t="s">
        <v>7444</v>
      </c>
      <c r="H96" s="519" t="s">
        <v>7445</v>
      </c>
      <c r="I96" s="519" t="s">
        <v>7548</v>
      </c>
      <c r="L96" s="518" t="s">
        <v>1206</v>
      </c>
      <c r="M96" s="520">
        <v>59.15</v>
      </c>
      <c r="N96" s="518" t="s">
        <v>1206</v>
      </c>
    </row>
    <row r="97" spans="1:14" s="518" customFormat="1" x14ac:dyDescent="0.25">
      <c r="A97" s="518" t="s">
        <v>1456</v>
      </c>
      <c r="B97" s="518" t="s">
        <v>1457</v>
      </c>
      <c r="C97" s="519" t="s">
        <v>7429</v>
      </c>
      <c r="D97" s="519" t="s">
        <v>7431</v>
      </c>
      <c r="E97" s="519" t="s">
        <v>7541</v>
      </c>
      <c r="F97" s="519">
        <v>12</v>
      </c>
      <c r="G97" s="519" t="s">
        <v>7446</v>
      </c>
      <c r="H97" s="519" t="s">
        <v>7548</v>
      </c>
      <c r="I97" s="519"/>
      <c r="L97" s="518" t="s">
        <v>1206</v>
      </c>
      <c r="M97" s="520">
        <v>59.15</v>
      </c>
      <c r="N97" s="518" t="s">
        <v>1206</v>
      </c>
    </row>
    <row r="98" spans="1:14" s="518" customFormat="1" x14ac:dyDescent="0.25">
      <c r="A98" s="518" t="s">
        <v>1458</v>
      </c>
      <c r="B98" s="518" t="s">
        <v>1459</v>
      </c>
      <c r="C98" s="519" t="s">
        <v>7429</v>
      </c>
      <c r="D98" s="519" t="s">
        <v>7431</v>
      </c>
      <c r="E98" s="519" t="s">
        <v>7541</v>
      </c>
      <c r="F98" s="519">
        <v>12</v>
      </c>
      <c r="G98" s="519" t="s">
        <v>7447</v>
      </c>
      <c r="H98" s="519" t="s">
        <v>7548</v>
      </c>
      <c r="I98" s="519"/>
      <c r="L98" s="518" t="s">
        <v>1206</v>
      </c>
      <c r="M98" s="520">
        <v>59.15</v>
      </c>
      <c r="N98" s="518" t="s">
        <v>1206</v>
      </c>
    </row>
    <row r="99" spans="1:14" s="518" customFormat="1" x14ac:dyDescent="0.25">
      <c r="A99" s="518" t="s">
        <v>1460</v>
      </c>
      <c r="B99" s="518" t="s">
        <v>1461</v>
      </c>
      <c r="C99" s="519" t="s">
        <v>7429</v>
      </c>
      <c r="D99" s="519" t="s">
        <v>7431</v>
      </c>
      <c r="E99" s="519" t="s">
        <v>7541</v>
      </c>
      <c r="F99" s="519">
        <v>12</v>
      </c>
      <c r="G99" s="519" t="s">
        <v>7448</v>
      </c>
      <c r="H99" s="519" t="s">
        <v>7549</v>
      </c>
      <c r="I99" s="519" t="s">
        <v>7548</v>
      </c>
      <c r="L99" s="518" t="s">
        <v>1206</v>
      </c>
      <c r="M99" s="520">
        <v>59.15</v>
      </c>
      <c r="N99" s="518" t="s">
        <v>1206</v>
      </c>
    </row>
    <row r="100" spans="1:14" s="518" customFormat="1" x14ac:dyDescent="0.25">
      <c r="A100" s="518" t="s">
        <v>1462</v>
      </c>
      <c r="B100" s="518" t="s">
        <v>1463</v>
      </c>
      <c r="C100" s="519" t="s">
        <v>7429</v>
      </c>
      <c r="D100" s="519" t="s">
        <v>7431</v>
      </c>
      <c r="E100" s="519" t="s">
        <v>7541</v>
      </c>
      <c r="F100" s="519">
        <v>12</v>
      </c>
      <c r="G100" s="519" t="s">
        <v>7550</v>
      </c>
      <c r="H100" s="519" t="s">
        <v>7548</v>
      </c>
      <c r="I100" s="519"/>
      <c r="L100" s="518" t="s">
        <v>1206</v>
      </c>
      <c r="M100" s="520">
        <v>59.15</v>
      </c>
      <c r="N100" s="518" t="s">
        <v>1206</v>
      </c>
    </row>
    <row r="101" spans="1:14" s="518" customFormat="1" x14ac:dyDescent="0.25">
      <c r="A101" s="518" t="s">
        <v>1464</v>
      </c>
      <c r="B101" s="518" t="s">
        <v>1465</v>
      </c>
      <c r="C101" s="519" t="s">
        <v>7429</v>
      </c>
      <c r="D101" s="519" t="s">
        <v>7431</v>
      </c>
      <c r="E101" s="519" t="s">
        <v>7541</v>
      </c>
      <c r="F101" s="519">
        <v>12</v>
      </c>
      <c r="G101" s="519" t="s">
        <v>7449</v>
      </c>
      <c r="H101" s="519" t="s">
        <v>7548</v>
      </c>
      <c r="I101" s="519"/>
      <c r="L101" s="518" t="s">
        <v>1206</v>
      </c>
      <c r="M101" s="520">
        <v>59.15</v>
      </c>
      <c r="N101" s="518" t="s">
        <v>1206</v>
      </c>
    </row>
    <row r="102" spans="1:14" s="518" customFormat="1" x14ac:dyDescent="0.25">
      <c r="A102" s="518" t="s">
        <v>1466</v>
      </c>
      <c r="B102" s="518" t="s">
        <v>1467</v>
      </c>
      <c r="C102" s="519" t="s">
        <v>7429</v>
      </c>
      <c r="D102" s="519" t="s">
        <v>7431</v>
      </c>
      <c r="E102" s="519" t="s">
        <v>7541</v>
      </c>
      <c r="F102" s="519">
        <v>12</v>
      </c>
      <c r="G102" s="519" t="s">
        <v>7435</v>
      </c>
      <c r="H102" s="519" t="s">
        <v>7436</v>
      </c>
      <c r="I102" s="519" t="s">
        <v>7548</v>
      </c>
      <c r="L102" s="518" t="s">
        <v>1206</v>
      </c>
      <c r="M102" s="520">
        <v>59.15</v>
      </c>
      <c r="N102" s="518" t="s">
        <v>1206</v>
      </c>
    </row>
    <row r="103" spans="1:14" s="518" customFormat="1" x14ac:dyDescent="0.25">
      <c r="A103" s="518" t="s">
        <v>1468</v>
      </c>
      <c r="B103" s="518" t="s">
        <v>1469</v>
      </c>
      <c r="C103" s="519" t="s">
        <v>7429</v>
      </c>
      <c r="D103" s="519" t="s">
        <v>7431</v>
      </c>
      <c r="E103" s="519" t="s">
        <v>7541</v>
      </c>
      <c r="F103" s="519">
        <v>12</v>
      </c>
      <c r="G103" s="519" t="s">
        <v>7551</v>
      </c>
      <c r="H103" s="519" t="s">
        <v>7552</v>
      </c>
      <c r="I103" s="519" t="s">
        <v>7548</v>
      </c>
      <c r="L103" s="518" t="s">
        <v>1206</v>
      </c>
      <c r="M103" s="520">
        <v>59.15</v>
      </c>
      <c r="N103" s="518" t="s">
        <v>1206</v>
      </c>
    </row>
    <row r="104" spans="1:14" s="518" customFormat="1" x14ac:dyDescent="0.25">
      <c r="A104" s="518" t="s">
        <v>1470</v>
      </c>
      <c r="B104" s="518" t="s">
        <v>1471</v>
      </c>
      <c r="C104" s="519" t="s">
        <v>7429</v>
      </c>
      <c r="D104" s="519" t="s">
        <v>7431</v>
      </c>
      <c r="E104" s="519" t="s">
        <v>7541</v>
      </c>
      <c r="F104" s="519">
        <v>12</v>
      </c>
      <c r="G104" s="519" t="s">
        <v>7551</v>
      </c>
      <c r="H104" s="519" t="s">
        <v>7553</v>
      </c>
      <c r="I104" s="519" t="s">
        <v>7548</v>
      </c>
      <c r="L104" s="518" t="s">
        <v>1206</v>
      </c>
      <c r="M104" s="520">
        <v>59.15</v>
      </c>
      <c r="N104" s="518" t="s">
        <v>1206</v>
      </c>
    </row>
    <row r="105" spans="1:14" s="518" customFormat="1" x14ac:dyDescent="0.25">
      <c r="A105" s="518" t="s">
        <v>1472</v>
      </c>
      <c r="B105" s="518" t="s">
        <v>1473</v>
      </c>
      <c r="C105" s="519" t="s">
        <v>7429</v>
      </c>
      <c r="D105" s="519" t="s">
        <v>7431</v>
      </c>
      <c r="E105" s="519" t="s">
        <v>7541</v>
      </c>
      <c r="F105" s="519">
        <v>12</v>
      </c>
      <c r="G105" s="519" t="s">
        <v>7450</v>
      </c>
      <c r="H105" s="519" t="s">
        <v>7548</v>
      </c>
      <c r="I105" s="519"/>
      <c r="L105" s="518" t="s">
        <v>1206</v>
      </c>
      <c r="M105" s="520">
        <v>59.15</v>
      </c>
      <c r="N105" s="518" t="s">
        <v>1206</v>
      </c>
    </row>
    <row r="106" spans="1:14" s="518" customFormat="1" x14ac:dyDescent="0.25">
      <c r="A106" s="518" t="s">
        <v>1474</v>
      </c>
      <c r="B106" s="518" t="s">
        <v>1475</v>
      </c>
      <c r="C106" s="519" t="s">
        <v>7429</v>
      </c>
      <c r="D106" s="519" t="s">
        <v>7431</v>
      </c>
      <c r="E106" s="519" t="s">
        <v>7541</v>
      </c>
      <c r="F106" s="519">
        <v>12</v>
      </c>
      <c r="G106" s="519" t="s">
        <v>7438</v>
      </c>
      <c r="H106" s="519" t="s">
        <v>7548</v>
      </c>
      <c r="I106" s="519"/>
      <c r="L106" s="518" t="s">
        <v>1206</v>
      </c>
      <c r="M106" s="520">
        <v>59.15</v>
      </c>
      <c r="N106" s="518" t="s">
        <v>1206</v>
      </c>
    </row>
    <row r="107" spans="1:14" s="518" customFormat="1" x14ac:dyDescent="0.25">
      <c r="A107" s="518" t="s">
        <v>1476</v>
      </c>
      <c r="B107" s="518" t="s">
        <v>1477</v>
      </c>
      <c r="C107" s="519" t="s">
        <v>7429</v>
      </c>
      <c r="D107" s="519" t="s">
        <v>7431</v>
      </c>
      <c r="E107" s="519" t="s">
        <v>7541</v>
      </c>
      <c r="F107" s="519">
        <v>12</v>
      </c>
      <c r="G107" s="519" t="s">
        <v>7439</v>
      </c>
      <c r="H107" s="519" t="s">
        <v>7554</v>
      </c>
      <c r="I107" s="519" t="s">
        <v>7548</v>
      </c>
      <c r="L107" s="518" t="s">
        <v>1206</v>
      </c>
      <c r="M107" s="520">
        <v>59.15</v>
      </c>
      <c r="N107" s="518" t="s">
        <v>1206</v>
      </c>
    </row>
    <row r="108" spans="1:14" s="518" customFormat="1" x14ac:dyDescent="0.25">
      <c r="A108" s="518" t="s">
        <v>1478</v>
      </c>
      <c r="B108" s="518" t="s">
        <v>1479</v>
      </c>
      <c r="C108" s="519" t="s">
        <v>7429</v>
      </c>
      <c r="D108" s="519" t="s">
        <v>7431</v>
      </c>
      <c r="E108" s="519" t="s">
        <v>7541</v>
      </c>
      <c r="F108" s="519">
        <v>12</v>
      </c>
      <c r="G108" s="519" t="s">
        <v>7451</v>
      </c>
      <c r="H108" s="519" t="s">
        <v>7452</v>
      </c>
      <c r="I108" s="519" t="s">
        <v>7548</v>
      </c>
      <c r="L108" s="518" t="s">
        <v>1206</v>
      </c>
      <c r="M108" s="520">
        <v>59.15</v>
      </c>
      <c r="N108" s="518" t="s">
        <v>1206</v>
      </c>
    </row>
    <row r="109" spans="1:14" s="518" customFormat="1" x14ac:dyDescent="0.25">
      <c r="A109" s="518" t="s">
        <v>1480</v>
      </c>
      <c r="B109" s="518" t="s">
        <v>1481</v>
      </c>
      <c r="C109" s="519" t="s">
        <v>7429</v>
      </c>
      <c r="D109" s="519" t="s">
        <v>7431</v>
      </c>
      <c r="E109" s="519" t="s">
        <v>7541</v>
      </c>
      <c r="F109" s="519">
        <v>12</v>
      </c>
      <c r="G109" s="519" t="s">
        <v>7453</v>
      </c>
      <c r="H109" s="519" t="s">
        <v>7433</v>
      </c>
      <c r="I109" s="519" t="s">
        <v>7548</v>
      </c>
      <c r="L109" s="518" t="s">
        <v>1206</v>
      </c>
      <c r="M109" s="520">
        <v>59.15</v>
      </c>
      <c r="N109" s="518" t="s">
        <v>1206</v>
      </c>
    </row>
    <row r="110" spans="1:14" s="518" customFormat="1" x14ac:dyDescent="0.25">
      <c r="A110" s="518" t="s">
        <v>1482</v>
      </c>
      <c r="B110" s="518" t="s">
        <v>1483</v>
      </c>
      <c r="C110" s="519" t="s">
        <v>7429</v>
      </c>
      <c r="D110" s="519" t="s">
        <v>7431</v>
      </c>
      <c r="E110" s="519" t="s">
        <v>7541</v>
      </c>
      <c r="F110" s="519">
        <v>12</v>
      </c>
      <c r="G110" s="519" t="s">
        <v>7454</v>
      </c>
      <c r="H110" s="519" t="s">
        <v>7437</v>
      </c>
      <c r="I110" s="519" t="s">
        <v>7548</v>
      </c>
      <c r="L110" s="518" t="s">
        <v>1206</v>
      </c>
      <c r="M110" s="520">
        <v>59.15</v>
      </c>
      <c r="N110" s="518" t="s">
        <v>1206</v>
      </c>
    </row>
    <row r="111" spans="1:14" s="518" customFormat="1" x14ac:dyDescent="0.25">
      <c r="A111" s="518" t="s">
        <v>1484</v>
      </c>
      <c r="B111" s="518" t="s">
        <v>1485</v>
      </c>
      <c r="C111" s="519" t="s">
        <v>7429</v>
      </c>
      <c r="D111" s="519" t="s">
        <v>7431</v>
      </c>
      <c r="E111" s="519" t="s">
        <v>7541</v>
      </c>
      <c r="F111" s="519">
        <v>12</v>
      </c>
      <c r="G111" s="519" t="s">
        <v>7455</v>
      </c>
      <c r="H111" s="519" t="s">
        <v>7548</v>
      </c>
      <c r="I111" s="519"/>
      <c r="L111" s="518" t="s">
        <v>1206</v>
      </c>
      <c r="M111" s="520">
        <v>59.15</v>
      </c>
      <c r="N111" s="518" t="s">
        <v>1206</v>
      </c>
    </row>
    <row r="112" spans="1:14" s="518" customFormat="1" x14ac:dyDescent="0.25">
      <c r="A112" s="518" t="s">
        <v>1486</v>
      </c>
      <c r="B112" s="518" t="s">
        <v>1487</v>
      </c>
      <c r="C112" s="519" t="s">
        <v>7429</v>
      </c>
      <c r="D112" s="519" t="s">
        <v>7431</v>
      </c>
      <c r="E112" s="519" t="s">
        <v>7541</v>
      </c>
      <c r="F112" s="519">
        <v>12</v>
      </c>
      <c r="G112" s="519" t="s">
        <v>7440</v>
      </c>
      <c r="H112" s="519" t="s">
        <v>7441</v>
      </c>
      <c r="I112" s="519" t="s">
        <v>7548</v>
      </c>
      <c r="L112" s="518" t="s">
        <v>1206</v>
      </c>
      <c r="M112" s="520">
        <v>59.15</v>
      </c>
      <c r="N112" s="518" t="s">
        <v>1206</v>
      </c>
    </row>
    <row r="113" spans="1:14" s="518" customFormat="1" x14ac:dyDescent="0.25">
      <c r="A113" s="518" t="s">
        <v>1488</v>
      </c>
      <c r="B113" s="518" t="s">
        <v>1489</v>
      </c>
      <c r="C113" s="519" t="s">
        <v>7429</v>
      </c>
      <c r="D113" s="519" t="s">
        <v>7431</v>
      </c>
      <c r="E113" s="519" t="s">
        <v>7541</v>
      </c>
      <c r="F113" s="519">
        <v>12</v>
      </c>
      <c r="G113" s="519" t="s">
        <v>7456</v>
      </c>
      <c r="H113" s="519" t="s">
        <v>7457</v>
      </c>
      <c r="I113" s="519" t="s">
        <v>7548</v>
      </c>
      <c r="L113" s="518" t="s">
        <v>1206</v>
      </c>
      <c r="M113" s="520">
        <v>59.15</v>
      </c>
      <c r="N113" s="518" t="s">
        <v>1206</v>
      </c>
    </row>
    <row r="114" spans="1:14" s="518" customFormat="1" x14ac:dyDescent="0.25">
      <c r="A114" s="518" t="s">
        <v>1490</v>
      </c>
      <c r="B114" s="518" t="s">
        <v>1491</v>
      </c>
      <c r="C114" s="519" t="s">
        <v>7429</v>
      </c>
      <c r="D114" s="519" t="s">
        <v>7431</v>
      </c>
      <c r="E114" s="519" t="s">
        <v>7541</v>
      </c>
      <c r="F114" s="519">
        <v>12</v>
      </c>
      <c r="G114" s="519" t="s">
        <v>7460</v>
      </c>
      <c r="H114" s="519" t="s">
        <v>7436</v>
      </c>
      <c r="I114" s="519" t="s">
        <v>7548</v>
      </c>
      <c r="L114" s="518" t="s">
        <v>1206</v>
      </c>
      <c r="M114" s="520">
        <v>59.15</v>
      </c>
      <c r="N114" s="518" t="s">
        <v>1206</v>
      </c>
    </row>
    <row r="115" spans="1:14" s="518" customFormat="1" x14ac:dyDescent="0.25">
      <c r="A115" s="518" t="s">
        <v>1492</v>
      </c>
      <c r="B115" s="518" t="s">
        <v>1493</v>
      </c>
      <c r="C115" s="519" t="s">
        <v>7429</v>
      </c>
      <c r="D115" s="519" t="s">
        <v>7431</v>
      </c>
      <c r="E115" s="519" t="s">
        <v>7541</v>
      </c>
      <c r="F115" s="519">
        <v>12</v>
      </c>
      <c r="G115" s="519" t="s">
        <v>7442</v>
      </c>
      <c r="H115" s="519" t="s">
        <v>7548</v>
      </c>
      <c r="I115" s="519"/>
      <c r="L115" s="518" t="s">
        <v>1206</v>
      </c>
      <c r="M115" s="520">
        <v>59.15</v>
      </c>
      <c r="N115" s="518" t="s">
        <v>1206</v>
      </c>
    </row>
    <row r="116" spans="1:14" s="518" customFormat="1" x14ac:dyDescent="0.25">
      <c r="A116" s="518" t="s">
        <v>1494</v>
      </c>
      <c r="B116" s="518" t="s">
        <v>1495</v>
      </c>
      <c r="C116" s="519" t="s">
        <v>7429</v>
      </c>
      <c r="D116" s="519" t="s">
        <v>7541</v>
      </c>
      <c r="E116" s="519" t="s">
        <v>7555</v>
      </c>
      <c r="F116" s="519" t="s">
        <v>7556</v>
      </c>
      <c r="G116" s="519" t="s">
        <v>7557</v>
      </c>
      <c r="H116" s="519" t="s">
        <v>7558</v>
      </c>
      <c r="I116" s="519"/>
      <c r="L116" s="518" t="s">
        <v>1206</v>
      </c>
      <c r="M116" s="520">
        <v>59.15</v>
      </c>
      <c r="N116" s="518" t="s">
        <v>1206</v>
      </c>
    </row>
    <row r="117" spans="1:14" s="518" customFormat="1" x14ac:dyDescent="0.25">
      <c r="A117" s="518" t="s">
        <v>1496</v>
      </c>
      <c r="B117" s="518" t="s">
        <v>1497</v>
      </c>
      <c r="C117" s="519" t="s">
        <v>7429</v>
      </c>
      <c r="D117" s="519" t="s">
        <v>7541</v>
      </c>
      <c r="E117" s="519" t="s">
        <v>7559</v>
      </c>
      <c r="F117" s="519" t="s">
        <v>7560</v>
      </c>
      <c r="G117" s="519" t="s">
        <v>7558</v>
      </c>
      <c r="H117" s="519"/>
      <c r="I117" s="519"/>
      <c r="L117" s="518" t="s">
        <v>1206</v>
      </c>
      <c r="M117" s="520">
        <v>59.15</v>
      </c>
      <c r="N117" s="518" t="s">
        <v>1206</v>
      </c>
    </row>
    <row r="118" spans="1:14" s="518" customFormat="1" x14ac:dyDescent="0.25">
      <c r="A118" s="518" t="s">
        <v>1498</v>
      </c>
      <c r="B118" s="518" t="s">
        <v>1499</v>
      </c>
      <c r="C118" s="519" t="s">
        <v>7429</v>
      </c>
      <c r="D118" s="519" t="s">
        <v>7541</v>
      </c>
      <c r="E118" s="519" t="s">
        <v>7559</v>
      </c>
      <c r="F118" s="519" t="s">
        <v>7456</v>
      </c>
      <c r="G118" s="519" t="s">
        <v>7457</v>
      </c>
      <c r="H118" s="519" t="s">
        <v>7558</v>
      </c>
      <c r="I118" s="519"/>
      <c r="L118" s="518" t="s">
        <v>1206</v>
      </c>
      <c r="M118" s="520">
        <v>59.15</v>
      </c>
      <c r="N118" s="518" t="s">
        <v>1206</v>
      </c>
    </row>
    <row r="119" spans="1:14" s="518" customFormat="1" x14ac:dyDescent="0.25">
      <c r="A119" s="518" t="s">
        <v>1500</v>
      </c>
      <c r="B119" s="518" t="s">
        <v>1501</v>
      </c>
      <c r="C119" s="519" t="s">
        <v>7429</v>
      </c>
      <c r="D119" s="519" t="s">
        <v>7541</v>
      </c>
      <c r="E119" s="519" t="s">
        <v>7559</v>
      </c>
      <c r="F119" s="519" t="s">
        <v>7458</v>
      </c>
      <c r="G119" s="519" t="s">
        <v>7459</v>
      </c>
      <c r="H119" s="519" t="s">
        <v>7558</v>
      </c>
      <c r="I119" s="519"/>
      <c r="L119" s="518" t="s">
        <v>1206</v>
      </c>
      <c r="M119" s="520">
        <v>59.15</v>
      </c>
      <c r="N119" s="518" t="s">
        <v>1206</v>
      </c>
    </row>
    <row r="120" spans="1:14" s="518" customFormat="1" x14ac:dyDescent="0.25">
      <c r="A120" s="518" t="s">
        <v>1502</v>
      </c>
      <c r="B120" s="518" t="s">
        <v>1503</v>
      </c>
      <c r="C120" s="519" t="s">
        <v>7429</v>
      </c>
      <c r="D120" s="519" t="s">
        <v>7541</v>
      </c>
      <c r="E120" s="519" t="s">
        <v>7559</v>
      </c>
      <c r="F120" s="519" t="s">
        <v>7457</v>
      </c>
      <c r="G120" s="519" t="s">
        <v>7558</v>
      </c>
      <c r="H120" s="519"/>
      <c r="I120" s="519"/>
      <c r="L120" s="518" t="s">
        <v>1206</v>
      </c>
      <c r="M120" s="520">
        <v>59.15</v>
      </c>
      <c r="N120" s="518" t="s">
        <v>1206</v>
      </c>
    </row>
    <row r="121" spans="1:14" s="518" customFormat="1" x14ac:dyDescent="0.25">
      <c r="A121" s="518" t="s">
        <v>1504</v>
      </c>
      <c r="B121" s="518" t="s">
        <v>1505</v>
      </c>
      <c r="C121" s="519" t="s">
        <v>7429</v>
      </c>
      <c r="D121" s="519" t="s">
        <v>7561</v>
      </c>
      <c r="E121" s="519" t="s">
        <v>7562</v>
      </c>
      <c r="F121" s="519" t="s">
        <v>7559</v>
      </c>
      <c r="G121" s="519" t="s">
        <v>7563</v>
      </c>
      <c r="H121" s="519" t="s">
        <v>7564</v>
      </c>
      <c r="I121" s="519"/>
      <c r="L121" s="518" t="s">
        <v>1206</v>
      </c>
      <c r="M121" s="520">
        <v>53.85</v>
      </c>
      <c r="N121" s="518" t="s">
        <v>1206</v>
      </c>
    </row>
    <row r="122" spans="1:14" s="518" customFormat="1" x14ac:dyDescent="0.25">
      <c r="A122" s="518" t="s">
        <v>1506</v>
      </c>
      <c r="B122" s="518" t="s">
        <v>1507</v>
      </c>
      <c r="C122" s="519" t="s">
        <v>7429</v>
      </c>
      <c r="D122" s="519" t="s">
        <v>7565</v>
      </c>
      <c r="E122" s="519" t="s">
        <v>7566</v>
      </c>
      <c r="F122" s="519" t="s">
        <v>7567</v>
      </c>
      <c r="G122" s="519" t="s">
        <v>7568</v>
      </c>
      <c r="H122" s="519" t="s">
        <v>7542</v>
      </c>
      <c r="I122" s="519"/>
      <c r="L122" s="518" t="s">
        <v>1206</v>
      </c>
      <c r="M122" s="520">
        <v>110</v>
      </c>
      <c r="N122" s="518" t="s">
        <v>1206</v>
      </c>
    </row>
    <row r="123" spans="1:14" s="518" customFormat="1" x14ac:dyDescent="0.25">
      <c r="A123" s="518" t="s">
        <v>1508</v>
      </c>
      <c r="B123" s="518" t="s">
        <v>1509</v>
      </c>
      <c r="C123" s="519" t="s">
        <v>7429</v>
      </c>
      <c r="D123" s="519" t="s">
        <v>7565</v>
      </c>
      <c r="E123" s="519" t="s">
        <v>7566</v>
      </c>
      <c r="F123" s="519" t="s">
        <v>7448</v>
      </c>
      <c r="G123" s="519" t="s">
        <v>7433</v>
      </c>
      <c r="H123" s="519" t="s">
        <v>7542</v>
      </c>
      <c r="I123" s="519"/>
      <c r="L123" s="518" t="s">
        <v>1206</v>
      </c>
      <c r="M123" s="520">
        <v>110</v>
      </c>
      <c r="N123" s="518" t="s">
        <v>1206</v>
      </c>
    </row>
    <row r="124" spans="1:14" s="518" customFormat="1" x14ac:dyDescent="0.25">
      <c r="A124" s="518" t="s">
        <v>1510</v>
      </c>
      <c r="B124" s="518" t="s">
        <v>1511</v>
      </c>
      <c r="C124" s="519" t="s">
        <v>7429</v>
      </c>
      <c r="D124" s="519" t="s">
        <v>7565</v>
      </c>
      <c r="E124" s="519" t="s">
        <v>7566</v>
      </c>
      <c r="F124" s="519" t="s">
        <v>7449</v>
      </c>
      <c r="G124" s="519" t="s">
        <v>7542</v>
      </c>
      <c r="H124" s="519"/>
      <c r="I124" s="519"/>
      <c r="L124" s="518" t="s">
        <v>1206</v>
      </c>
      <c r="M124" s="520">
        <v>110</v>
      </c>
      <c r="N124" s="518" t="s">
        <v>1206</v>
      </c>
    </row>
    <row r="125" spans="1:14" s="518" customFormat="1" x14ac:dyDescent="0.25">
      <c r="A125" s="518" t="s">
        <v>1512</v>
      </c>
      <c r="B125" s="518" t="s">
        <v>1513</v>
      </c>
      <c r="C125" s="519" t="s">
        <v>7429</v>
      </c>
      <c r="D125" s="519" t="s">
        <v>7565</v>
      </c>
      <c r="E125" s="519" t="s">
        <v>7566</v>
      </c>
      <c r="F125" s="519" t="s">
        <v>7435</v>
      </c>
      <c r="G125" s="519" t="s">
        <v>7437</v>
      </c>
      <c r="H125" s="519" t="s">
        <v>7542</v>
      </c>
      <c r="I125" s="519"/>
      <c r="L125" s="518" t="s">
        <v>1206</v>
      </c>
      <c r="M125" s="520">
        <v>110</v>
      </c>
      <c r="N125" s="518" t="s">
        <v>1206</v>
      </c>
    </row>
    <row r="126" spans="1:14" s="518" customFormat="1" x14ac:dyDescent="0.25">
      <c r="A126" s="518" t="s">
        <v>1514</v>
      </c>
      <c r="B126" s="518" t="s">
        <v>1515</v>
      </c>
      <c r="C126" s="519" t="s">
        <v>7429</v>
      </c>
      <c r="D126" s="519" t="s">
        <v>7565</v>
      </c>
      <c r="E126" s="519" t="s">
        <v>7566</v>
      </c>
      <c r="F126" s="519" t="s">
        <v>7450</v>
      </c>
      <c r="G126" s="519" t="s">
        <v>7542</v>
      </c>
      <c r="H126" s="519"/>
      <c r="I126" s="519"/>
      <c r="L126" s="518" t="s">
        <v>1206</v>
      </c>
      <c r="M126" s="520">
        <v>110</v>
      </c>
      <c r="N126" s="518" t="s">
        <v>1206</v>
      </c>
    </row>
    <row r="127" spans="1:14" s="518" customFormat="1" x14ac:dyDescent="0.25">
      <c r="A127" s="518" t="s">
        <v>1516</v>
      </c>
      <c r="B127" s="518" t="s">
        <v>1517</v>
      </c>
      <c r="C127" s="519" t="s">
        <v>7429</v>
      </c>
      <c r="D127" s="519" t="s">
        <v>7565</v>
      </c>
      <c r="E127" s="519" t="s">
        <v>7566</v>
      </c>
      <c r="F127" s="519" t="s">
        <v>7438</v>
      </c>
      <c r="G127" s="519" t="s">
        <v>7542</v>
      </c>
      <c r="H127" s="519"/>
      <c r="I127" s="519"/>
      <c r="L127" s="518" t="s">
        <v>1206</v>
      </c>
      <c r="M127" s="520">
        <v>110</v>
      </c>
      <c r="N127" s="518" t="s">
        <v>1206</v>
      </c>
    </row>
    <row r="128" spans="1:14" s="518" customFormat="1" x14ac:dyDescent="0.25">
      <c r="A128" s="518" t="s">
        <v>1518</v>
      </c>
      <c r="B128" s="518" t="s">
        <v>1519</v>
      </c>
      <c r="C128" s="519" t="s">
        <v>7429</v>
      </c>
      <c r="D128" s="519" t="s">
        <v>7565</v>
      </c>
      <c r="E128" s="519" t="s">
        <v>7566</v>
      </c>
      <c r="F128" s="519" t="s">
        <v>7453</v>
      </c>
      <c r="G128" s="519" t="s">
        <v>7433</v>
      </c>
      <c r="H128" s="519" t="s">
        <v>7542</v>
      </c>
      <c r="I128" s="519"/>
      <c r="L128" s="518" t="s">
        <v>1206</v>
      </c>
      <c r="M128" s="520">
        <v>110</v>
      </c>
      <c r="N128" s="518" t="s">
        <v>1206</v>
      </c>
    </row>
    <row r="129" spans="1:14" s="518" customFormat="1" x14ac:dyDescent="0.25">
      <c r="A129" s="518" t="s">
        <v>1520</v>
      </c>
      <c r="B129" s="518" t="s">
        <v>1521</v>
      </c>
      <c r="C129" s="519" t="s">
        <v>7429</v>
      </c>
      <c r="D129" s="519" t="s">
        <v>7565</v>
      </c>
      <c r="E129" s="519" t="s">
        <v>7566</v>
      </c>
      <c r="F129" s="519" t="s">
        <v>7454</v>
      </c>
      <c r="G129" s="519" t="s">
        <v>7437</v>
      </c>
      <c r="H129" s="519" t="s">
        <v>7542</v>
      </c>
      <c r="I129" s="519"/>
      <c r="L129" s="518" t="s">
        <v>1206</v>
      </c>
      <c r="M129" s="520">
        <v>110</v>
      </c>
      <c r="N129" s="518" t="s">
        <v>1206</v>
      </c>
    </row>
    <row r="130" spans="1:14" s="518" customFormat="1" x14ac:dyDescent="0.25">
      <c r="A130" s="518" t="s">
        <v>1522</v>
      </c>
      <c r="B130" s="518" t="s">
        <v>1523</v>
      </c>
      <c r="C130" s="519" t="s">
        <v>7429</v>
      </c>
      <c r="D130" s="519" t="s">
        <v>7565</v>
      </c>
      <c r="E130" s="519" t="s">
        <v>7566</v>
      </c>
      <c r="F130" s="519" t="s">
        <v>7539</v>
      </c>
      <c r="G130" s="519" t="s">
        <v>7447</v>
      </c>
      <c r="H130" s="519" t="s">
        <v>7542</v>
      </c>
      <c r="I130" s="519"/>
      <c r="L130" s="518" t="s">
        <v>1206</v>
      </c>
      <c r="M130" s="520">
        <v>110</v>
      </c>
      <c r="N130" s="518" t="s">
        <v>1206</v>
      </c>
    </row>
    <row r="131" spans="1:14" s="518" customFormat="1" x14ac:dyDescent="0.25">
      <c r="A131" s="518" t="s">
        <v>1524</v>
      </c>
      <c r="B131" s="518" t="s">
        <v>1525</v>
      </c>
      <c r="C131" s="519" t="s">
        <v>7429</v>
      </c>
      <c r="D131" s="519" t="s">
        <v>7565</v>
      </c>
      <c r="E131" s="519" t="s">
        <v>7566</v>
      </c>
      <c r="F131" s="519" t="s">
        <v>7539</v>
      </c>
      <c r="G131" s="519" t="s">
        <v>7448</v>
      </c>
      <c r="H131" s="519" t="s">
        <v>7433</v>
      </c>
      <c r="I131" s="519" t="s">
        <v>7542</v>
      </c>
      <c r="L131" s="518" t="s">
        <v>1206</v>
      </c>
      <c r="M131" s="520">
        <v>110</v>
      </c>
      <c r="N131" s="518" t="s">
        <v>1206</v>
      </c>
    </row>
    <row r="132" spans="1:14" s="518" customFormat="1" x14ac:dyDescent="0.25">
      <c r="A132" s="518" t="s">
        <v>1526</v>
      </c>
      <c r="B132" s="518" t="s">
        <v>1527</v>
      </c>
      <c r="C132" s="519" t="s">
        <v>7429</v>
      </c>
      <c r="D132" s="519" t="s">
        <v>7565</v>
      </c>
      <c r="E132" s="519" t="s">
        <v>7566</v>
      </c>
      <c r="F132" s="519" t="s">
        <v>7539</v>
      </c>
      <c r="G132" s="519" t="s">
        <v>7432</v>
      </c>
      <c r="H132" s="519" t="s">
        <v>7433</v>
      </c>
      <c r="I132" s="519" t="s">
        <v>7542</v>
      </c>
      <c r="L132" s="518" t="s">
        <v>1206</v>
      </c>
      <c r="M132" s="520">
        <v>110</v>
      </c>
      <c r="N132" s="518" t="s">
        <v>1206</v>
      </c>
    </row>
    <row r="133" spans="1:14" s="518" customFormat="1" x14ac:dyDescent="0.25">
      <c r="A133" s="518" t="s">
        <v>1528</v>
      </c>
      <c r="B133" s="518" t="s">
        <v>1529</v>
      </c>
      <c r="C133" s="519" t="s">
        <v>7429</v>
      </c>
      <c r="D133" s="519" t="s">
        <v>7565</v>
      </c>
      <c r="E133" s="519" t="s">
        <v>7566</v>
      </c>
      <c r="F133" s="519" t="s">
        <v>7539</v>
      </c>
      <c r="G133" s="519" t="s">
        <v>7435</v>
      </c>
      <c r="H133" s="519" t="s">
        <v>7437</v>
      </c>
      <c r="I133" s="519" t="s">
        <v>7542</v>
      </c>
      <c r="L133" s="518" t="s">
        <v>1206</v>
      </c>
      <c r="M133" s="520">
        <v>110</v>
      </c>
      <c r="N133" s="518" t="s">
        <v>1206</v>
      </c>
    </row>
    <row r="134" spans="1:14" s="518" customFormat="1" x14ac:dyDescent="0.25">
      <c r="A134" s="518" t="s">
        <v>1530</v>
      </c>
      <c r="B134" s="518" t="s">
        <v>1531</v>
      </c>
      <c r="C134" s="519" t="s">
        <v>7429</v>
      </c>
      <c r="D134" s="519" t="s">
        <v>7565</v>
      </c>
      <c r="E134" s="519" t="s">
        <v>7566</v>
      </c>
      <c r="F134" s="519" t="s">
        <v>7539</v>
      </c>
      <c r="G134" s="519" t="s">
        <v>7450</v>
      </c>
      <c r="H134" s="519" t="s">
        <v>7542</v>
      </c>
      <c r="I134" s="519"/>
      <c r="L134" s="518" t="s">
        <v>1206</v>
      </c>
      <c r="M134" s="520">
        <v>110</v>
      </c>
      <c r="N134" s="518" t="s">
        <v>1206</v>
      </c>
    </row>
    <row r="135" spans="1:14" s="518" customFormat="1" x14ac:dyDescent="0.25">
      <c r="A135" s="518" t="s">
        <v>1532</v>
      </c>
      <c r="B135" s="518" t="s">
        <v>1533</v>
      </c>
      <c r="C135" s="519" t="s">
        <v>7429</v>
      </c>
      <c r="D135" s="519" t="s">
        <v>7565</v>
      </c>
      <c r="E135" s="519" t="s">
        <v>7566</v>
      </c>
      <c r="F135" s="519" t="s">
        <v>7539</v>
      </c>
      <c r="G135" s="519" t="s">
        <v>7569</v>
      </c>
      <c r="H135" s="519" t="s">
        <v>7542</v>
      </c>
      <c r="I135" s="519"/>
      <c r="L135" s="518" t="s">
        <v>1206</v>
      </c>
      <c r="M135" s="520">
        <v>110</v>
      </c>
      <c r="N135" s="518" t="s">
        <v>1206</v>
      </c>
    </row>
    <row r="136" spans="1:14" s="518" customFormat="1" x14ac:dyDescent="0.25">
      <c r="A136" s="518" t="s">
        <v>1534</v>
      </c>
      <c r="B136" s="518" t="s">
        <v>1535</v>
      </c>
      <c r="C136" s="519" t="s">
        <v>7429</v>
      </c>
      <c r="D136" s="519" t="s">
        <v>7570</v>
      </c>
      <c r="E136" s="519" t="s">
        <v>7566</v>
      </c>
      <c r="F136" s="519" t="s">
        <v>7539</v>
      </c>
      <c r="G136" s="519" t="s">
        <v>524</v>
      </c>
      <c r="H136" s="519" t="s">
        <v>148</v>
      </c>
      <c r="I136" s="519" t="s">
        <v>7542</v>
      </c>
      <c r="L136" s="518" t="s">
        <v>1206</v>
      </c>
      <c r="M136" s="520">
        <v>110</v>
      </c>
      <c r="N136" s="518" t="s">
        <v>1206</v>
      </c>
    </row>
    <row r="137" spans="1:14" s="518" customFormat="1" x14ac:dyDescent="0.25">
      <c r="A137" s="518" t="s">
        <v>1536</v>
      </c>
      <c r="B137" s="518" t="s">
        <v>1537</v>
      </c>
      <c r="C137" s="519" t="s">
        <v>7429</v>
      </c>
      <c r="D137" s="519" t="s">
        <v>7570</v>
      </c>
      <c r="E137" s="519" t="s">
        <v>7566</v>
      </c>
      <c r="F137" s="519" t="s">
        <v>7539</v>
      </c>
      <c r="G137" s="519" t="s">
        <v>715</v>
      </c>
      <c r="H137" s="519" t="s">
        <v>7542</v>
      </c>
      <c r="I137" s="519"/>
      <c r="L137" s="518" t="s">
        <v>1206</v>
      </c>
      <c r="M137" s="520">
        <v>110</v>
      </c>
      <c r="N137" s="518" t="s">
        <v>1206</v>
      </c>
    </row>
    <row r="138" spans="1:14" s="518" customFormat="1" x14ac:dyDescent="0.25">
      <c r="A138" s="518" t="s">
        <v>1538</v>
      </c>
      <c r="B138" s="518" t="s">
        <v>1539</v>
      </c>
      <c r="C138" s="519" t="s">
        <v>7429</v>
      </c>
      <c r="D138" s="519" t="s">
        <v>7570</v>
      </c>
      <c r="E138" s="519" t="s">
        <v>7566</v>
      </c>
      <c r="F138" s="519" t="s">
        <v>7539</v>
      </c>
      <c r="G138" s="519" t="s">
        <v>7571</v>
      </c>
      <c r="H138" s="519" t="s">
        <v>578</v>
      </c>
      <c r="I138" s="519" t="s">
        <v>7542</v>
      </c>
      <c r="L138" s="518" t="s">
        <v>1206</v>
      </c>
      <c r="M138" s="520">
        <v>110</v>
      </c>
      <c r="N138" s="518" t="s">
        <v>1206</v>
      </c>
    </row>
    <row r="139" spans="1:14" s="518" customFormat="1" x14ac:dyDescent="0.25">
      <c r="A139" s="518" t="s">
        <v>1540</v>
      </c>
      <c r="B139" s="518" t="s">
        <v>1541</v>
      </c>
      <c r="C139" s="519" t="s">
        <v>7429</v>
      </c>
      <c r="D139" s="519" t="s">
        <v>7565</v>
      </c>
      <c r="E139" s="519" t="s">
        <v>7566</v>
      </c>
      <c r="F139" s="519" t="s">
        <v>7442</v>
      </c>
      <c r="G139" s="519" t="s">
        <v>7542</v>
      </c>
      <c r="H139" s="519"/>
      <c r="I139" s="519"/>
      <c r="L139" s="518" t="s">
        <v>1206</v>
      </c>
      <c r="M139" s="520">
        <v>110</v>
      </c>
      <c r="N139" s="518" t="s">
        <v>1206</v>
      </c>
    </row>
    <row r="140" spans="1:14" s="530" customFormat="1" x14ac:dyDescent="0.25">
      <c r="A140" s="530" t="s">
        <v>1542</v>
      </c>
      <c r="B140" s="530" t="s">
        <v>1543</v>
      </c>
      <c r="C140" s="531" t="s">
        <v>7467</v>
      </c>
      <c r="D140" s="531" t="s">
        <v>7572</v>
      </c>
      <c r="E140" s="531" t="s">
        <v>7573</v>
      </c>
      <c r="F140" s="531" t="s">
        <v>7574</v>
      </c>
      <c r="G140" s="531">
        <v>224</v>
      </c>
      <c r="H140" s="531" t="s">
        <v>7575</v>
      </c>
      <c r="I140" s="531" t="s">
        <v>361</v>
      </c>
      <c r="J140" s="530" t="s">
        <v>7542</v>
      </c>
      <c r="L140" s="530" t="s">
        <v>1206</v>
      </c>
      <c r="M140" s="532">
        <v>0</v>
      </c>
      <c r="N140" s="530" t="s">
        <v>1544</v>
      </c>
    </row>
    <row r="141" spans="1:14" s="530" customFormat="1" x14ac:dyDescent="0.25">
      <c r="A141" s="530" t="s">
        <v>1545</v>
      </c>
      <c r="B141" s="530" t="s">
        <v>1546</v>
      </c>
      <c r="C141" s="531" t="s">
        <v>7467</v>
      </c>
      <c r="D141" s="531" t="s">
        <v>7572</v>
      </c>
      <c r="E141" s="531" t="s">
        <v>7573</v>
      </c>
      <c r="F141" s="531" t="s">
        <v>7574</v>
      </c>
      <c r="G141" s="531">
        <v>224</v>
      </c>
      <c r="H141" s="531" t="s">
        <v>148</v>
      </c>
      <c r="I141" s="531" t="s">
        <v>7471</v>
      </c>
      <c r="J141" s="530" t="s">
        <v>7542</v>
      </c>
      <c r="L141" s="530" t="s">
        <v>1206</v>
      </c>
      <c r="M141" s="532">
        <v>0</v>
      </c>
      <c r="N141" s="530" t="s">
        <v>1544</v>
      </c>
    </row>
    <row r="142" spans="1:14" s="530" customFormat="1" x14ac:dyDescent="0.25">
      <c r="A142" s="530" t="s">
        <v>1547</v>
      </c>
      <c r="B142" s="530" t="s">
        <v>1548</v>
      </c>
      <c r="C142" s="531" t="s">
        <v>7467</v>
      </c>
      <c r="D142" s="531" t="s">
        <v>7572</v>
      </c>
      <c r="E142" s="531" t="s">
        <v>7573</v>
      </c>
      <c r="F142" s="531" t="s">
        <v>7574</v>
      </c>
      <c r="G142" s="531">
        <v>224</v>
      </c>
      <c r="H142" s="531" t="s">
        <v>514</v>
      </c>
      <c r="I142" s="531" t="s">
        <v>7542</v>
      </c>
      <c r="L142" s="530" t="s">
        <v>1206</v>
      </c>
      <c r="M142" s="532">
        <v>0</v>
      </c>
      <c r="N142" s="530" t="s">
        <v>1544</v>
      </c>
    </row>
    <row r="143" spans="1:14" s="530" customFormat="1" x14ac:dyDescent="0.25">
      <c r="A143" s="530" t="s">
        <v>1549</v>
      </c>
      <c r="B143" s="530" t="s">
        <v>1550</v>
      </c>
      <c r="C143" s="531" t="s">
        <v>7467</v>
      </c>
      <c r="D143" s="531" t="s">
        <v>7572</v>
      </c>
      <c r="E143" s="531" t="s">
        <v>7573</v>
      </c>
      <c r="F143" s="531" t="s">
        <v>7574</v>
      </c>
      <c r="G143" s="531">
        <v>224</v>
      </c>
      <c r="H143" s="531" t="s">
        <v>7576</v>
      </c>
      <c r="I143" s="531" t="s">
        <v>148</v>
      </c>
      <c r="J143" s="530" t="s">
        <v>7542</v>
      </c>
      <c r="L143" s="530" t="s">
        <v>1206</v>
      </c>
      <c r="M143" s="532">
        <v>0</v>
      </c>
      <c r="N143" s="530" t="s">
        <v>1544</v>
      </c>
    </row>
    <row r="144" spans="1:14" s="530" customFormat="1" x14ac:dyDescent="0.25">
      <c r="A144" s="530" t="s">
        <v>1551</v>
      </c>
      <c r="B144" s="530" t="s">
        <v>1552</v>
      </c>
      <c r="C144" s="531" t="s">
        <v>7467</v>
      </c>
      <c r="D144" s="531" t="s">
        <v>7572</v>
      </c>
      <c r="E144" s="531" t="s">
        <v>7573</v>
      </c>
      <c r="F144" s="531" t="s">
        <v>7574</v>
      </c>
      <c r="G144" s="531">
        <v>224</v>
      </c>
      <c r="H144" s="531" t="s">
        <v>7577</v>
      </c>
      <c r="I144" s="531" t="s">
        <v>7428</v>
      </c>
      <c r="J144" s="530" t="s">
        <v>7542</v>
      </c>
      <c r="L144" s="530" t="s">
        <v>1206</v>
      </c>
      <c r="M144" s="532">
        <v>0</v>
      </c>
      <c r="N144" s="530" t="s">
        <v>1544</v>
      </c>
    </row>
    <row r="145" spans="1:14" s="530" customFormat="1" x14ac:dyDescent="0.25">
      <c r="A145" s="530" t="s">
        <v>1553</v>
      </c>
      <c r="B145" s="530" t="s">
        <v>1554</v>
      </c>
      <c r="C145" s="531" t="s">
        <v>7467</v>
      </c>
      <c r="D145" s="531" t="s">
        <v>7572</v>
      </c>
      <c r="E145" s="531" t="s">
        <v>7573</v>
      </c>
      <c r="F145" s="531" t="s">
        <v>7574</v>
      </c>
      <c r="G145" s="531">
        <v>224</v>
      </c>
      <c r="H145" s="531" t="s">
        <v>7475</v>
      </c>
      <c r="I145" s="531" t="s">
        <v>7578</v>
      </c>
      <c r="J145" s="530" t="s">
        <v>7542</v>
      </c>
      <c r="L145" s="530" t="s">
        <v>1206</v>
      </c>
      <c r="M145" s="532">
        <v>0</v>
      </c>
      <c r="N145" s="530" t="s">
        <v>1544</v>
      </c>
    </row>
    <row r="146" spans="1:14" s="530" customFormat="1" x14ac:dyDescent="0.25">
      <c r="A146" s="530" t="s">
        <v>1555</v>
      </c>
      <c r="B146" s="530" t="s">
        <v>1556</v>
      </c>
      <c r="C146" s="531" t="s">
        <v>7467</v>
      </c>
      <c r="D146" s="531" t="s">
        <v>7572</v>
      </c>
      <c r="E146" s="531" t="s">
        <v>7573</v>
      </c>
      <c r="F146" s="531" t="s">
        <v>7574</v>
      </c>
      <c r="G146" s="531">
        <v>224</v>
      </c>
      <c r="H146" s="531" t="s">
        <v>519</v>
      </c>
      <c r="I146" s="531" t="s">
        <v>7426</v>
      </c>
      <c r="J146" s="530" t="s">
        <v>7542</v>
      </c>
      <c r="L146" s="530" t="s">
        <v>1206</v>
      </c>
      <c r="M146" s="532">
        <v>0</v>
      </c>
      <c r="N146" s="530" t="s">
        <v>1544</v>
      </c>
    </row>
    <row r="147" spans="1:14" s="530" customFormat="1" x14ac:dyDescent="0.25">
      <c r="A147" s="530" t="s">
        <v>1557</v>
      </c>
      <c r="B147" s="530" t="s">
        <v>1558</v>
      </c>
      <c r="C147" s="531" t="s">
        <v>7467</v>
      </c>
      <c r="D147" s="531" t="s">
        <v>7572</v>
      </c>
      <c r="E147" s="531" t="s">
        <v>7573</v>
      </c>
      <c r="F147" s="531" t="s">
        <v>7574</v>
      </c>
      <c r="G147" s="531">
        <v>224</v>
      </c>
      <c r="H147" s="531" t="s">
        <v>729</v>
      </c>
      <c r="I147" s="531" t="s">
        <v>7542</v>
      </c>
      <c r="L147" s="530" t="s">
        <v>1206</v>
      </c>
      <c r="M147" s="532">
        <v>0</v>
      </c>
      <c r="N147" s="530" t="s">
        <v>1544</v>
      </c>
    </row>
    <row r="148" spans="1:14" s="530" customFormat="1" x14ac:dyDescent="0.25">
      <c r="A148" s="530" t="s">
        <v>1559</v>
      </c>
      <c r="B148" s="530" t="s">
        <v>1560</v>
      </c>
      <c r="C148" s="531" t="s">
        <v>7467</v>
      </c>
      <c r="D148" s="531" t="s">
        <v>7572</v>
      </c>
      <c r="E148" s="531" t="s">
        <v>7573</v>
      </c>
      <c r="F148" s="531" t="s">
        <v>7574</v>
      </c>
      <c r="G148" s="531">
        <v>224</v>
      </c>
      <c r="H148" s="531" t="s">
        <v>7579</v>
      </c>
      <c r="I148" s="531" t="s">
        <v>7580</v>
      </c>
      <c r="J148" s="530" t="s">
        <v>7542</v>
      </c>
      <c r="L148" s="530" t="s">
        <v>1206</v>
      </c>
      <c r="M148" s="532">
        <v>0</v>
      </c>
      <c r="N148" s="530" t="s">
        <v>1544</v>
      </c>
    </row>
    <row r="149" spans="1:14" s="518" customFormat="1" x14ac:dyDescent="0.25">
      <c r="A149" s="518" t="s">
        <v>1561</v>
      </c>
      <c r="B149" s="518" t="s">
        <v>1562</v>
      </c>
      <c r="C149" s="519" t="s">
        <v>7467</v>
      </c>
      <c r="D149" s="519">
        <v>227</v>
      </c>
      <c r="E149" s="519" t="s">
        <v>7581</v>
      </c>
      <c r="F149" s="519" t="s">
        <v>7541</v>
      </c>
      <c r="G149" s="519" t="s">
        <v>7575</v>
      </c>
      <c r="H149" s="519" t="s">
        <v>361</v>
      </c>
      <c r="I149" s="519" t="s">
        <v>7582</v>
      </c>
      <c r="L149" s="518" t="s">
        <v>1206</v>
      </c>
      <c r="M149" s="520">
        <v>49.75</v>
      </c>
      <c r="N149" s="518" t="s">
        <v>1206</v>
      </c>
    </row>
    <row r="150" spans="1:14" s="518" customFormat="1" x14ac:dyDescent="0.25">
      <c r="A150" s="518" t="s">
        <v>1563</v>
      </c>
      <c r="B150" s="518" t="s">
        <v>1564</v>
      </c>
      <c r="C150" s="519" t="s">
        <v>7467</v>
      </c>
      <c r="D150" s="519">
        <v>227</v>
      </c>
      <c r="E150" s="519" t="s">
        <v>7581</v>
      </c>
      <c r="F150" s="519" t="s">
        <v>7541</v>
      </c>
      <c r="G150" s="519" t="s">
        <v>148</v>
      </c>
      <c r="H150" s="519" t="s">
        <v>7471</v>
      </c>
      <c r="I150" s="519" t="s">
        <v>7582</v>
      </c>
      <c r="L150" s="518" t="s">
        <v>1206</v>
      </c>
      <c r="M150" s="520">
        <v>49.75</v>
      </c>
      <c r="N150" s="518" t="s">
        <v>1206</v>
      </c>
    </row>
    <row r="151" spans="1:14" s="518" customFormat="1" x14ac:dyDescent="0.25">
      <c r="A151" s="518" t="s">
        <v>1565</v>
      </c>
      <c r="B151" s="518" t="s">
        <v>1566</v>
      </c>
      <c r="C151" s="519" t="s">
        <v>7467</v>
      </c>
      <c r="D151" s="519">
        <v>227</v>
      </c>
      <c r="E151" s="519" t="s">
        <v>7581</v>
      </c>
      <c r="F151" s="519" t="s">
        <v>7541</v>
      </c>
      <c r="G151" s="519" t="s">
        <v>514</v>
      </c>
      <c r="H151" s="519" t="s">
        <v>7582</v>
      </c>
      <c r="I151" s="519"/>
      <c r="L151" s="518" t="s">
        <v>1206</v>
      </c>
      <c r="M151" s="520">
        <v>49.75</v>
      </c>
      <c r="N151" s="518" t="s">
        <v>1206</v>
      </c>
    </row>
    <row r="152" spans="1:14" s="518" customFormat="1" x14ac:dyDescent="0.25">
      <c r="A152" s="518" t="s">
        <v>1567</v>
      </c>
      <c r="B152" s="518" t="s">
        <v>1568</v>
      </c>
      <c r="C152" s="519" t="s">
        <v>7467</v>
      </c>
      <c r="D152" s="519">
        <v>227</v>
      </c>
      <c r="E152" s="519" t="s">
        <v>7581</v>
      </c>
      <c r="F152" s="519" t="s">
        <v>7541</v>
      </c>
      <c r="G152" s="519" t="s">
        <v>7531</v>
      </c>
      <c r="H152" s="519" t="s">
        <v>148</v>
      </c>
      <c r="I152" s="519" t="s">
        <v>7582</v>
      </c>
      <c r="L152" s="518" t="s">
        <v>1206</v>
      </c>
      <c r="M152" s="520">
        <v>49.75</v>
      </c>
      <c r="N152" s="518" t="s">
        <v>1206</v>
      </c>
    </row>
    <row r="153" spans="1:14" s="518" customFormat="1" x14ac:dyDescent="0.25">
      <c r="A153" s="518" t="s">
        <v>1569</v>
      </c>
      <c r="B153" s="518" t="s">
        <v>1570</v>
      </c>
      <c r="C153" s="519" t="s">
        <v>7467</v>
      </c>
      <c r="D153" s="519">
        <v>227</v>
      </c>
      <c r="E153" s="519" t="s">
        <v>7581</v>
      </c>
      <c r="F153" s="519" t="s">
        <v>7541</v>
      </c>
      <c r="G153" s="519" t="s">
        <v>7583</v>
      </c>
      <c r="H153" s="519" t="s">
        <v>7428</v>
      </c>
      <c r="I153" s="519" t="s">
        <v>7582</v>
      </c>
      <c r="L153" s="518" t="s">
        <v>1206</v>
      </c>
      <c r="M153" s="520">
        <v>49.75</v>
      </c>
      <c r="N153" s="518" t="s">
        <v>1206</v>
      </c>
    </row>
    <row r="154" spans="1:14" s="518" customFormat="1" x14ac:dyDescent="0.25">
      <c r="A154" s="518" t="s">
        <v>1571</v>
      </c>
      <c r="B154" s="518" t="s">
        <v>1572</v>
      </c>
      <c r="C154" s="519" t="s">
        <v>7467</v>
      </c>
      <c r="D154" s="519">
        <v>227</v>
      </c>
      <c r="E154" s="519" t="s">
        <v>7581</v>
      </c>
      <c r="F154" s="519" t="s">
        <v>7541</v>
      </c>
      <c r="G154" s="519" t="s">
        <v>7475</v>
      </c>
      <c r="H154" s="519" t="s">
        <v>7584</v>
      </c>
      <c r="I154" s="519" t="s">
        <v>7582</v>
      </c>
      <c r="L154" s="518" t="s">
        <v>1206</v>
      </c>
      <c r="M154" s="520">
        <v>49.75</v>
      </c>
      <c r="N154" s="518" t="s">
        <v>1206</v>
      </c>
    </row>
    <row r="155" spans="1:14" s="518" customFormat="1" x14ac:dyDescent="0.25">
      <c r="A155" s="518" t="s">
        <v>1573</v>
      </c>
      <c r="B155" s="518" t="s">
        <v>1574</v>
      </c>
      <c r="C155" s="519" t="s">
        <v>7467</v>
      </c>
      <c r="D155" s="519">
        <v>227</v>
      </c>
      <c r="E155" s="519" t="s">
        <v>7581</v>
      </c>
      <c r="F155" s="519" t="s">
        <v>7541</v>
      </c>
      <c r="G155" s="519" t="s">
        <v>519</v>
      </c>
      <c r="H155" s="519" t="s">
        <v>7426</v>
      </c>
      <c r="I155" s="519" t="s">
        <v>7582</v>
      </c>
      <c r="L155" s="518" t="s">
        <v>1206</v>
      </c>
      <c r="M155" s="520">
        <v>49.75</v>
      </c>
      <c r="N155" s="518" t="s">
        <v>1206</v>
      </c>
    </row>
    <row r="156" spans="1:14" s="518" customFormat="1" x14ac:dyDescent="0.25">
      <c r="A156" s="518" t="s">
        <v>1575</v>
      </c>
      <c r="B156" s="518" t="s">
        <v>1576</v>
      </c>
      <c r="C156" s="519" t="s">
        <v>7467</v>
      </c>
      <c r="D156" s="519">
        <v>227</v>
      </c>
      <c r="E156" s="519" t="s">
        <v>7581</v>
      </c>
      <c r="F156" s="519" t="s">
        <v>7541</v>
      </c>
      <c r="G156" s="519" t="s">
        <v>729</v>
      </c>
      <c r="H156" s="519" t="s">
        <v>7582</v>
      </c>
      <c r="I156" s="519"/>
      <c r="L156" s="518" t="s">
        <v>1206</v>
      </c>
      <c r="M156" s="520">
        <v>49.75</v>
      </c>
      <c r="N156" s="518" t="s">
        <v>1206</v>
      </c>
    </row>
    <row r="157" spans="1:14" s="518" customFormat="1" x14ac:dyDescent="0.25">
      <c r="A157" s="518" t="s">
        <v>1577</v>
      </c>
      <c r="B157" s="518" t="s">
        <v>1578</v>
      </c>
      <c r="C157" s="519" t="s">
        <v>7467</v>
      </c>
      <c r="D157" s="519">
        <v>227</v>
      </c>
      <c r="E157" s="519" t="s">
        <v>7581</v>
      </c>
      <c r="F157" s="519" t="s">
        <v>7541</v>
      </c>
      <c r="G157" s="519" t="s">
        <v>7427</v>
      </c>
      <c r="H157" s="519" t="s">
        <v>7428</v>
      </c>
      <c r="I157" s="519" t="s">
        <v>7582</v>
      </c>
      <c r="L157" s="518" t="s">
        <v>1206</v>
      </c>
      <c r="M157" s="520">
        <v>49.75</v>
      </c>
      <c r="N157" s="518" t="s">
        <v>1206</v>
      </c>
    </row>
    <row r="158" spans="1:14" s="518" customFormat="1" x14ac:dyDescent="0.25">
      <c r="A158" s="518" t="s">
        <v>1579</v>
      </c>
      <c r="B158" s="518" t="s">
        <v>1580</v>
      </c>
      <c r="C158" s="519" t="s">
        <v>7467</v>
      </c>
      <c r="D158" s="519">
        <v>210</v>
      </c>
      <c r="E158" s="519" t="s">
        <v>7585</v>
      </c>
      <c r="F158" s="519" t="s">
        <v>7586</v>
      </c>
      <c r="G158" s="519" t="s">
        <v>7587</v>
      </c>
      <c r="H158" s="519"/>
      <c r="I158" s="519"/>
      <c r="L158" s="518" t="s">
        <v>1206</v>
      </c>
      <c r="M158" s="520">
        <v>69.349999999999994</v>
      </c>
      <c r="N158" s="518" t="s">
        <v>1206</v>
      </c>
    </row>
    <row r="159" spans="1:14" s="518" customFormat="1" x14ac:dyDescent="0.25">
      <c r="A159" s="518" t="s">
        <v>1581</v>
      </c>
      <c r="B159" s="518" t="s">
        <v>1582</v>
      </c>
      <c r="C159" s="519" t="s">
        <v>7478</v>
      </c>
      <c r="D159" s="519" t="s">
        <v>7588</v>
      </c>
      <c r="E159" s="519" t="s">
        <v>7431</v>
      </c>
      <c r="F159" s="519" t="s">
        <v>148</v>
      </c>
      <c r="G159" s="519" t="s">
        <v>7589</v>
      </c>
      <c r="H159" s="519" t="s">
        <v>7590</v>
      </c>
      <c r="I159" s="519"/>
      <c r="L159" s="518" t="s">
        <v>1206</v>
      </c>
      <c r="M159" s="520">
        <v>59.7</v>
      </c>
      <c r="N159" s="518" t="s">
        <v>1206</v>
      </c>
    </row>
    <row r="160" spans="1:14" s="518" customFormat="1" x14ac:dyDescent="0.25">
      <c r="A160" s="518" t="s">
        <v>1583</v>
      </c>
      <c r="B160" s="518" t="s">
        <v>1584</v>
      </c>
      <c r="C160" s="519" t="s">
        <v>7478</v>
      </c>
      <c r="D160" s="519" t="s">
        <v>7591</v>
      </c>
      <c r="E160" s="519" t="s">
        <v>7431</v>
      </c>
      <c r="F160" s="519" t="s">
        <v>7592</v>
      </c>
      <c r="G160" s="519" t="s">
        <v>7590</v>
      </c>
      <c r="H160" s="519"/>
      <c r="I160" s="519"/>
      <c r="L160" s="518" t="s">
        <v>1206</v>
      </c>
      <c r="M160" s="520">
        <v>59.7</v>
      </c>
      <c r="N160" s="518" t="s">
        <v>1206</v>
      </c>
    </row>
    <row r="161" spans="1:14" s="518" customFormat="1" x14ac:dyDescent="0.25">
      <c r="A161" s="518" t="s">
        <v>1585</v>
      </c>
      <c r="B161" s="518" t="s">
        <v>1586</v>
      </c>
      <c r="C161" s="519" t="s">
        <v>7478</v>
      </c>
      <c r="D161" s="519" t="s">
        <v>7593</v>
      </c>
      <c r="E161" s="519" t="s">
        <v>7431</v>
      </c>
      <c r="F161" s="519" t="s">
        <v>7492</v>
      </c>
      <c r="G161" s="519" t="s">
        <v>7495</v>
      </c>
      <c r="H161" s="519" t="s">
        <v>7590</v>
      </c>
      <c r="I161" s="519"/>
      <c r="L161" s="518" t="s">
        <v>1206</v>
      </c>
      <c r="M161" s="520">
        <v>59.7</v>
      </c>
      <c r="N161" s="518" t="s">
        <v>1206</v>
      </c>
    </row>
    <row r="162" spans="1:14" s="518" customFormat="1" x14ac:dyDescent="0.25">
      <c r="A162" s="518" t="s">
        <v>1587</v>
      </c>
      <c r="B162" s="518" t="s">
        <v>1588</v>
      </c>
      <c r="C162" s="519" t="s">
        <v>7478</v>
      </c>
      <c r="D162" s="519" t="s">
        <v>7591</v>
      </c>
      <c r="E162" s="519" t="s">
        <v>7431</v>
      </c>
      <c r="F162" s="519" t="s">
        <v>7594</v>
      </c>
      <c r="G162" s="519" t="s">
        <v>7595</v>
      </c>
      <c r="H162" s="519" t="s">
        <v>7590</v>
      </c>
      <c r="I162" s="519"/>
      <c r="L162" s="518" t="s">
        <v>1206</v>
      </c>
      <c r="M162" s="520">
        <v>59.7</v>
      </c>
      <c r="N162" s="518" t="s">
        <v>1206</v>
      </c>
    </row>
    <row r="163" spans="1:14" s="518" customFormat="1" x14ac:dyDescent="0.25">
      <c r="A163" s="518" t="s">
        <v>1589</v>
      </c>
      <c r="B163" s="518" t="s">
        <v>1590</v>
      </c>
      <c r="C163" s="519" t="s">
        <v>7478</v>
      </c>
      <c r="D163" s="519" t="s">
        <v>7591</v>
      </c>
      <c r="E163" s="519" t="s">
        <v>7431</v>
      </c>
      <c r="F163" s="519" t="s">
        <v>7438</v>
      </c>
      <c r="G163" s="519" t="s">
        <v>7590</v>
      </c>
      <c r="H163" s="519"/>
      <c r="I163" s="519"/>
      <c r="L163" s="518" t="s">
        <v>1206</v>
      </c>
      <c r="M163" s="520">
        <v>59.7</v>
      </c>
      <c r="N163" s="518" t="s">
        <v>1206</v>
      </c>
    </row>
    <row r="164" spans="1:14" s="518" customFormat="1" x14ac:dyDescent="0.25">
      <c r="A164" s="518" t="s">
        <v>1591</v>
      </c>
      <c r="B164" s="518" t="s">
        <v>1592</v>
      </c>
      <c r="C164" s="519" t="s">
        <v>7478</v>
      </c>
      <c r="D164" s="519" t="s">
        <v>7591</v>
      </c>
      <c r="E164" s="519" t="s">
        <v>7431</v>
      </c>
      <c r="F164" s="519" t="s">
        <v>7596</v>
      </c>
      <c r="G164" s="519" t="s">
        <v>7489</v>
      </c>
      <c r="H164" s="519" t="s">
        <v>7590</v>
      </c>
      <c r="I164" s="519"/>
      <c r="L164" s="518" t="s">
        <v>1206</v>
      </c>
      <c r="M164" s="520">
        <v>59.7</v>
      </c>
      <c r="N164" s="518" t="s">
        <v>1206</v>
      </c>
    </row>
    <row r="165" spans="1:14" s="518" customFormat="1" x14ac:dyDescent="0.25">
      <c r="A165" s="518" t="s">
        <v>1593</v>
      </c>
      <c r="B165" s="518" t="s">
        <v>1594</v>
      </c>
      <c r="C165" s="519" t="s">
        <v>7478</v>
      </c>
      <c r="D165" s="519" t="s">
        <v>7591</v>
      </c>
      <c r="E165" s="519" t="s">
        <v>7431</v>
      </c>
      <c r="F165" s="519" t="s">
        <v>7490</v>
      </c>
      <c r="G165" s="519" t="s">
        <v>7437</v>
      </c>
      <c r="H165" s="519" t="s">
        <v>7590</v>
      </c>
      <c r="I165" s="519"/>
      <c r="L165" s="518" t="s">
        <v>1206</v>
      </c>
      <c r="M165" s="520">
        <v>59.7</v>
      </c>
      <c r="N165" s="518" t="s">
        <v>1206</v>
      </c>
    </row>
    <row r="166" spans="1:14" s="518" customFormat="1" x14ac:dyDescent="0.25">
      <c r="A166" s="518" t="s">
        <v>1595</v>
      </c>
      <c r="B166" s="518" t="s">
        <v>1596</v>
      </c>
      <c r="C166" s="519" t="s">
        <v>7478</v>
      </c>
      <c r="D166" s="519" t="s">
        <v>7591</v>
      </c>
      <c r="E166" s="519" t="s">
        <v>7431</v>
      </c>
      <c r="F166" s="519" t="s">
        <v>7597</v>
      </c>
      <c r="G166" s="519" t="s">
        <v>7489</v>
      </c>
      <c r="H166" s="519" t="s">
        <v>7590</v>
      </c>
      <c r="I166" s="519"/>
      <c r="L166" s="518" t="s">
        <v>1206</v>
      </c>
      <c r="M166" s="520">
        <v>59.7</v>
      </c>
      <c r="N166" s="518" t="s">
        <v>1206</v>
      </c>
    </row>
    <row r="167" spans="1:14" s="518" customFormat="1" x14ac:dyDescent="0.25">
      <c r="A167" s="518" t="s">
        <v>1597</v>
      </c>
      <c r="B167" s="518" t="s">
        <v>1598</v>
      </c>
      <c r="C167" s="519" t="s">
        <v>7478</v>
      </c>
      <c r="D167" s="519" t="s">
        <v>7591</v>
      </c>
      <c r="E167" s="519" t="s">
        <v>7431</v>
      </c>
      <c r="F167" s="519" t="s">
        <v>7598</v>
      </c>
      <c r="G167" s="519" t="s">
        <v>7489</v>
      </c>
      <c r="H167" s="519" t="s">
        <v>7590</v>
      </c>
      <c r="I167" s="519"/>
      <c r="L167" s="518" t="s">
        <v>1206</v>
      </c>
      <c r="M167" s="520">
        <v>59.7</v>
      </c>
      <c r="N167" s="518" t="s">
        <v>1206</v>
      </c>
    </row>
    <row r="168" spans="1:14" s="518" customFormat="1" x14ac:dyDescent="0.25">
      <c r="A168" s="518" t="s">
        <v>1599</v>
      </c>
      <c r="B168" s="518" t="s">
        <v>1600</v>
      </c>
      <c r="C168" s="519" t="s">
        <v>7478</v>
      </c>
      <c r="D168" s="519" t="s">
        <v>7588</v>
      </c>
      <c r="E168" s="519" t="s">
        <v>7431</v>
      </c>
      <c r="F168" s="519" t="s">
        <v>7500</v>
      </c>
      <c r="G168" s="519" t="s">
        <v>7426</v>
      </c>
      <c r="H168" s="519" t="s">
        <v>7590</v>
      </c>
      <c r="I168" s="519"/>
      <c r="L168" s="518" t="s">
        <v>1206</v>
      </c>
      <c r="M168" s="520">
        <v>59.7</v>
      </c>
      <c r="N168" s="518" t="s">
        <v>1206</v>
      </c>
    </row>
    <row r="169" spans="1:14" s="518" customFormat="1" x14ac:dyDescent="0.25">
      <c r="A169" s="518" t="s">
        <v>1601</v>
      </c>
      <c r="B169" s="518" t="s">
        <v>1602</v>
      </c>
      <c r="C169" s="519" t="s">
        <v>7478</v>
      </c>
      <c r="D169" s="519" t="s">
        <v>7591</v>
      </c>
      <c r="E169" s="519" t="s">
        <v>7431</v>
      </c>
      <c r="F169" s="519" t="s">
        <v>7599</v>
      </c>
      <c r="G169" s="519" t="s">
        <v>7590</v>
      </c>
      <c r="H169" s="519"/>
      <c r="I169" s="519"/>
      <c r="L169" s="518" t="s">
        <v>1206</v>
      </c>
      <c r="M169" s="520">
        <v>59.7</v>
      </c>
      <c r="N169" s="518" t="s">
        <v>1206</v>
      </c>
    </row>
    <row r="170" spans="1:14" s="518" customFormat="1" x14ac:dyDescent="0.25">
      <c r="A170" s="518" t="s">
        <v>1603</v>
      </c>
      <c r="B170" s="518" t="s">
        <v>1604</v>
      </c>
      <c r="C170" s="519" t="s">
        <v>7478</v>
      </c>
      <c r="D170" s="519" t="s">
        <v>7593</v>
      </c>
      <c r="E170" s="519" t="s">
        <v>7431</v>
      </c>
      <c r="F170" s="519" t="s">
        <v>7501</v>
      </c>
      <c r="G170" s="519" t="s">
        <v>7600</v>
      </c>
      <c r="H170" s="519" t="s">
        <v>7590</v>
      </c>
      <c r="I170" s="519"/>
      <c r="L170" s="518" t="s">
        <v>1206</v>
      </c>
      <c r="M170" s="520">
        <v>59.7</v>
      </c>
      <c r="N170" s="518" t="s">
        <v>1206</v>
      </c>
    </row>
    <row r="171" spans="1:14" s="518" customFormat="1" x14ac:dyDescent="0.25">
      <c r="A171" s="518" t="s">
        <v>1605</v>
      </c>
      <c r="B171" s="518" t="s">
        <v>1606</v>
      </c>
      <c r="C171" s="519" t="s">
        <v>7478</v>
      </c>
      <c r="D171" s="519" t="s">
        <v>7601</v>
      </c>
      <c r="E171" s="519" t="s">
        <v>7602</v>
      </c>
      <c r="F171" s="519" t="s">
        <v>7603</v>
      </c>
      <c r="G171" s="519" t="s">
        <v>7542</v>
      </c>
      <c r="H171" s="519"/>
      <c r="I171" s="519"/>
      <c r="L171" s="518" t="s">
        <v>1206</v>
      </c>
      <c r="M171" s="520">
        <v>125</v>
      </c>
      <c r="N171" s="518" t="s">
        <v>1206</v>
      </c>
    </row>
    <row r="172" spans="1:14" s="518" customFormat="1" x14ac:dyDescent="0.25">
      <c r="A172" s="518" t="s">
        <v>1607</v>
      </c>
      <c r="B172" s="518" t="s">
        <v>1608</v>
      </c>
      <c r="C172" s="519" t="s">
        <v>7478</v>
      </c>
      <c r="D172" s="519" t="s">
        <v>7604</v>
      </c>
      <c r="E172" s="519" t="s">
        <v>7602</v>
      </c>
      <c r="F172" s="519" t="s">
        <v>7598</v>
      </c>
      <c r="G172" s="519" t="s">
        <v>7489</v>
      </c>
      <c r="H172" s="519" t="s">
        <v>7542</v>
      </c>
      <c r="I172" s="519"/>
      <c r="L172" s="518" t="s">
        <v>1206</v>
      </c>
      <c r="M172" s="520">
        <v>125</v>
      </c>
      <c r="N172" s="518" t="s">
        <v>1206</v>
      </c>
    </row>
    <row r="173" spans="1:14" s="518" customFormat="1" x14ac:dyDescent="0.25">
      <c r="A173" s="518" t="s">
        <v>1609</v>
      </c>
      <c r="B173" s="518" t="s">
        <v>1610</v>
      </c>
      <c r="C173" s="519" t="s">
        <v>7478</v>
      </c>
      <c r="D173" s="519" t="s">
        <v>7605</v>
      </c>
      <c r="E173" s="519" t="s">
        <v>7431</v>
      </c>
      <c r="F173" s="519" t="s">
        <v>7592</v>
      </c>
      <c r="G173" s="519" t="s">
        <v>7590</v>
      </c>
      <c r="H173" s="519"/>
      <c r="I173" s="519"/>
      <c r="L173" s="518" t="s">
        <v>1206</v>
      </c>
      <c r="M173" s="520">
        <v>75.3</v>
      </c>
      <c r="N173" s="518" t="s">
        <v>1206</v>
      </c>
    </row>
    <row r="174" spans="1:14" s="518" customFormat="1" x14ac:dyDescent="0.25">
      <c r="A174" s="518" t="s">
        <v>1611</v>
      </c>
      <c r="B174" s="518" t="s">
        <v>1612</v>
      </c>
      <c r="C174" s="519" t="s">
        <v>7478</v>
      </c>
      <c r="D174" s="519" t="s">
        <v>7605</v>
      </c>
      <c r="E174" s="519" t="s">
        <v>7431</v>
      </c>
      <c r="F174" s="519" t="s">
        <v>7438</v>
      </c>
      <c r="G174" s="519" t="s">
        <v>7590</v>
      </c>
      <c r="H174" s="519"/>
      <c r="I174" s="519"/>
      <c r="L174" s="518" t="s">
        <v>1206</v>
      </c>
      <c r="M174" s="520">
        <v>75.3</v>
      </c>
      <c r="N174" s="518" t="s">
        <v>1206</v>
      </c>
    </row>
    <row r="175" spans="1:14" s="518" customFormat="1" x14ac:dyDescent="0.25">
      <c r="A175" s="518" t="s">
        <v>1613</v>
      </c>
      <c r="B175" s="518" t="s">
        <v>1614</v>
      </c>
      <c r="C175" s="519" t="s">
        <v>7478</v>
      </c>
      <c r="D175" s="519" t="s">
        <v>7605</v>
      </c>
      <c r="E175" s="519" t="s">
        <v>7431</v>
      </c>
      <c r="F175" s="519" t="s">
        <v>7596</v>
      </c>
      <c r="G175" s="519" t="s">
        <v>7489</v>
      </c>
      <c r="H175" s="519" t="s">
        <v>7590</v>
      </c>
      <c r="I175" s="519"/>
      <c r="L175" s="518" t="s">
        <v>1206</v>
      </c>
      <c r="M175" s="520">
        <v>75.3</v>
      </c>
      <c r="N175" s="518" t="s">
        <v>1206</v>
      </c>
    </row>
    <row r="176" spans="1:14" s="518" customFormat="1" x14ac:dyDescent="0.25">
      <c r="A176" s="518" t="s">
        <v>1615</v>
      </c>
      <c r="B176" s="518" t="s">
        <v>1616</v>
      </c>
      <c r="C176" s="519" t="s">
        <v>7478</v>
      </c>
      <c r="D176" s="519" t="s">
        <v>7605</v>
      </c>
      <c r="E176" s="519" t="s">
        <v>7431</v>
      </c>
      <c r="F176" s="519" t="s">
        <v>7490</v>
      </c>
      <c r="G176" s="519" t="s">
        <v>7437</v>
      </c>
      <c r="H176" s="519" t="s">
        <v>7590</v>
      </c>
      <c r="I176" s="519"/>
      <c r="L176" s="518" t="s">
        <v>1206</v>
      </c>
      <c r="M176" s="520">
        <v>75.3</v>
      </c>
      <c r="N176" s="518" t="s">
        <v>1206</v>
      </c>
    </row>
    <row r="177" spans="1:14" s="518" customFormat="1" x14ac:dyDescent="0.25">
      <c r="A177" s="518" t="s">
        <v>1617</v>
      </c>
      <c r="B177" s="518" t="s">
        <v>1618</v>
      </c>
      <c r="C177" s="519" t="s">
        <v>7478</v>
      </c>
      <c r="D177" s="519" t="s">
        <v>7563</v>
      </c>
      <c r="E177" s="519" t="s">
        <v>7606</v>
      </c>
      <c r="F177" s="519" t="s">
        <v>7559</v>
      </c>
      <c r="G177" s="519" t="s">
        <v>7607</v>
      </c>
      <c r="H177" s="519"/>
      <c r="I177" s="519"/>
      <c r="L177" s="518" t="s">
        <v>1206</v>
      </c>
      <c r="M177" s="520">
        <v>47.6</v>
      </c>
      <c r="N177" s="518" t="s">
        <v>1206</v>
      </c>
    </row>
    <row r="178" spans="1:14" s="530" customFormat="1" x14ac:dyDescent="0.25">
      <c r="A178" s="530" t="s">
        <v>1619</v>
      </c>
      <c r="B178" s="530" t="s">
        <v>1620</v>
      </c>
      <c r="C178" s="531" t="s">
        <v>7417</v>
      </c>
      <c r="D178" s="531" t="s">
        <v>7608</v>
      </c>
      <c r="E178" s="531" t="s">
        <v>7609</v>
      </c>
      <c r="F178" s="531" t="s">
        <v>7610</v>
      </c>
      <c r="G178" s="531"/>
      <c r="H178" s="531"/>
      <c r="I178" s="531"/>
      <c r="L178" s="530" t="s">
        <v>1178</v>
      </c>
      <c r="M178" s="532">
        <v>0</v>
      </c>
      <c r="N178" s="530" t="s">
        <v>1544</v>
      </c>
    </row>
    <row r="179" spans="1:14" s="518" customFormat="1" x14ac:dyDescent="0.25">
      <c r="A179" s="518" t="s">
        <v>1621</v>
      </c>
      <c r="B179" s="518" t="s">
        <v>1622</v>
      </c>
      <c r="C179" s="519" t="s">
        <v>7417</v>
      </c>
      <c r="D179" s="519" t="s">
        <v>7611</v>
      </c>
      <c r="E179" s="519" t="s">
        <v>7612</v>
      </c>
      <c r="F179" s="519" t="s">
        <v>7613</v>
      </c>
      <c r="G179" s="519" t="s">
        <v>7614</v>
      </c>
      <c r="H179" s="519" t="s">
        <v>7615</v>
      </c>
      <c r="I179" s="519"/>
      <c r="L179" s="518" t="s">
        <v>1178</v>
      </c>
      <c r="M179" s="520">
        <v>134.75</v>
      </c>
      <c r="N179" s="518" t="s">
        <v>1178</v>
      </c>
    </row>
    <row r="180" spans="1:14" s="518" customFormat="1" x14ac:dyDescent="0.25">
      <c r="A180" s="518" t="s">
        <v>1623</v>
      </c>
      <c r="B180" s="518" t="s">
        <v>1624</v>
      </c>
      <c r="C180" s="519" t="s">
        <v>7616</v>
      </c>
      <c r="D180" s="519" t="s">
        <v>7617</v>
      </c>
      <c r="E180" s="519" t="s">
        <v>7618</v>
      </c>
      <c r="F180" s="519" t="s">
        <v>7619</v>
      </c>
      <c r="G180" s="519"/>
      <c r="H180" s="519"/>
      <c r="I180" s="519"/>
      <c r="L180" s="518" t="s">
        <v>1178</v>
      </c>
      <c r="M180" s="520">
        <v>38.799999999999997</v>
      </c>
      <c r="N180" s="518" t="s">
        <v>1178</v>
      </c>
    </row>
    <row r="181" spans="1:14" x14ac:dyDescent="0.25">
      <c r="A181" s="505" t="s">
        <v>1625</v>
      </c>
      <c r="B181" s="505" t="s">
        <v>1626</v>
      </c>
      <c r="C181" s="512" t="s">
        <v>7620</v>
      </c>
      <c r="D181" s="512" t="s">
        <v>7621</v>
      </c>
      <c r="E181" s="512" t="s">
        <v>7622</v>
      </c>
      <c r="F181" s="512" t="s">
        <v>7623</v>
      </c>
      <c r="G181" s="512" t="s">
        <v>7619</v>
      </c>
      <c r="L181" s="505" t="s">
        <v>1178</v>
      </c>
      <c r="M181" s="516">
        <v>26.25</v>
      </c>
      <c r="N181" s="505" t="s">
        <v>1178</v>
      </c>
    </row>
    <row r="182" spans="1:14" x14ac:dyDescent="0.25">
      <c r="A182" s="505" t="s">
        <v>1627</v>
      </c>
      <c r="B182" s="505" t="s">
        <v>1628</v>
      </c>
      <c r="C182" s="512" t="s">
        <v>7620</v>
      </c>
      <c r="D182" s="512" t="s">
        <v>7621</v>
      </c>
      <c r="E182" s="512" t="s">
        <v>7622</v>
      </c>
      <c r="F182" s="512" t="s">
        <v>7624</v>
      </c>
      <c r="G182" s="512" t="s">
        <v>7619</v>
      </c>
      <c r="L182" s="505" t="s">
        <v>1178</v>
      </c>
      <c r="M182" s="516">
        <v>32</v>
      </c>
      <c r="N182" s="505" t="s">
        <v>1178</v>
      </c>
    </row>
    <row r="183" spans="1:14" s="530" customFormat="1" x14ac:dyDescent="0.25">
      <c r="A183" s="530" t="s">
        <v>1629</v>
      </c>
      <c r="B183" s="530" t="s">
        <v>1630</v>
      </c>
      <c r="C183" s="531" t="s">
        <v>7467</v>
      </c>
      <c r="D183" s="531">
        <v>1035</v>
      </c>
      <c r="E183" s="531" t="s">
        <v>7625</v>
      </c>
      <c r="F183" s="531" t="s">
        <v>7555</v>
      </c>
      <c r="G183" s="531" t="s">
        <v>7626</v>
      </c>
      <c r="H183" s="531" t="s">
        <v>7627</v>
      </c>
      <c r="I183" s="531"/>
      <c r="L183" s="530" t="s">
        <v>1178</v>
      </c>
      <c r="M183" s="532">
        <v>0</v>
      </c>
      <c r="N183" s="530" t="s">
        <v>1544</v>
      </c>
    </row>
    <row r="184" spans="1:14" s="518" customFormat="1" x14ac:dyDescent="0.25">
      <c r="A184" s="518" t="s">
        <v>1631</v>
      </c>
      <c r="B184" s="518" t="s">
        <v>1632</v>
      </c>
      <c r="C184" s="519" t="s">
        <v>7467</v>
      </c>
      <c r="D184" s="519">
        <v>1030</v>
      </c>
      <c r="E184" s="519" t="s">
        <v>7625</v>
      </c>
      <c r="F184" s="519" t="s">
        <v>7586</v>
      </c>
      <c r="G184" s="519" t="s">
        <v>7628</v>
      </c>
      <c r="H184" s="519" t="s">
        <v>7615</v>
      </c>
      <c r="I184" s="519"/>
      <c r="L184" s="518" t="s">
        <v>1178</v>
      </c>
      <c r="M184" s="520">
        <v>165</v>
      </c>
      <c r="N184" s="518" t="s">
        <v>1178</v>
      </c>
    </row>
    <row r="185" spans="1:14" s="518" customFormat="1" x14ac:dyDescent="0.25">
      <c r="A185" s="518" t="s">
        <v>1633</v>
      </c>
      <c r="B185" s="518" t="s">
        <v>1634</v>
      </c>
      <c r="C185" s="519" t="s">
        <v>7629</v>
      </c>
      <c r="D185" s="519" t="s">
        <v>7630</v>
      </c>
      <c r="E185" s="519" t="s">
        <v>7631</v>
      </c>
      <c r="F185" s="519" t="s">
        <v>7632</v>
      </c>
      <c r="G185" s="519" t="s">
        <v>7615</v>
      </c>
      <c r="H185" s="519"/>
      <c r="I185" s="519"/>
      <c r="L185" s="518" t="s">
        <v>1178</v>
      </c>
      <c r="M185" s="520">
        <v>135</v>
      </c>
      <c r="N185" s="518" t="s">
        <v>1178</v>
      </c>
    </row>
    <row r="186" spans="1:14" x14ac:dyDescent="0.25">
      <c r="A186" s="505" t="s">
        <v>1635</v>
      </c>
      <c r="B186" s="505" t="s">
        <v>1636</v>
      </c>
      <c r="C186" s="512" t="s">
        <v>7429</v>
      </c>
      <c r="D186" s="512" t="s">
        <v>7633</v>
      </c>
      <c r="E186" s="512" t="s">
        <v>7634</v>
      </c>
      <c r="F186" s="512">
        <v>44</v>
      </c>
      <c r="L186" s="505" t="s">
        <v>1178</v>
      </c>
      <c r="M186" s="516">
        <v>72.5</v>
      </c>
      <c r="N186" s="505" t="s">
        <v>1178</v>
      </c>
    </row>
    <row r="187" spans="1:14" x14ac:dyDescent="0.25">
      <c r="A187" s="505" t="s">
        <v>1637</v>
      </c>
      <c r="B187" s="505" t="s">
        <v>1638</v>
      </c>
      <c r="C187" s="512" t="s">
        <v>7635</v>
      </c>
      <c r="D187" s="512" t="s">
        <v>7636</v>
      </c>
      <c r="E187" s="512" t="s">
        <v>143</v>
      </c>
      <c r="F187" s="512" t="s">
        <v>7637</v>
      </c>
      <c r="G187" s="512" t="s">
        <v>7638</v>
      </c>
      <c r="L187" s="505" t="s">
        <v>1639</v>
      </c>
      <c r="M187" s="516">
        <v>67.069999999999993</v>
      </c>
      <c r="N187" s="505" t="s">
        <v>1639</v>
      </c>
    </row>
    <row r="188" spans="1:14" x14ac:dyDescent="0.25">
      <c r="A188" s="505" t="s">
        <v>1640</v>
      </c>
      <c r="B188" s="505" t="s">
        <v>1641</v>
      </c>
      <c r="C188" s="512" t="s">
        <v>7639</v>
      </c>
      <c r="D188" s="512" t="s">
        <v>7640</v>
      </c>
      <c r="E188" s="512" t="s">
        <v>7641</v>
      </c>
      <c r="F188" s="512" t="s">
        <v>7642</v>
      </c>
      <c r="G188" s="512" t="s">
        <v>7643</v>
      </c>
      <c r="H188" s="512" t="s">
        <v>7644</v>
      </c>
      <c r="I188" s="512" t="s">
        <v>7645</v>
      </c>
      <c r="L188" s="505" t="s">
        <v>1178</v>
      </c>
      <c r="M188" s="516">
        <v>270.47000000000003</v>
      </c>
      <c r="N188" s="505" t="s">
        <v>1178</v>
      </c>
    </row>
    <row r="189" spans="1:14" x14ac:dyDescent="0.25">
      <c r="A189" s="505" t="s">
        <v>1642</v>
      </c>
      <c r="B189" s="505" t="s">
        <v>1643</v>
      </c>
      <c r="C189" s="512" t="s">
        <v>7639</v>
      </c>
      <c r="D189" s="512" t="s">
        <v>7640</v>
      </c>
      <c r="E189" s="512" t="s">
        <v>7641</v>
      </c>
      <c r="F189" s="512" t="s">
        <v>7642</v>
      </c>
      <c r="G189" s="512" t="s">
        <v>7643</v>
      </c>
      <c r="H189" s="512" t="s">
        <v>7646</v>
      </c>
      <c r="I189" s="512" t="s">
        <v>7645</v>
      </c>
      <c r="L189" s="505" t="s">
        <v>1178</v>
      </c>
      <c r="M189" s="516">
        <v>30.05</v>
      </c>
      <c r="N189" s="505" t="s">
        <v>1178</v>
      </c>
    </row>
    <row r="190" spans="1:14" x14ac:dyDescent="0.25">
      <c r="A190" s="505" t="s">
        <v>1644</v>
      </c>
      <c r="B190" s="505" t="s">
        <v>1645</v>
      </c>
      <c r="C190" s="512" t="s">
        <v>7639</v>
      </c>
      <c r="D190" s="512" t="s">
        <v>7647</v>
      </c>
      <c r="E190" s="512" t="s">
        <v>7641</v>
      </c>
      <c r="F190" s="512" t="s">
        <v>7648</v>
      </c>
      <c r="G190" s="512" t="s">
        <v>7649</v>
      </c>
      <c r="H190" s="512" t="s">
        <v>7650</v>
      </c>
      <c r="I190" s="512" t="s">
        <v>7645</v>
      </c>
      <c r="L190" s="505" t="s">
        <v>1178</v>
      </c>
      <c r="M190" s="516">
        <v>45.1</v>
      </c>
      <c r="N190" s="505" t="s">
        <v>1178</v>
      </c>
    </row>
    <row r="191" spans="1:14" x14ac:dyDescent="0.25">
      <c r="A191" s="505" t="s">
        <v>1646</v>
      </c>
      <c r="B191" s="505" t="s">
        <v>1647</v>
      </c>
      <c r="C191" s="512" t="s">
        <v>7639</v>
      </c>
      <c r="D191" s="512" t="s">
        <v>7647</v>
      </c>
      <c r="E191" s="512" t="s">
        <v>7641</v>
      </c>
      <c r="F191" s="512" t="s">
        <v>7648</v>
      </c>
      <c r="G191" s="512" t="s">
        <v>7649</v>
      </c>
      <c r="H191" s="512" t="s">
        <v>7651</v>
      </c>
      <c r="I191" s="512" t="s">
        <v>7645</v>
      </c>
      <c r="L191" s="505" t="s">
        <v>1178</v>
      </c>
      <c r="M191" s="516">
        <v>135.26</v>
      </c>
      <c r="N191" s="505" t="s">
        <v>1178</v>
      </c>
    </row>
    <row r="192" spans="1:14" x14ac:dyDescent="0.25">
      <c r="A192" s="505" t="s">
        <v>1648</v>
      </c>
      <c r="B192" s="505" t="s">
        <v>1649</v>
      </c>
      <c r="C192" s="512" t="s">
        <v>7639</v>
      </c>
      <c r="D192" s="512" t="s">
        <v>7647</v>
      </c>
      <c r="E192" s="512" t="s">
        <v>7641</v>
      </c>
      <c r="F192" s="512" t="s">
        <v>7648</v>
      </c>
      <c r="G192" s="512" t="s">
        <v>7649</v>
      </c>
      <c r="H192" s="512" t="s">
        <v>7652</v>
      </c>
      <c r="I192" s="512" t="s">
        <v>7645</v>
      </c>
      <c r="L192" s="505" t="s">
        <v>1178</v>
      </c>
      <c r="M192" s="516">
        <v>67.400000000000006</v>
      </c>
      <c r="N192" s="505" t="s">
        <v>1178</v>
      </c>
    </row>
    <row r="193" spans="1:14" s="518" customFormat="1" x14ac:dyDescent="0.25">
      <c r="A193" s="518" t="s">
        <v>1650</v>
      </c>
      <c r="B193" s="518" t="s">
        <v>1651</v>
      </c>
      <c r="C193" s="519" t="s">
        <v>7417</v>
      </c>
      <c r="D193" s="519" t="s">
        <v>7653</v>
      </c>
      <c r="E193" s="519" t="s">
        <v>7654</v>
      </c>
      <c r="F193" s="519" t="s">
        <v>7655</v>
      </c>
      <c r="G193" s="519"/>
      <c r="H193" s="519"/>
      <c r="I193" s="519"/>
      <c r="L193" s="518" t="s">
        <v>1178</v>
      </c>
      <c r="M193" s="520">
        <v>100.05</v>
      </c>
      <c r="N193" s="518" t="s">
        <v>1178</v>
      </c>
    </row>
    <row r="194" spans="1:14" s="530" customFormat="1" x14ac:dyDescent="0.25">
      <c r="A194" s="530" t="s">
        <v>1652</v>
      </c>
      <c r="B194" s="530" t="s">
        <v>1653</v>
      </c>
      <c r="C194" s="531" t="s">
        <v>7429</v>
      </c>
      <c r="D194" s="531" t="s">
        <v>7656</v>
      </c>
      <c r="E194" s="531" t="s">
        <v>7657</v>
      </c>
      <c r="F194" s="531" t="s">
        <v>7658</v>
      </c>
      <c r="G194" s="531"/>
      <c r="H194" s="531"/>
      <c r="I194" s="531"/>
      <c r="L194" s="530" t="s">
        <v>1178</v>
      </c>
      <c r="M194" s="532">
        <v>0</v>
      </c>
      <c r="N194" s="530" t="s">
        <v>1544</v>
      </c>
    </row>
    <row r="195" spans="1:14" s="530" customFormat="1" x14ac:dyDescent="0.25">
      <c r="A195" s="530" t="s">
        <v>1654</v>
      </c>
      <c r="B195" s="530" t="s">
        <v>1655</v>
      </c>
      <c r="C195" s="531" t="s">
        <v>7429</v>
      </c>
      <c r="D195" s="531" t="s">
        <v>7659</v>
      </c>
      <c r="E195" s="531" t="s">
        <v>7660</v>
      </c>
      <c r="F195" s="531" t="s">
        <v>7661</v>
      </c>
      <c r="G195" s="531" t="s">
        <v>7662</v>
      </c>
      <c r="H195" s="531"/>
      <c r="I195" s="531"/>
      <c r="L195" s="530" t="s">
        <v>1178</v>
      </c>
      <c r="M195" s="532">
        <v>0</v>
      </c>
      <c r="N195" s="530" t="s">
        <v>1544</v>
      </c>
    </row>
    <row r="196" spans="1:14" x14ac:dyDescent="0.25">
      <c r="A196" s="505" t="s">
        <v>1656</v>
      </c>
      <c r="B196" s="505" t="s">
        <v>1657</v>
      </c>
      <c r="C196" s="512" t="s">
        <v>7429</v>
      </c>
      <c r="D196" s="512" t="s">
        <v>7663</v>
      </c>
      <c r="E196" s="512" t="s">
        <v>7664</v>
      </c>
      <c r="F196" s="512" t="s">
        <v>7665</v>
      </c>
      <c r="G196" s="512" t="s">
        <v>7666</v>
      </c>
      <c r="H196" s="512" t="s">
        <v>7667</v>
      </c>
      <c r="L196" s="505" t="s">
        <v>1178</v>
      </c>
      <c r="M196" s="516">
        <v>273.11</v>
      </c>
      <c r="N196" s="505" t="s">
        <v>1178</v>
      </c>
    </row>
    <row r="197" spans="1:14" x14ac:dyDescent="0.25">
      <c r="A197" s="505" t="s">
        <v>1658</v>
      </c>
      <c r="B197" s="505" t="s">
        <v>1659</v>
      </c>
      <c r="C197" s="512" t="s">
        <v>7429</v>
      </c>
      <c r="D197" s="512" t="s">
        <v>7663</v>
      </c>
      <c r="E197" s="512" t="s">
        <v>7664</v>
      </c>
      <c r="F197" s="512" t="s">
        <v>7665</v>
      </c>
      <c r="G197" s="512" t="s">
        <v>7666</v>
      </c>
      <c r="H197" s="512" t="s">
        <v>7668</v>
      </c>
      <c r="L197" s="505" t="s">
        <v>1178</v>
      </c>
      <c r="M197" s="516">
        <v>53.66</v>
      </c>
      <c r="N197" s="505" t="s">
        <v>1178</v>
      </c>
    </row>
    <row r="198" spans="1:14" s="518" customFormat="1" x14ac:dyDescent="0.25">
      <c r="A198" s="518" t="s">
        <v>1660</v>
      </c>
      <c r="B198" s="518" t="s">
        <v>1661</v>
      </c>
      <c r="C198" s="519" t="s">
        <v>7429</v>
      </c>
      <c r="D198" s="519" t="s">
        <v>7669</v>
      </c>
      <c r="E198" s="519" t="s">
        <v>7670</v>
      </c>
      <c r="F198" s="519" t="s">
        <v>7641</v>
      </c>
      <c r="G198" s="519" t="s">
        <v>7671</v>
      </c>
      <c r="H198" s="519" t="s">
        <v>7672</v>
      </c>
      <c r="I198" s="519"/>
      <c r="L198" s="518" t="s">
        <v>1178</v>
      </c>
      <c r="M198" s="520">
        <v>66</v>
      </c>
      <c r="N198" s="518" t="s">
        <v>1178</v>
      </c>
    </row>
    <row r="199" spans="1:14" s="518" customFormat="1" x14ac:dyDescent="0.25">
      <c r="A199" s="518" t="s">
        <v>1662</v>
      </c>
      <c r="B199" s="518" t="s">
        <v>1663</v>
      </c>
      <c r="C199" s="519" t="s">
        <v>7429</v>
      </c>
      <c r="D199" s="519" t="s">
        <v>7673</v>
      </c>
      <c r="E199" s="519" t="s">
        <v>7674</v>
      </c>
      <c r="F199" s="519" t="s">
        <v>7675</v>
      </c>
      <c r="G199" s="519" t="s">
        <v>7676</v>
      </c>
      <c r="H199" s="519"/>
      <c r="I199" s="519"/>
      <c r="L199" s="518" t="s">
        <v>1178</v>
      </c>
      <c r="M199" s="520">
        <v>67.34</v>
      </c>
      <c r="N199" s="518" t="s">
        <v>1178</v>
      </c>
    </row>
    <row r="200" spans="1:14" s="518" customFormat="1" x14ac:dyDescent="0.25">
      <c r="A200" s="518" t="s">
        <v>1664</v>
      </c>
      <c r="B200" s="518" t="s">
        <v>1665</v>
      </c>
      <c r="C200" s="519" t="s">
        <v>7429</v>
      </c>
      <c r="D200" s="519" t="s">
        <v>7677</v>
      </c>
      <c r="E200" s="519" t="s">
        <v>7632</v>
      </c>
      <c r="F200" s="519" t="s">
        <v>7678</v>
      </c>
      <c r="G200" s="519" t="s">
        <v>7615</v>
      </c>
      <c r="H200" s="519"/>
      <c r="I200" s="519"/>
      <c r="L200" s="518" t="s">
        <v>1178</v>
      </c>
      <c r="M200" s="520">
        <v>70</v>
      </c>
      <c r="N200" s="518" t="s">
        <v>1178</v>
      </c>
    </row>
    <row r="201" spans="1:14" s="518" customFormat="1" x14ac:dyDescent="0.25">
      <c r="A201" s="518" t="s">
        <v>1666</v>
      </c>
      <c r="B201" s="518" t="s">
        <v>1667</v>
      </c>
      <c r="C201" s="519" t="s">
        <v>7679</v>
      </c>
      <c r="D201" s="519" t="s">
        <v>7680</v>
      </c>
      <c r="E201" s="519" t="s">
        <v>7681</v>
      </c>
      <c r="F201" s="519" t="s">
        <v>7682</v>
      </c>
      <c r="G201" s="519" t="s">
        <v>7655</v>
      </c>
      <c r="H201" s="519"/>
      <c r="I201" s="519"/>
      <c r="L201" s="518" t="s">
        <v>1178</v>
      </c>
      <c r="M201" s="520">
        <v>82.5</v>
      </c>
      <c r="N201" s="518" t="s">
        <v>1178</v>
      </c>
    </row>
    <row r="202" spans="1:14" s="518" customFormat="1" x14ac:dyDescent="0.25">
      <c r="A202" s="518" t="s">
        <v>1668</v>
      </c>
      <c r="B202" s="518" t="s">
        <v>1669</v>
      </c>
      <c r="C202" s="519" t="s">
        <v>7683</v>
      </c>
      <c r="D202" s="519" t="s">
        <v>7684</v>
      </c>
      <c r="E202" s="519" t="s">
        <v>7685</v>
      </c>
      <c r="F202" s="519"/>
      <c r="G202" s="519"/>
      <c r="H202" s="519"/>
      <c r="I202" s="519"/>
      <c r="L202" s="518" t="s">
        <v>1178</v>
      </c>
      <c r="M202" s="520">
        <v>70</v>
      </c>
      <c r="N202" s="518" t="s">
        <v>1178</v>
      </c>
    </row>
    <row r="203" spans="1:14" s="518" customFormat="1" x14ac:dyDescent="0.25">
      <c r="A203" s="518" t="s">
        <v>1670</v>
      </c>
      <c r="B203" s="518" t="s">
        <v>1671</v>
      </c>
      <c r="C203" s="519" t="s">
        <v>7686</v>
      </c>
      <c r="D203" s="519" t="s">
        <v>7687</v>
      </c>
      <c r="E203" s="519" t="s">
        <v>7688</v>
      </c>
      <c r="F203" s="519" t="s">
        <v>7689</v>
      </c>
      <c r="G203" s="519" t="s">
        <v>7690</v>
      </c>
      <c r="H203" s="519"/>
      <c r="I203" s="519"/>
      <c r="L203" s="518" t="s">
        <v>1178</v>
      </c>
      <c r="M203" s="520">
        <v>135</v>
      </c>
      <c r="N203" s="518" t="s">
        <v>1178</v>
      </c>
    </row>
    <row r="204" spans="1:14" s="518" customFormat="1" x14ac:dyDescent="0.25">
      <c r="A204" s="518" t="s">
        <v>1672</v>
      </c>
      <c r="B204" s="518" t="s">
        <v>1673</v>
      </c>
      <c r="C204" s="519" t="s">
        <v>7467</v>
      </c>
      <c r="D204" s="519" t="s">
        <v>7691</v>
      </c>
      <c r="E204" s="519" t="s">
        <v>7692</v>
      </c>
      <c r="F204" s="519">
        <v>401</v>
      </c>
      <c r="G204" s="519" t="s">
        <v>7693</v>
      </c>
      <c r="H204" s="519" t="s">
        <v>7662</v>
      </c>
      <c r="I204" s="519"/>
      <c r="L204" s="518" t="s">
        <v>1178</v>
      </c>
      <c r="M204" s="520">
        <v>95</v>
      </c>
      <c r="N204" s="518" t="s">
        <v>1178</v>
      </c>
    </row>
    <row r="205" spans="1:14" s="518" customFormat="1" x14ac:dyDescent="0.25">
      <c r="A205" s="518" t="s">
        <v>1674</v>
      </c>
      <c r="B205" s="518" t="s">
        <v>1675</v>
      </c>
      <c r="C205" s="519" t="s">
        <v>7686</v>
      </c>
      <c r="D205" s="519" t="s">
        <v>7694</v>
      </c>
      <c r="E205" s="519" t="s">
        <v>7695</v>
      </c>
      <c r="F205" s="519" t="s">
        <v>7696</v>
      </c>
      <c r="G205" s="519"/>
      <c r="H205" s="519"/>
      <c r="I205" s="519"/>
      <c r="L205" s="518" t="s">
        <v>1178</v>
      </c>
      <c r="M205" s="520">
        <v>66</v>
      </c>
      <c r="N205" s="518" t="s">
        <v>1178</v>
      </c>
    </row>
    <row r="206" spans="1:14" s="518" customFormat="1" x14ac:dyDescent="0.25">
      <c r="A206" s="518" t="s">
        <v>1676</v>
      </c>
      <c r="B206" s="518" t="s">
        <v>1677</v>
      </c>
      <c r="C206" s="519" t="s">
        <v>7686</v>
      </c>
      <c r="D206" s="519" t="s">
        <v>7697</v>
      </c>
      <c r="E206" s="519" t="s">
        <v>7695</v>
      </c>
      <c r="F206" s="519" t="s">
        <v>7675</v>
      </c>
      <c r="G206" s="519"/>
      <c r="H206" s="519"/>
      <c r="I206" s="519"/>
      <c r="L206" s="518" t="s">
        <v>1178</v>
      </c>
      <c r="M206" s="520">
        <v>67.34</v>
      </c>
      <c r="N206" s="518" t="s">
        <v>1178</v>
      </c>
    </row>
    <row r="207" spans="1:14" x14ac:dyDescent="0.25">
      <c r="A207" s="505" t="s">
        <v>1678</v>
      </c>
      <c r="B207" s="505" t="s">
        <v>1679</v>
      </c>
      <c r="C207" s="512" t="s">
        <v>7698</v>
      </c>
      <c r="D207" s="512" t="s">
        <v>7699</v>
      </c>
      <c r="E207" s="512" t="s">
        <v>7700</v>
      </c>
      <c r="F207" s="512" t="s">
        <v>7701</v>
      </c>
      <c r="L207" s="505" t="s">
        <v>1233</v>
      </c>
      <c r="M207" s="516">
        <v>32.049999999999997</v>
      </c>
      <c r="N207" s="505" t="s">
        <v>1233</v>
      </c>
    </row>
    <row r="208" spans="1:14" x14ac:dyDescent="0.25">
      <c r="A208" s="505" t="s">
        <v>1680</v>
      </c>
      <c r="B208" s="505" t="s">
        <v>1681</v>
      </c>
      <c r="C208" s="512" t="s">
        <v>7702</v>
      </c>
      <c r="D208" s="512" t="s">
        <v>7703</v>
      </c>
      <c r="E208" s="512" t="s">
        <v>7704</v>
      </c>
      <c r="F208" s="512" t="s">
        <v>7705</v>
      </c>
      <c r="G208" s="512" t="s">
        <v>7706</v>
      </c>
      <c r="L208" s="505" t="s">
        <v>1233</v>
      </c>
      <c r="M208" s="516">
        <v>10.19</v>
      </c>
      <c r="N208" s="505" t="s">
        <v>1233</v>
      </c>
    </row>
    <row r="209" spans="1:14" x14ac:dyDescent="0.25">
      <c r="A209" s="505" t="s">
        <v>1682</v>
      </c>
      <c r="B209" s="505" t="s">
        <v>1683</v>
      </c>
      <c r="C209" s="512" t="s">
        <v>7707</v>
      </c>
      <c r="D209" s="512" t="s">
        <v>7708</v>
      </c>
      <c r="E209" s="512" t="s">
        <v>7709</v>
      </c>
      <c r="F209" s="512" t="s">
        <v>7710</v>
      </c>
      <c r="G209" s="512" t="s">
        <v>7711</v>
      </c>
      <c r="H209" s="512" t="s">
        <v>7437</v>
      </c>
      <c r="L209" s="505" t="s">
        <v>1233</v>
      </c>
      <c r="M209" s="516">
        <v>17.95</v>
      </c>
      <c r="N209" s="505" t="s">
        <v>1233</v>
      </c>
    </row>
    <row r="210" spans="1:14" x14ac:dyDescent="0.25">
      <c r="A210" s="505" t="s">
        <v>1684</v>
      </c>
      <c r="B210" s="505" t="s">
        <v>1685</v>
      </c>
      <c r="C210" s="512" t="s">
        <v>7707</v>
      </c>
      <c r="D210" s="512" t="s">
        <v>7708</v>
      </c>
      <c r="E210" s="512" t="s">
        <v>7709</v>
      </c>
      <c r="F210" s="512" t="s">
        <v>7710</v>
      </c>
      <c r="G210" s="512" t="s">
        <v>7711</v>
      </c>
      <c r="H210" s="512" t="s">
        <v>7436</v>
      </c>
      <c r="L210" s="505" t="s">
        <v>1233</v>
      </c>
      <c r="M210" s="516">
        <v>17.95</v>
      </c>
      <c r="N210" s="505" t="s">
        <v>1233</v>
      </c>
    </row>
    <row r="211" spans="1:14" x14ac:dyDescent="0.25">
      <c r="A211" s="505" t="s">
        <v>1686</v>
      </c>
      <c r="B211" s="505" t="s">
        <v>1687</v>
      </c>
      <c r="C211" s="512" t="s">
        <v>7707</v>
      </c>
      <c r="D211" s="512" t="s">
        <v>7708</v>
      </c>
      <c r="E211" s="512" t="s">
        <v>7709</v>
      </c>
      <c r="F211" s="512" t="s">
        <v>7710</v>
      </c>
      <c r="G211" s="512" t="s">
        <v>7711</v>
      </c>
      <c r="H211" s="512" t="s">
        <v>7712</v>
      </c>
      <c r="L211" s="505" t="s">
        <v>1233</v>
      </c>
      <c r="M211" s="516">
        <v>17.95</v>
      </c>
      <c r="N211" s="505" t="s">
        <v>1233</v>
      </c>
    </row>
    <row r="212" spans="1:14" x14ac:dyDescent="0.25">
      <c r="A212" s="505" t="s">
        <v>1688</v>
      </c>
      <c r="B212" s="505" t="s">
        <v>1689</v>
      </c>
      <c r="C212" s="512" t="s">
        <v>7707</v>
      </c>
      <c r="D212" s="512" t="s">
        <v>7708</v>
      </c>
      <c r="E212" s="512" t="s">
        <v>7709</v>
      </c>
      <c r="F212" s="512" t="s">
        <v>7710</v>
      </c>
      <c r="G212" s="512" t="s">
        <v>7713</v>
      </c>
      <c r="H212" s="512" t="s">
        <v>7437</v>
      </c>
      <c r="L212" s="505" t="s">
        <v>1233</v>
      </c>
      <c r="M212" s="516">
        <v>19.95</v>
      </c>
      <c r="N212" s="505" t="s">
        <v>1233</v>
      </c>
    </row>
    <row r="213" spans="1:14" x14ac:dyDescent="0.25">
      <c r="A213" s="505" t="s">
        <v>1690</v>
      </c>
      <c r="B213" s="505" t="s">
        <v>1691</v>
      </c>
      <c r="C213" s="512" t="s">
        <v>7707</v>
      </c>
      <c r="D213" s="512" t="s">
        <v>7708</v>
      </c>
      <c r="E213" s="512" t="s">
        <v>7709</v>
      </c>
      <c r="F213" s="512" t="s">
        <v>7710</v>
      </c>
      <c r="G213" s="512" t="s">
        <v>7713</v>
      </c>
      <c r="H213" s="512" t="s">
        <v>7436</v>
      </c>
      <c r="L213" s="505" t="s">
        <v>1233</v>
      </c>
      <c r="M213" s="516">
        <v>19.95</v>
      </c>
      <c r="N213" s="505" t="s">
        <v>1233</v>
      </c>
    </row>
    <row r="214" spans="1:14" x14ac:dyDescent="0.25">
      <c r="A214" s="505" t="s">
        <v>1692</v>
      </c>
      <c r="B214" s="505" t="s">
        <v>1693</v>
      </c>
      <c r="C214" s="512" t="s">
        <v>7707</v>
      </c>
      <c r="D214" s="512" t="s">
        <v>7708</v>
      </c>
      <c r="E214" s="512" t="s">
        <v>7709</v>
      </c>
      <c r="F214" s="512" t="s">
        <v>7710</v>
      </c>
      <c r="G214" s="512" t="s">
        <v>7713</v>
      </c>
      <c r="H214" s="512" t="s">
        <v>7714</v>
      </c>
      <c r="L214" s="505" t="s">
        <v>1233</v>
      </c>
      <c r="M214" s="516">
        <v>19.95</v>
      </c>
      <c r="N214" s="505" t="s">
        <v>1233</v>
      </c>
    </row>
    <row r="215" spans="1:14" x14ac:dyDescent="0.25">
      <c r="A215" s="505" t="s">
        <v>1694</v>
      </c>
      <c r="B215" s="505" t="s">
        <v>1695</v>
      </c>
      <c r="C215" s="512" t="s">
        <v>7707</v>
      </c>
      <c r="D215" s="512" t="s">
        <v>7708</v>
      </c>
      <c r="E215" s="512" t="s">
        <v>7709</v>
      </c>
      <c r="F215" s="512" t="s">
        <v>7710</v>
      </c>
      <c r="G215" s="512" t="s">
        <v>7713</v>
      </c>
      <c r="H215" s="512" t="s">
        <v>7712</v>
      </c>
      <c r="L215" s="505" t="s">
        <v>1233</v>
      </c>
      <c r="M215" s="516">
        <v>19.95</v>
      </c>
      <c r="N215" s="505" t="s">
        <v>1233</v>
      </c>
    </row>
    <row r="216" spans="1:14" x14ac:dyDescent="0.25">
      <c r="A216" s="505" t="s">
        <v>1696</v>
      </c>
      <c r="B216" s="505" t="s">
        <v>1697</v>
      </c>
      <c r="C216" s="512" t="s">
        <v>7715</v>
      </c>
      <c r="D216" s="512" t="s">
        <v>7716</v>
      </c>
      <c r="E216" s="512" t="s">
        <v>7717</v>
      </c>
      <c r="F216" s="512" t="s">
        <v>7718</v>
      </c>
      <c r="G216" s="512" t="s">
        <v>7719</v>
      </c>
      <c r="H216" s="512" t="s">
        <v>7437</v>
      </c>
      <c r="L216" s="505" t="s">
        <v>1233</v>
      </c>
      <c r="M216" s="516">
        <v>24.32</v>
      </c>
      <c r="N216" s="505" t="s">
        <v>1233</v>
      </c>
    </row>
    <row r="217" spans="1:14" x14ac:dyDescent="0.25">
      <c r="A217" s="505" t="s">
        <v>1698</v>
      </c>
      <c r="B217" s="505" t="s">
        <v>1699</v>
      </c>
      <c r="C217" s="512" t="s">
        <v>7715</v>
      </c>
      <c r="D217" s="512" t="s">
        <v>7716</v>
      </c>
      <c r="E217" s="512" t="s">
        <v>7717</v>
      </c>
      <c r="F217" s="512" t="s">
        <v>7718</v>
      </c>
      <c r="G217" s="512" t="s">
        <v>7719</v>
      </c>
      <c r="H217" s="512" t="s">
        <v>7436</v>
      </c>
      <c r="L217" s="505" t="s">
        <v>1233</v>
      </c>
      <c r="M217" s="516">
        <v>24.32</v>
      </c>
      <c r="N217" s="505" t="s">
        <v>1233</v>
      </c>
    </row>
    <row r="218" spans="1:14" x14ac:dyDescent="0.25">
      <c r="A218" s="505" t="s">
        <v>1700</v>
      </c>
      <c r="B218" s="505" t="s">
        <v>1701</v>
      </c>
      <c r="C218" s="512" t="s">
        <v>7715</v>
      </c>
      <c r="D218" s="512" t="s">
        <v>7716</v>
      </c>
      <c r="E218" s="512" t="s">
        <v>7717</v>
      </c>
      <c r="F218" s="512" t="s">
        <v>7718</v>
      </c>
      <c r="G218" s="512" t="s">
        <v>7719</v>
      </c>
      <c r="H218" s="512" t="s">
        <v>7720</v>
      </c>
      <c r="L218" s="505" t="s">
        <v>1233</v>
      </c>
      <c r="M218" s="516">
        <v>24.32</v>
      </c>
      <c r="N218" s="505" t="s">
        <v>1233</v>
      </c>
    </row>
    <row r="219" spans="1:14" x14ac:dyDescent="0.25">
      <c r="A219" s="505" t="s">
        <v>1702</v>
      </c>
      <c r="B219" s="505" t="s">
        <v>1703</v>
      </c>
      <c r="C219" s="512" t="s">
        <v>7715</v>
      </c>
      <c r="D219" s="512" t="s">
        <v>7716</v>
      </c>
      <c r="E219" s="512" t="s">
        <v>7717</v>
      </c>
      <c r="F219" s="512" t="s">
        <v>7718</v>
      </c>
      <c r="G219" s="512" t="s">
        <v>7719</v>
      </c>
      <c r="H219" s="512" t="s">
        <v>7721</v>
      </c>
      <c r="L219" s="505" t="s">
        <v>1233</v>
      </c>
      <c r="M219" s="516">
        <v>24.32</v>
      </c>
      <c r="N219" s="505" t="s">
        <v>1233</v>
      </c>
    </row>
    <row r="220" spans="1:14" x14ac:dyDescent="0.25">
      <c r="A220" s="505" t="s">
        <v>1704</v>
      </c>
      <c r="B220" s="505" t="s">
        <v>1705</v>
      </c>
      <c r="C220" s="512" t="s">
        <v>7715</v>
      </c>
      <c r="D220" s="512" t="s">
        <v>7716</v>
      </c>
      <c r="E220" s="512" t="s">
        <v>7717</v>
      </c>
      <c r="F220" s="512" t="s">
        <v>7722</v>
      </c>
      <c r="G220" s="512" t="s">
        <v>7719</v>
      </c>
      <c r="H220" s="512" t="s">
        <v>7437</v>
      </c>
      <c r="L220" s="505" t="s">
        <v>1233</v>
      </c>
      <c r="M220" s="516">
        <v>16.100000000000001</v>
      </c>
      <c r="N220" s="505" t="s">
        <v>1233</v>
      </c>
    </row>
    <row r="221" spans="1:14" x14ac:dyDescent="0.25">
      <c r="A221" s="505" t="s">
        <v>1706</v>
      </c>
      <c r="B221" s="505" t="s">
        <v>1707</v>
      </c>
      <c r="C221" s="512" t="s">
        <v>7715</v>
      </c>
      <c r="D221" s="512" t="s">
        <v>7716</v>
      </c>
      <c r="E221" s="512" t="s">
        <v>7717</v>
      </c>
      <c r="F221" s="512" t="s">
        <v>7722</v>
      </c>
      <c r="G221" s="512" t="s">
        <v>7719</v>
      </c>
      <c r="H221" s="512" t="s">
        <v>7436</v>
      </c>
      <c r="L221" s="505" t="s">
        <v>1233</v>
      </c>
      <c r="M221" s="516">
        <v>16.100000000000001</v>
      </c>
      <c r="N221" s="505" t="s">
        <v>1233</v>
      </c>
    </row>
    <row r="222" spans="1:14" x14ac:dyDescent="0.25">
      <c r="A222" s="505" t="s">
        <v>1708</v>
      </c>
      <c r="B222" s="505" t="s">
        <v>1709</v>
      </c>
      <c r="C222" s="512" t="s">
        <v>7715</v>
      </c>
      <c r="D222" s="512" t="s">
        <v>7716</v>
      </c>
      <c r="E222" s="512" t="s">
        <v>7717</v>
      </c>
      <c r="F222" s="512" t="s">
        <v>7722</v>
      </c>
      <c r="G222" s="512" t="s">
        <v>7719</v>
      </c>
      <c r="H222" s="512" t="s">
        <v>7720</v>
      </c>
      <c r="L222" s="505" t="s">
        <v>1233</v>
      </c>
      <c r="M222" s="516">
        <v>16.100000000000001</v>
      </c>
      <c r="N222" s="505" t="s">
        <v>1233</v>
      </c>
    </row>
    <row r="223" spans="1:14" x14ac:dyDescent="0.25">
      <c r="A223" s="505" t="s">
        <v>1710</v>
      </c>
      <c r="B223" s="505" t="s">
        <v>1711</v>
      </c>
      <c r="C223" s="512" t="s">
        <v>7715</v>
      </c>
      <c r="D223" s="512" t="s">
        <v>7716</v>
      </c>
      <c r="E223" s="512" t="s">
        <v>7717</v>
      </c>
      <c r="F223" s="512" t="s">
        <v>7722</v>
      </c>
      <c r="G223" s="512" t="s">
        <v>7719</v>
      </c>
      <c r="H223" s="512" t="s">
        <v>7721</v>
      </c>
      <c r="L223" s="505" t="s">
        <v>1233</v>
      </c>
      <c r="M223" s="516">
        <v>16.100000000000001</v>
      </c>
      <c r="N223" s="505" t="s">
        <v>1233</v>
      </c>
    </row>
    <row r="224" spans="1:14" s="518" customFormat="1" x14ac:dyDescent="0.25">
      <c r="A224" s="518" t="s">
        <v>1712</v>
      </c>
      <c r="B224" s="518" t="s">
        <v>1713</v>
      </c>
      <c r="C224" s="519" t="s">
        <v>7707</v>
      </c>
      <c r="D224" s="519" t="s">
        <v>7723</v>
      </c>
      <c r="E224" s="519" t="s">
        <v>7724</v>
      </c>
      <c r="F224" s="519" t="s">
        <v>7725</v>
      </c>
      <c r="G224" s="519" t="s">
        <v>7719</v>
      </c>
      <c r="H224" s="519" t="s">
        <v>7437</v>
      </c>
      <c r="I224" s="519"/>
      <c r="L224" s="518" t="s">
        <v>1233</v>
      </c>
      <c r="M224" s="520">
        <v>27.95</v>
      </c>
      <c r="N224" s="518" t="s">
        <v>1233</v>
      </c>
    </row>
    <row r="225" spans="1:14" s="518" customFormat="1" x14ac:dyDescent="0.25">
      <c r="A225" s="518" t="s">
        <v>1714</v>
      </c>
      <c r="B225" s="518" t="s">
        <v>1715</v>
      </c>
      <c r="C225" s="519" t="s">
        <v>7707</v>
      </c>
      <c r="D225" s="519" t="s">
        <v>7723</v>
      </c>
      <c r="E225" s="519" t="s">
        <v>7724</v>
      </c>
      <c r="F225" s="519" t="s">
        <v>7725</v>
      </c>
      <c r="G225" s="519" t="s">
        <v>7719</v>
      </c>
      <c r="H225" s="519" t="s">
        <v>7436</v>
      </c>
      <c r="I225" s="519"/>
      <c r="L225" s="518" t="s">
        <v>1233</v>
      </c>
      <c r="M225" s="520">
        <v>27.95</v>
      </c>
      <c r="N225" s="518" t="s">
        <v>1233</v>
      </c>
    </row>
    <row r="226" spans="1:14" s="518" customFormat="1" x14ac:dyDescent="0.25">
      <c r="A226" s="518" t="s">
        <v>1716</v>
      </c>
      <c r="B226" s="518" t="s">
        <v>1717</v>
      </c>
      <c r="C226" s="519" t="s">
        <v>7707</v>
      </c>
      <c r="D226" s="519" t="s">
        <v>7723</v>
      </c>
      <c r="E226" s="519" t="s">
        <v>7724</v>
      </c>
      <c r="F226" s="519" t="s">
        <v>7725</v>
      </c>
      <c r="G226" s="519" t="s">
        <v>7719</v>
      </c>
      <c r="H226" s="519" t="s">
        <v>7432</v>
      </c>
      <c r="I226" s="519"/>
      <c r="L226" s="518" t="s">
        <v>1233</v>
      </c>
      <c r="M226" s="520">
        <v>27.95</v>
      </c>
      <c r="N226" s="518" t="s">
        <v>1233</v>
      </c>
    </row>
    <row r="227" spans="1:14" s="518" customFormat="1" x14ac:dyDescent="0.25">
      <c r="A227" s="518" t="s">
        <v>1718</v>
      </c>
      <c r="B227" s="518" t="s">
        <v>1719</v>
      </c>
      <c r="C227" s="519" t="s">
        <v>7707</v>
      </c>
      <c r="D227" s="519" t="s">
        <v>7723</v>
      </c>
      <c r="E227" s="519" t="s">
        <v>7724</v>
      </c>
      <c r="F227" s="519" t="s">
        <v>7725</v>
      </c>
      <c r="G227" s="519" t="s">
        <v>7719</v>
      </c>
      <c r="H227" s="519" t="s">
        <v>7712</v>
      </c>
      <c r="I227" s="519"/>
      <c r="L227" s="518" t="s">
        <v>1233</v>
      </c>
      <c r="M227" s="520">
        <v>21.95</v>
      </c>
      <c r="N227" s="518" t="s">
        <v>1233</v>
      </c>
    </row>
    <row r="228" spans="1:14" s="518" customFormat="1" x14ac:dyDescent="0.25">
      <c r="A228" s="518" t="s">
        <v>1720</v>
      </c>
      <c r="B228" s="518" t="s">
        <v>1721</v>
      </c>
      <c r="C228" s="519" t="s">
        <v>7707</v>
      </c>
      <c r="D228" s="519" t="s">
        <v>7723</v>
      </c>
      <c r="E228" s="519" t="s">
        <v>7724</v>
      </c>
      <c r="F228" s="519" t="s">
        <v>7725</v>
      </c>
      <c r="G228" s="519" t="s">
        <v>7719</v>
      </c>
      <c r="H228" s="519" t="s">
        <v>7726</v>
      </c>
      <c r="I228" s="519"/>
      <c r="L228" s="518" t="s">
        <v>1233</v>
      </c>
      <c r="M228" s="520">
        <v>27.95</v>
      </c>
      <c r="N228" s="518" t="s">
        <v>1233</v>
      </c>
    </row>
    <row r="229" spans="1:14" s="518" customFormat="1" x14ac:dyDescent="0.25">
      <c r="A229" s="518" t="s">
        <v>1722</v>
      </c>
      <c r="B229" s="518" t="s">
        <v>1723</v>
      </c>
      <c r="C229" s="519" t="s">
        <v>7707</v>
      </c>
      <c r="D229" s="519" t="s">
        <v>7723</v>
      </c>
      <c r="E229" s="519" t="s">
        <v>7724</v>
      </c>
      <c r="F229" s="519" t="s">
        <v>7727</v>
      </c>
      <c r="G229" s="519" t="s">
        <v>7719</v>
      </c>
      <c r="H229" s="519" t="s">
        <v>7437</v>
      </c>
      <c r="I229" s="519"/>
      <c r="L229" s="518" t="s">
        <v>1233</v>
      </c>
      <c r="M229" s="520">
        <v>39.25</v>
      </c>
      <c r="N229" s="518" t="s">
        <v>1233</v>
      </c>
    </row>
    <row r="230" spans="1:14" s="518" customFormat="1" x14ac:dyDescent="0.25">
      <c r="A230" s="518" t="s">
        <v>1724</v>
      </c>
      <c r="B230" s="518" t="s">
        <v>1725</v>
      </c>
      <c r="C230" s="519" t="s">
        <v>7707</v>
      </c>
      <c r="D230" s="519" t="s">
        <v>7728</v>
      </c>
      <c r="E230" s="519" t="s">
        <v>7729</v>
      </c>
      <c r="F230" s="519" t="s">
        <v>7730</v>
      </c>
      <c r="G230" s="519" t="s">
        <v>7719</v>
      </c>
      <c r="H230" s="519" t="s">
        <v>361</v>
      </c>
      <c r="I230" s="519"/>
      <c r="L230" s="518" t="s">
        <v>1233</v>
      </c>
      <c r="M230" s="520">
        <v>39.25</v>
      </c>
      <c r="N230" s="518" t="s">
        <v>1233</v>
      </c>
    </row>
    <row r="231" spans="1:14" s="518" customFormat="1" x14ac:dyDescent="0.25">
      <c r="A231" s="518" t="s">
        <v>1726</v>
      </c>
      <c r="B231" s="518" t="s">
        <v>1727</v>
      </c>
      <c r="C231" s="519" t="s">
        <v>7707</v>
      </c>
      <c r="D231" s="519" t="s">
        <v>7723</v>
      </c>
      <c r="E231" s="519" t="s">
        <v>7724</v>
      </c>
      <c r="F231" s="519" t="s">
        <v>7727</v>
      </c>
      <c r="G231" s="519" t="s">
        <v>7719</v>
      </c>
      <c r="H231" s="519" t="s">
        <v>7432</v>
      </c>
      <c r="I231" s="519"/>
      <c r="L231" s="518" t="s">
        <v>1233</v>
      </c>
      <c r="M231" s="520">
        <v>39.25</v>
      </c>
      <c r="N231" s="518" t="s">
        <v>1233</v>
      </c>
    </row>
    <row r="232" spans="1:14" s="518" customFormat="1" x14ac:dyDescent="0.25">
      <c r="A232" s="518" t="s">
        <v>1728</v>
      </c>
      <c r="B232" s="518" t="s">
        <v>1729</v>
      </c>
      <c r="C232" s="519" t="s">
        <v>7731</v>
      </c>
      <c r="D232" s="519" t="s">
        <v>7732</v>
      </c>
      <c r="E232" s="519" t="s">
        <v>7733</v>
      </c>
      <c r="F232" s="519" t="s">
        <v>7717</v>
      </c>
      <c r="G232" s="519" t="s">
        <v>7734</v>
      </c>
      <c r="H232" s="519" t="s">
        <v>7437</v>
      </c>
      <c r="I232" s="519"/>
      <c r="L232" s="518" t="s">
        <v>1233</v>
      </c>
      <c r="M232" s="520">
        <v>8.65</v>
      </c>
      <c r="N232" s="518" t="s">
        <v>1233</v>
      </c>
    </row>
    <row r="233" spans="1:14" s="518" customFormat="1" x14ac:dyDescent="0.25">
      <c r="A233" s="518" t="s">
        <v>1730</v>
      </c>
      <c r="B233" s="518" t="s">
        <v>1731</v>
      </c>
      <c r="C233" s="519" t="s">
        <v>7731</v>
      </c>
      <c r="D233" s="519" t="s">
        <v>7732</v>
      </c>
      <c r="E233" s="519" t="s">
        <v>7733</v>
      </c>
      <c r="F233" s="519" t="s">
        <v>7717</v>
      </c>
      <c r="G233" s="519" t="s">
        <v>7735</v>
      </c>
      <c r="H233" s="519" t="s">
        <v>7437</v>
      </c>
      <c r="I233" s="519"/>
      <c r="L233" s="518" t="s">
        <v>1233</v>
      </c>
      <c r="M233" s="520">
        <v>8.65</v>
      </c>
      <c r="N233" s="518" t="s">
        <v>1233</v>
      </c>
    </row>
    <row r="234" spans="1:14" s="518" customFormat="1" x14ac:dyDescent="0.25">
      <c r="A234" s="518" t="s">
        <v>1732</v>
      </c>
      <c r="B234" s="518" t="s">
        <v>1733</v>
      </c>
      <c r="C234" s="519" t="s">
        <v>7731</v>
      </c>
      <c r="D234" s="519" t="s">
        <v>7732</v>
      </c>
      <c r="E234" s="519" t="s">
        <v>7733</v>
      </c>
      <c r="F234" s="519" t="s">
        <v>7717</v>
      </c>
      <c r="G234" s="519" t="s">
        <v>7736</v>
      </c>
      <c r="H234" s="519" t="s">
        <v>7437</v>
      </c>
      <c r="I234" s="519"/>
      <c r="L234" s="518" t="s">
        <v>1233</v>
      </c>
      <c r="M234" s="520">
        <v>8.65</v>
      </c>
      <c r="N234" s="518" t="s">
        <v>1233</v>
      </c>
    </row>
    <row r="235" spans="1:14" s="530" customFormat="1" x14ac:dyDescent="0.25">
      <c r="A235" s="530" t="s">
        <v>1734</v>
      </c>
      <c r="B235" s="530" t="s">
        <v>1735</v>
      </c>
      <c r="C235" s="531" t="s">
        <v>7702</v>
      </c>
      <c r="D235" s="531" t="s">
        <v>7737</v>
      </c>
      <c r="E235" s="531" t="s">
        <v>7613</v>
      </c>
      <c r="F235" s="531" t="s">
        <v>7738</v>
      </c>
      <c r="G235" s="531" t="s">
        <v>7739</v>
      </c>
      <c r="H235" s="531" t="s">
        <v>7740</v>
      </c>
      <c r="I235" s="531"/>
      <c r="L235" s="530" t="s">
        <v>1233</v>
      </c>
      <c r="M235" s="532">
        <v>0</v>
      </c>
      <c r="N235" s="530" t="s">
        <v>1544</v>
      </c>
    </row>
    <row r="236" spans="1:14" s="518" customFormat="1" x14ac:dyDescent="0.25">
      <c r="A236" s="518" t="s">
        <v>1736</v>
      </c>
      <c r="B236" s="518" t="s">
        <v>1737</v>
      </c>
      <c r="C236" s="519" t="s">
        <v>7741</v>
      </c>
      <c r="D236" s="519" t="s">
        <v>7717</v>
      </c>
      <c r="E236" s="519" t="s">
        <v>7725</v>
      </c>
      <c r="F236" s="519" t="s">
        <v>7719</v>
      </c>
      <c r="G236" s="519" t="s">
        <v>7437</v>
      </c>
      <c r="H236" s="519"/>
      <c r="I236" s="519"/>
      <c r="L236" s="518" t="s">
        <v>1233</v>
      </c>
      <c r="M236" s="520">
        <v>5.9</v>
      </c>
      <c r="N236" s="518" t="s">
        <v>1233</v>
      </c>
    </row>
    <row r="237" spans="1:14" s="518" customFormat="1" x14ac:dyDescent="0.25">
      <c r="A237" s="518" t="s">
        <v>1738</v>
      </c>
      <c r="B237" s="518" t="s">
        <v>1739</v>
      </c>
      <c r="C237" s="519" t="s">
        <v>7741</v>
      </c>
      <c r="D237" s="519" t="s">
        <v>7717</v>
      </c>
      <c r="E237" s="519" t="s">
        <v>7725</v>
      </c>
      <c r="F237" s="519" t="s">
        <v>7719</v>
      </c>
      <c r="G237" s="519" t="s">
        <v>7436</v>
      </c>
      <c r="H237" s="519"/>
      <c r="I237" s="519"/>
      <c r="L237" s="518" t="s">
        <v>1233</v>
      </c>
      <c r="M237" s="520">
        <v>5.9</v>
      </c>
      <c r="N237" s="518" t="s">
        <v>1233</v>
      </c>
    </row>
    <row r="238" spans="1:14" s="518" customFormat="1" x14ac:dyDescent="0.25">
      <c r="A238" s="518" t="s">
        <v>1740</v>
      </c>
      <c r="B238" s="518" t="s">
        <v>1741</v>
      </c>
      <c r="C238" s="519" t="s">
        <v>7741</v>
      </c>
      <c r="D238" s="519" t="s">
        <v>7717</v>
      </c>
      <c r="E238" s="519" t="s">
        <v>7725</v>
      </c>
      <c r="F238" s="519" t="s">
        <v>7719</v>
      </c>
      <c r="G238" s="519" t="s">
        <v>7432</v>
      </c>
      <c r="H238" s="519"/>
      <c r="I238" s="519"/>
      <c r="L238" s="518" t="s">
        <v>1233</v>
      </c>
      <c r="M238" s="520">
        <v>5.9</v>
      </c>
      <c r="N238" s="518" t="s">
        <v>1233</v>
      </c>
    </row>
    <row r="239" spans="1:14" s="518" customFormat="1" x14ac:dyDescent="0.25">
      <c r="A239" s="518" t="s">
        <v>1742</v>
      </c>
      <c r="B239" s="518" t="s">
        <v>1743</v>
      </c>
      <c r="C239" s="519" t="s">
        <v>7741</v>
      </c>
      <c r="D239" s="519" t="s">
        <v>7717</v>
      </c>
      <c r="E239" s="519" t="s">
        <v>7725</v>
      </c>
      <c r="F239" s="519" t="s">
        <v>7719</v>
      </c>
      <c r="G239" s="519" t="s">
        <v>7721</v>
      </c>
      <c r="H239" s="519"/>
      <c r="I239" s="519"/>
      <c r="L239" s="518" t="s">
        <v>1233</v>
      </c>
      <c r="M239" s="520">
        <v>5.9</v>
      </c>
      <c r="N239" s="518" t="s">
        <v>1233</v>
      </c>
    </row>
    <row r="240" spans="1:14" s="518" customFormat="1" x14ac:dyDescent="0.25">
      <c r="A240" s="518" t="s">
        <v>1744</v>
      </c>
      <c r="B240" s="518" t="s">
        <v>1745</v>
      </c>
      <c r="C240" s="519" t="s">
        <v>7741</v>
      </c>
      <c r="D240" s="519" t="s">
        <v>7717</v>
      </c>
      <c r="E240" s="519" t="s">
        <v>7725</v>
      </c>
      <c r="F240" s="519" t="s">
        <v>7742</v>
      </c>
      <c r="G240" s="519" t="s">
        <v>7437</v>
      </c>
      <c r="H240" s="519"/>
      <c r="I240" s="519"/>
      <c r="L240" s="518" t="s">
        <v>1233</v>
      </c>
      <c r="M240" s="520">
        <v>5.75</v>
      </c>
      <c r="N240" s="518" t="s">
        <v>1233</v>
      </c>
    </row>
    <row r="241" spans="1:14" s="518" customFormat="1" x14ac:dyDescent="0.25">
      <c r="A241" s="518" t="s">
        <v>1746</v>
      </c>
      <c r="B241" s="518" t="s">
        <v>1747</v>
      </c>
      <c r="C241" s="519" t="s">
        <v>7741</v>
      </c>
      <c r="D241" s="519" t="s">
        <v>7717</v>
      </c>
      <c r="E241" s="519" t="s">
        <v>7725</v>
      </c>
      <c r="F241" s="519" t="s">
        <v>7742</v>
      </c>
      <c r="G241" s="519" t="s">
        <v>7432</v>
      </c>
      <c r="H241" s="519"/>
      <c r="I241" s="519"/>
      <c r="L241" s="518" t="s">
        <v>1233</v>
      </c>
      <c r="M241" s="520">
        <v>5.75</v>
      </c>
      <c r="N241" s="518" t="s">
        <v>1233</v>
      </c>
    </row>
    <row r="242" spans="1:14" s="518" customFormat="1" x14ac:dyDescent="0.25">
      <c r="A242" s="518" t="s">
        <v>1748</v>
      </c>
      <c r="B242" s="518" t="s">
        <v>1749</v>
      </c>
      <c r="C242" s="519" t="s">
        <v>7741</v>
      </c>
      <c r="D242" s="519" t="s">
        <v>7717</v>
      </c>
      <c r="E242" s="519" t="s">
        <v>7725</v>
      </c>
      <c r="F242" s="519" t="s">
        <v>7742</v>
      </c>
      <c r="G242" s="519" t="s">
        <v>7721</v>
      </c>
      <c r="H242" s="519"/>
      <c r="I242" s="519"/>
      <c r="L242" s="518" t="s">
        <v>1233</v>
      </c>
      <c r="M242" s="520">
        <v>5.75</v>
      </c>
      <c r="N242" s="518" t="s">
        <v>1233</v>
      </c>
    </row>
    <row r="243" spans="1:14" x14ac:dyDescent="0.25">
      <c r="A243" s="505" t="s">
        <v>1750</v>
      </c>
      <c r="B243" s="505" t="s">
        <v>1751</v>
      </c>
      <c r="C243" s="512" t="s">
        <v>7735</v>
      </c>
      <c r="D243" s="512" t="s">
        <v>7743</v>
      </c>
      <c r="E243" s="512" t="s">
        <v>7717</v>
      </c>
      <c r="F243" s="512" t="s">
        <v>7725</v>
      </c>
      <c r="G243" s="512" t="s">
        <v>7719</v>
      </c>
      <c r="H243" s="512" t="s">
        <v>7437</v>
      </c>
      <c r="L243" s="505" t="s">
        <v>1233</v>
      </c>
      <c r="M243" s="516">
        <v>9.1999999999999993</v>
      </c>
      <c r="N243" s="505" t="s">
        <v>1233</v>
      </c>
    </row>
    <row r="244" spans="1:14" x14ac:dyDescent="0.25">
      <c r="A244" s="505" t="s">
        <v>1752</v>
      </c>
      <c r="B244" s="505" t="s">
        <v>1753</v>
      </c>
      <c r="C244" s="512" t="s">
        <v>7735</v>
      </c>
      <c r="D244" s="512" t="s">
        <v>7743</v>
      </c>
      <c r="E244" s="512" t="s">
        <v>7717</v>
      </c>
      <c r="F244" s="512" t="s">
        <v>7725</v>
      </c>
      <c r="G244" s="512" t="s">
        <v>7719</v>
      </c>
      <c r="H244" s="512" t="s">
        <v>7436</v>
      </c>
      <c r="L244" s="505" t="s">
        <v>1233</v>
      </c>
      <c r="M244" s="516">
        <v>9.1999999999999993</v>
      </c>
      <c r="N244" s="505" t="s">
        <v>1233</v>
      </c>
    </row>
    <row r="245" spans="1:14" x14ac:dyDescent="0.25">
      <c r="A245" s="505" t="s">
        <v>1754</v>
      </c>
      <c r="B245" s="505" t="s">
        <v>1755</v>
      </c>
      <c r="C245" s="512" t="s">
        <v>7735</v>
      </c>
      <c r="D245" s="512" t="s">
        <v>7743</v>
      </c>
      <c r="E245" s="512" t="s">
        <v>7717</v>
      </c>
      <c r="F245" s="512" t="s">
        <v>7725</v>
      </c>
      <c r="G245" s="512" t="s">
        <v>7719</v>
      </c>
      <c r="H245" s="512" t="s">
        <v>7432</v>
      </c>
      <c r="L245" s="505" t="s">
        <v>1233</v>
      </c>
      <c r="M245" s="516">
        <v>9.1999999999999993</v>
      </c>
      <c r="N245" s="505" t="s">
        <v>1233</v>
      </c>
    </row>
    <row r="246" spans="1:14" x14ac:dyDescent="0.25">
      <c r="A246" s="505" t="s">
        <v>1756</v>
      </c>
      <c r="B246" s="505" t="s">
        <v>1757</v>
      </c>
      <c r="C246" s="512" t="s">
        <v>7735</v>
      </c>
      <c r="D246" s="512" t="s">
        <v>7743</v>
      </c>
      <c r="E246" s="512" t="s">
        <v>7717</v>
      </c>
      <c r="F246" s="512" t="s">
        <v>7725</v>
      </c>
      <c r="G246" s="512" t="s">
        <v>7719</v>
      </c>
      <c r="H246" s="512" t="s">
        <v>7712</v>
      </c>
      <c r="L246" s="505" t="s">
        <v>1233</v>
      </c>
      <c r="M246" s="516">
        <v>9.1999999999999993</v>
      </c>
      <c r="N246" s="505" t="s">
        <v>1233</v>
      </c>
    </row>
    <row r="247" spans="1:14" s="518" customFormat="1" x14ac:dyDescent="0.25">
      <c r="A247" s="518" t="s">
        <v>1758</v>
      </c>
      <c r="B247" s="518" t="s">
        <v>1759</v>
      </c>
      <c r="C247" s="519" t="s">
        <v>7744</v>
      </c>
      <c r="D247" s="519" t="s">
        <v>7745</v>
      </c>
      <c r="E247" s="519" t="s">
        <v>7735</v>
      </c>
      <c r="F247" s="519" t="s">
        <v>148</v>
      </c>
      <c r="G247" s="519"/>
      <c r="H247" s="519"/>
      <c r="I247" s="519"/>
      <c r="L247" s="518" t="s">
        <v>114</v>
      </c>
      <c r="M247" s="520">
        <v>13.6</v>
      </c>
      <c r="N247" s="518" t="s">
        <v>114</v>
      </c>
    </row>
    <row r="248" spans="1:14" s="518" customFormat="1" x14ac:dyDescent="0.25">
      <c r="A248" s="518" t="s">
        <v>1760</v>
      </c>
      <c r="B248" s="518" t="s">
        <v>1761</v>
      </c>
      <c r="C248" s="519" t="s">
        <v>7746</v>
      </c>
      <c r="D248" s="519" t="s">
        <v>7747</v>
      </c>
      <c r="E248" s="519" t="s">
        <v>7736</v>
      </c>
      <c r="F248" s="519" t="s">
        <v>7437</v>
      </c>
      <c r="G248" s="519"/>
      <c r="H248" s="519"/>
      <c r="I248" s="519"/>
      <c r="L248" s="518" t="s">
        <v>114</v>
      </c>
      <c r="M248" s="520">
        <v>13.6</v>
      </c>
      <c r="N248" s="518" t="s">
        <v>114</v>
      </c>
    </row>
    <row r="249" spans="1:14" s="518" customFormat="1" x14ac:dyDescent="0.25">
      <c r="A249" s="518" t="s">
        <v>1762</v>
      </c>
      <c r="B249" s="518" t="s">
        <v>1763</v>
      </c>
      <c r="C249" s="519" t="s">
        <v>7746</v>
      </c>
      <c r="D249" s="519" t="s">
        <v>7747</v>
      </c>
      <c r="E249" s="519" t="s">
        <v>7736</v>
      </c>
      <c r="F249" s="519" t="s">
        <v>7436</v>
      </c>
      <c r="G249" s="519"/>
      <c r="H249" s="519"/>
      <c r="I249" s="519"/>
      <c r="L249" s="518" t="s">
        <v>114</v>
      </c>
      <c r="M249" s="520">
        <v>13.6</v>
      </c>
      <c r="N249" s="518" t="s">
        <v>114</v>
      </c>
    </row>
    <row r="250" spans="1:14" s="518" customFormat="1" x14ac:dyDescent="0.25">
      <c r="A250" s="518" t="s">
        <v>1764</v>
      </c>
      <c r="B250" s="518" t="s">
        <v>1765</v>
      </c>
      <c r="C250" s="519" t="s">
        <v>7746</v>
      </c>
      <c r="D250" s="519" t="s">
        <v>7747</v>
      </c>
      <c r="E250" s="519" t="s">
        <v>7736</v>
      </c>
      <c r="F250" s="519" t="s">
        <v>7748</v>
      </c>
      <c r="G250" s="519" t="s">
        <v>7749</v>
      </c>
      <c r="H250" s="519"/>
      <c r="I250" s="519"/>
      <c r="L250" s="518" t="s">
        <v>114</v>
      </c>
      <c r="M250" s="520">
        <v>0</v>
      </c>
      <c r="N250" s="518" t="s">
        <v>1544</v>
      </c>
    </row>
    <row r="251" spans="1:14" s="518" customFormat="1" x14ac:dyDescent="0.25">
      <c r="A251" s="518" t="s">
        <v>1766</v>
      </c>
      <c r="B251" s="518" t="s">
        <v>1767</v>
      </c>
      <c r="C251" s="519" t="s">
        <v>7750</v>
      </c>
      <c r="D251" s="519" t="s">
        <v>7751</v>
      </c>
      <c r="E251" s="519" t="s">
        <v>7717</v>
      </c>
      <c r="F251" s="519" t="s">
        <v>7752</v>
      </c>
      <c r="G251" s="519" t="s">
        <v>7436</v>
      </c>
      <c r="H251" s="519"/>
      <c r="I251" s="519"/>
      <c r="L251" s="518" t="s">
        <v>1233</v>
      </c>
      <c r="M251" s="520">
        <v>15.82</v>
      </c>
      <c r="N251" s="518" t="s">
        <v>112</v>
      </c>
    </row>
    <row r="252" spans="1:14" s="518" customFormat="1" x14ac:dyDescent="0.25">
      <c r="A252" s="518" t="s">
        <v>1768</v>
      </c>
      <c r="B252" s="518" t="s">
        <v>1769</v>
      </c>
      <c r="C252" s="519" t="s">
        <v>7750</v>
      </c>
      <c r="D252" s="519" t="s">
        <v>7751</v>
      </c>
      <c r="E252" s="519" t="s">
        <v>7717</v>
      </c>
      <c r="F252" s="519" t="s">
        <v>7752</v>
      </c>
      <c r="G252" s="519" t="s">
        <v>7720</v>
      </c>
      <c r="H252" s="519"/>
      <c r="I252" s="519"/>
      <c r="L252" s="518" t="s">
        <v>1233</v>
      </c>
      <c r="M252" s="520">
        <v>15.82</v>
      </c>
      <c r="N252" s="518" t="s">
        <v>112</v>
      </c>
    </row>
    <row r="253" spans="1:14" s="518" customFormat="1" x14ac:dyDescent="0.25">
      <c r="A253" s="518" t="s">
        <v>1770</v>
      </c>
      <c r="B253" s="518" t="s">
        <v>1771</v>
      </c>
      <c r="C253" s="519" t="s">
        <v>7750</v>
      </c>
      <c r="D253" s="519" t="s">
        <v>7751</v>
      </c>
      <c r="E253" s="519" t="s">
        <v>7717</v>
      </c>
      <c r="F253" s="519" t="s">
        <v>7752</v>
      </c>
      <c r="G253" s="519" t="s">
        <v>7437</v>
      </c>
      <c r="H253" s="519"/>
      <c r="I253" s="519"/>
      <c r="L253" s="518" t="s">
        <v>1233</v>
      </c>
      <c r="M253" s="520">
        <v>15.82</v>
      </c>
      <c r="N253" s="518" t="s">
        <v>112</v>
      </c>
    </row>
    <row r="254" spans="1:14" s="518" customFormat="1" x14ac:dyDescent="0.25">
      <c r="A254" s="518" t="s">
        <v>1772</v>
      </c>
      <c r="B254" s="518" t="s">
        <v>1773</v>
      </c>
      <c r="C254" s="519" t="s">
        <v>7753</v>
      </c>
      <c r="D254" s="519" t="s">
        <v>7709</v>
      </c>
      <c r="E254" s="519" t="s">
        <v>7754</v>
      </c>
      <c r="F254" s="519" t="s">
        <v>7436</v>
      </c>
      <c r="G254" s="519"/>
      <c r="H254" s="519"/>
      <c r="I254" s="519"/>
      <c r="L254" s="518" t="s">
        <v>1206</v>
      </c>
      <c r="M254" s="520">
        <v>18.75</v>
      </c>
      <c r="N254" s="518" t="s">
        <v>1206</v>
      </c>
    </row>
    <row r="255" spans="1:14" s="518" customFormat="1" x14ac:dyDescent="0.25">
      <c r="A255" s="518" t="s">
        <v>1774</v>
      </c>
      <c r="B255" s="518" t="s">
        <v>1775</v>
      </c>
      <c r="C255" s="519" t="s">
        <v>7753</v>
      </c>
      <c r="D255" s="519" t="s">
        <v>7709</v>
      </c>
      <c r="E255" s="519" t="s">
        <v>7754</v>
      </c>
      <c r="F255" s="519" t="s">
        <v>7432</v>
      </c>
      <c r="G255" s="519"/>
      <c r="H255" s="519"/>
      <c r="I255" s="519"/>
      <c r="L255" s="518" t="s">
        <v>1206</v>
      </c>
      <c r="M255" s="520">
        <v>18.75</v>
      </c>
      <c r="N255" s="518" t="s">
        <v>1206</v>
      </c>
    </row>
    <row r="256" spans="1:14" s="518" customFormat="1" x14ac:dyDescent="0.25">
      <c r="A256" s="518" t="s">
        <v>1776</v>
      </c>
      <c r="B256" s="518" t="s">
        <v>1777</v>
      </c>
      <c r="C256" s="519" t="s">
        <v>7753</v>
      </c>
      <c r="D256" s="519" t="s">
        <v>7709</v>
      </c>
      <c r="E256" s="519" t="s">
        <v>7754</v>
      </c>
      <c r="F256" s="519" t="s">
        <v>7437</v>
      </c>
      <c r="G256" s="519"/>
      <c r="H256" s="519"/>
      <c r="I256" s="519"/>
      <c r="L256" s="518" t="s">
        <v>1206</v>
      </c>
      <c r="M256" s="520">
        <v>18.75</v>
      </c>
      <c r="N256" s="518" t="s">
        <v>1206</v>
      </c>
    </row>
    <row r="257" spans="1:14" x14ac:dyDescent="0.25">
      <c r="A257" s="505" t="s">
        <v>1778</v>
      </c>
      <c r="B257" s="505" t="s">
        <v>1779</v>
      </c>
      <c r="C257" s="512" t="s">
        <v>7755</v>
      </c>
      <c r="D257" s="512" t="s">
        <v>7756</v>
      </c>
      <c r="E257" s="512" t="s">
        <v>7563</v>
      </c>
      <c r="F257" s="512" t="s">
        <v>7606</v>
      </c>
      <c r="L257" s="505" t="s">
        <v>1233</v>
      </c>
      <c r="M257" s="516">
        <v>4.38</v>
      </c>
      <c r="N257" s="505" t="s">
        <v>1233</v>
      </c>
    </row>
    <row r="258" spans="1:14" s="518" customFormat="1" x14ac:dyDescent="0.25">
      <c r="A258" s="518" t="s">
        <v>1780</v>
      </c>
      <c r="B258" s="518" t="s">
        <v>1781</v>
      </c>
      <c r="C258" s="519" t="s">
        <v>7707</v>
      </c>
      <c r="D258" s="519" t="s">
        <v>7757</v>
      </c>
      <c r="E258" s="519" t="s">
        <v>7725</v>
      </c>
      <c r="F258" s="519" t="s">
        <v>7709</v>
      </c>
      <c r="G258" s="519" t="s">
        <v>7742</v>
      </c>
      <c r="H258" s="519" t="s">
        <v>7437</v>
      </c>
      <c r="I258" s="519"/>
      <c r="L258" s="518" t="s">
        <v>1233</v>
      </c>
      <c r="M258" s="520">
        <v>25</v>
      </c>
      <c r="N258" s="518" t="s">
        <v>1233</v>
      </c>
    </row>
    <row r="259" spans="1:14" s="518" customFormat="1" x14ac:dyDescent="0.25">
      <c r="A259" s="518" t="s">
        <v>1782</v>
      </c>
      <c r="B259" s="518" t="s">
        <v>1783</v>
      </c>
      <c r="C259" s="519" t="s">
        <v>7707</v>
      </c>
      <c r="D259" s="519" t="s">
        <v>7757</v>
      </c>
      <c r="E259" s="519" t="s">
        <v>7725</v>
      </c>
      <c r="F259" s="519" t="s">
        <v>7709</v>
      </c>
      <c r="G259" s="519" t="s">
        <v>7742</v>
      </c>
      <c r="H259" s="519" t="s">
        <v>7436</v>
      </c>
      <c r="I259" s="519"/>
      <c r="L259" s="518" t="s">
        <v>1233</v>
      </c>
      <c r="M259" s="520">
        <v>25</v>
      </c>
      <c r="N259" s="518" t="s">
        <v>1233</v>
      </c>
    </row>
    <row r="260" spans="1:14" s="518" customFormat="1" x14ac:dyDescent="0.25">
      <c r="A260" s="518" t="s">
        <v>1784</v>
      </c>
      <c r="B260" s="518" t="s">
        <v>1785</v>
      </c>
      <c r="C260" s="519" t="s">
        <v>7707</v>
      </c>
      <c r="D260" s="519" t="s">
        <v>7757</v>
      </c>
      <c r="E260" s="519" t="s">
        <v>7725</v>
      </c>
      <c r="F260" s="519" t="s">
        <v>7709</v>
      </c>
      <c r="G260" s="519" t="s">
        <v>7742</v>
      </c>
      <c r="H260" s="519" t="s">
        <v>7720</v>
      </c>
      <c r="I260" s="519"/>
      <c r="L260" s="518" t="s">
        <v>1233</v>
      </c>
      <c r="M260" s="520">
        <v>25</v>
      </c>
      <c r="N260" s="518" t="s">
        <v>1233</v>
      </c>
    </row>
    <row r="261" spans="1:14" x14ac:dyDescent="0.25">
      <c r="A261" s="505" t="s">
        <v>1786</v>
      </c>
      <c r="B261" s="505" t="s">
        <v>1787</v>
      </c>
      <c r="C261" s="512" t="s">
        <v>7747</v>
      </c>
      <c r="D261" s="512" t="s">
        <v>7717</v>
      </c>
      <c r="E261" s="512" t="s">
        <v>7725</v>
      </c>
      <c r="F261" s="512" t="s">
        <v>7710</v>
      </c>
      <c r="G261" s="512" t="s">
        <v>7758</v>
      </c>
      <c r="H261" s="512" t="s">
        <v>7436</v>
      </c>
      <c r="L261" s="505" t="s">
        <v>114</v>
      </c>
      <c r="M261" s="516">
        <v>12.5</v>
      </c>
      <c r="N261" s="505" t="s">
        <v>114</v>
      </c>
    </row>
    <row r="262" spans="1:14" x14ac:dyDescent="0.25">
      <c r="A262" s="505" t="s">
        <v>1788</v>
      </c>
      <c r="B262" s="505" t="s">
        <v>1789</v>
      </c>
      <c r="C262" s="512" t="s">
        <v>7747</v>
      </c>
      <c r="D262" s="512" t="s">
        <v>7717</v>
      </c>
      <c r="E262" s="512" t="s">
        <v>7725</v>
      </c>
      <c r="F262" s="512" t="s">
        <v>7710</v>
      </c>
      <c r="G262" s="512" t="s">
        <v>7758</v>
      </c>
      <c r="H262" s="512" t="s">
        <v>7759</v>
      </c>
      <c r="L262" s="505" t="s">
        <v>114</v>
      </c>
      <c r="M262" s="516">
        <v>12.5</v>
      </c>
      <c r="N262" s="505" t="s">
        <v>114</v>
      </c>
    </row>
    <row r="263" spans="1:14" x14ac:dyDescent="0.25">
      <c r="A263" s="505" t="s">
        <v>1790</v>
      </c>
      <c r="B263" s="505" t="s">
        <v>1791</v>
      </c>
      <c r="C263" s="512" t="s">
        <v>7747</v>
      </c>
      <c r="D263" s="512" t="s">
        <v>7717</v>
      </c>
      <c r="E263" s="512" t="s">
        <v>7725</v>
      </c>
      <c r="F263" s="512" t="s">
        <v>7710</v>
      </c>
      <c r="G263" s="512" t="s">
        <v>7758</v>
      </c>
      <c r="H263" s="512" t="s">
        <v>7437</v>
      </c>
      <c r="L263" s="505" t="s">
        <v>114</v>
      </c>
      <c r="M263" s="516">
        <v>12.5</v>
      </c>
      <c r="N263" s="505" t="s">
        <v>114</v>
      </c>
    </row>
    <row r="264" spans="1:14" x14ac:dyDescent="0.25">
      <c r="A264" s="505" t="s">
        <v>1792</v>
      </c>
      <c r="B264" s="505" t="s">
        <v>1793</v>
      </c>
      <c r="C264" s="512" t="s">
        <v>7747</v>
      </c>
      <c r="D264" s="512" t="s">
        <v>7717</v>
      </c>
      <c r="E264" s="512" t="s">
        <v>7725</v>
      </c>
      <c r="F264" s="512" t="s">
        <v>7710</v>
      </c>
      <c r="G264" s="512" t="s">
        <v>7758</v>
      </c>
      <c r="H264" s="512" t="s">
        <v>7760</v>
      </c>
      <c r="L264" s="505" t="s">
        <v>114</v>
      </c>
      <c r="M264" s="516">
        <v>12.5</v>
      </c>
      <c r="N264" s="505" t="s">
        <v>114</v>
      </c>
    </row>
    <row r="265" spans="1:14" x14ac:dyDescent="0.25">
      <c r="A265" s="505" t="s">
        <v>1794</v>
      </c>
      <c r="B265" s="505" t="s">
        <v>1795</v>
      </c>
      <c r="C265" s="512" t="s">
        <v>7707</v>
      </c>
      <c r="D265" s="512" t="s">
        <v>7761</v>
      </c>
      <c r="E265" s="512" t="s">
        <v>7710</v>
      </c>
      <c r="F265" s="512" t="s">
        <v>7709</v>
      </c>
      <c r="G265" s="512" t="s">
        <v>7437</v>
      </c>
      <c r="L265" s="505" t="s">
        <v>1233</v>
      </c>
      <c r="M265" s="516">
        <v>29.45</v>
      </c>
      <c r="N265" s="505" t="s">
        <v>1233</v>
      </c>
    </row>
    <row r="266" spans="1:14" x14ac:dyDescent="0.25">
      <c r="A266" s="505" t="s">
        <v>1796</v>
      </c>
      <c r="B266" s="505" t="s">
        <v>1797</v>
      </c>
      <c r="C266" s="512" t="s">
        <v>7707</v>
      </c>
      <c r="D266" s="512" t="s">
        <v>7761</v>
      </c>
      <c r="E266" s="512" t="s">
        <v>7710</v>
      </c>
      <c r="F266" s="512" t="s">
        <v>7709</v>
      </c>
      <c r="G266" s="512" t="s">
        <v>7436</v>
      </c>
      <c r="L266" s="505" t="s">
        <v>1233</v>
      </c>
      <c r="M266" s="516">
        <v>29.45</v>
      </c>
      <c r="N266" s="505" t="s">
        <v>1233</v>
      </c>
    </row>
    <row r="267" spans="1:14" x14ac:dyDescent="0.25">
      <c r="A267" s="505" t="s">
        <v>1798</v>
      </c>
      <c r="B267" s="505" t="s">
        <v>1799</v>
      </c>
      <c r="C267" s="512" t="s">
        <v>7707</v>
      </c>
      <c r="D267" s="512" t="s">
        <v>7761</v>
      </c>
      <c r="E267" s="512" t="s">
        <v>7710</v>
      </c>
      <c r="F267" s="512" t="s">
        <v>7709</v>
      </c>
      <c r="G267" s="512" t="s">
        <v>7432</v>
      </c>
      <c r="L267" s="505" t="s">
        <v>1233</v>
      </c>
      <c r="M267" s="516">
        <v>29.45</v>
      </c>
      <c r="N267" s="505" t="s">
        <v>1233</v>
      </c>
    </row>
    <row r="268" spans="1:14" x14ac:dyDescent="0.25">
      <c r="A268" s="505" t="s">
        <v>1800</v>
      </c>
      <c r="B268" s="505" t="s">
        <v>1801</v>
      </c>
      <c r="C268" s="512" t="s">
        <v>7707</v>
      </c>
      <c r="D268" s="512" t="s">
        <v>7761</v>
      </c>
      <c r="E268" s="512" t="s">
        <v>7710</v>
      </c>
      <c r="F268" s="512" t="s">
        <v>7709</v>
      </c>
      <c r="G268" s="512" t="s">
        <v>7712</v>
      </c>
      <c r="L268" s="505" t="s">
        <v>1233</v>
      </c>
      <c r="M268" s="516">
        <v>29.45</v>
      </c>
      <c r="N268" s="505" t="s">
        <v>1233</v>
      </c>
    </row>
    <row r="269" spans="1:14" s="518" customFormat="1" x14ac:dyDescent="0.25">
      <c r="A269" s="518" t="s">
        <v>1802</v>
      </c>
      <c r="B269" s="518" t="s">
        <v>1803</v>
      </c>
      <c r="C269" s="519" t="s">
        <v>7762</v>
      </c>
      <c r="D269" s="519" t="s">
        <v>1012</v>
      </c>
      <c r="E269" s="519" t="s">
        <v>7763</v>
      </c>
      <c r="F269" s="519" t="s">
        <v>7764</v>
      </c>
      <c r="G269" s="519" t="s">
        <v>7765</v>
      </c>
      <c r="H269" s="519" t="s">
        <v>7575</v>
      </c>
      <c r="I269" s="519" t="s">
        <v>7766</v>
      </c>
      <c r="J269" s="518" t="s">
        <v>7767</v>
      </c>
      <c r="L269" s="518" t="s">
        <v>1233</v>
      </c>
      <c r="M269" s="520">
        <v>6.95</v>
      </c>
      <c r="N269" s="518" t="s">
        <v>1233</v>
      </c>
    </row>
    <row r="270" spans="1:14" s="518" customFormat="1" x14ac:dyDescent="0.25">
      <c r="A270" s="518" t="s">
        <v>1804</v>
      </c>
      <c r="B270" s="518" t="s">
        <v>1805</v>
      </c>
      <c r="C270" s="519" t="s">
        <v>7762</v>
      </c>
      <c r="D270" s="519" t="s">
        <v>1012</v>
      </c>
      <c r="E270" s="519" t="s">
        <v>7763</v>
      </c>
      <c r="F270" s="519" t="s">
        <v>7764</v>
      </c>
      <c r="G270" s="519" t="s">
        <v>7765</v>
      </c>
      <c r="H270" s="519" t="s">
        <v>148</v>
      </c>
      <c r="I270" s="519" t="s">
        <v>7767</v>
      </c>
      <c r="L270" s="518" t="s">
        <v>1233</v>
      </c>
      <c r="M270" s="520">
        <v>6.95</v>
      </c>
      <c r="N270" s="518" t="s">
        <v>1233</v>
      </c>
    </row>
    <row r="271" spans="1:14" s="518" customFormat="1" x14ac:dyDescent="0.25">
      <c r="A271" s="518" t="s">
        <v>1806</v>
      </c>
      <c r="B271" s="518" t="s">
        <v>1807</v>
      </c>
      <c r="C271" s="519" t="s">
        <v>7762</v>
      </c>
      <c r="D271" s="519" t="s">
        <v>1012</v>
      </c>
      <c r="E271" s="519" t="s">
        <v>7763</v>
      </c>
      <c r="F271" s="519" t="s">
        <v>7764</v>
      </c>
      <c r="G271" s="519" t="s">
        <v>7765</v>
      </c>
      <c r="H271" s="519" t="s">
        <v>7768</v>
      </c>
      <c r="I271" s="519" t="s">
        <v>7767</v>
      </c>
      <c r="L271" s="518" t="s">
        <v>1233</v>
      </c>
      <c r="M271" s="520">
        <v>6.95</v>
      </c>
      <c r="N271" s="518" t="s">
        <v>1233</v>
      </c>
    </row>
    <row r="272" spans="1:14" s="518" customFormat="1" x14ac:dyDescent="0.25">
      <c r="A272" s="518" t="s">
        <v>1808</v>
      </c>
      <c r="B272" s="518" t="s">
        <v>1809</v>
      </c>
      <c r="C272" s="519" t="s">
        <v>7762</v>
      </c>
      <c r="D272" s="519" t="s">
        <v>1012</v>
      </c>
      <c r="E272" s="519" t="s">
        <v>7763</v>
      </c>
      <c r="F272" s="519" t="s">
        <v>7764</v>
      </c>
      <c r="G272" s="519" t="s">
        <v>7765</v>
      </c>
      <c r="H272" s="519" t="s">
        <v>144</v>
      </c>
      <c r="I272" s="519" t="s">
        <v>7767</v>
      </c>
      <c r="L272" s="518" t="s">
        <v>1233</v>
      </c>
      <c r="M272" s="520">
        <v>6.95</v>
      </c>
      <c r="N272" s="518" t="s">
        <v>1233</v>
      </c>
    </row>
    <row r="273" spans="1:14" s="518" customFormat="1" x14ac:dyDescent="0.25">
      <c r="A273" s="518" t="s">
        <v>1810</v>
      </c>
      <c r="B273" s="518" t="s">
        <v>1811</v>
      </c>
      <c r="C273" s="519" t="s">
        <v>7762</v>
      </c>
      <c r="D273" s="519" t="s">
        <v>1012</v>
      </c>
      <c r="E273" s="519" t="s">
        <v>7763</v>
      </c>
      <c r="F273" s="519" t="s">
        <v>7764</v>
      </c>
      <c r="G273" s="519" t="s">
        <v>7765</v>
      </c>
      <c r="H273" s="519" t="s">
        <v>7769</v>
      </c>
      <c r="I273" s="519" t="s">
        <v>7767</v>
      </c>
      <c r="L273" s="518" t="s">
        <v>1233</v>
      </c>
      <c r="M273" s="520">
        <v>6.95</v>
      </c>
      <c r="N273" s="518" t="s">
        <v>1233</v>
      </c>
    </row>
    <row r="274" spans="1:14" s="518" customFormat="1" x14ac:dyDescent="0.25">
      <c r="A274" s="518" t="s">
        <v>1812</v>
      </c>
      <c r="B274" s="518" t="s">
        <v>1813</v>
      </c>
      <c r="C274" s="519" t="s">
        <v>7762</v>
      </c>
      <c r="D274" s="519" t="s">
        <v>1012</v>
      </c>
      <c r="E274" s="519" t="s">
        <v>7763</v>
      </c>
      <c r="F274" s="519" t="s">
        <v>7764</v>
      </c>
      <c r="G274" s="519" t="s">
        <v>7765</v>
      </c>
      <c r="H274" s="519" t="s">
        <v>477</v>
      </c>
      <c r="I274" s="519" t="s">
        <v>7767</v>
      </c>
      <c r="L274" s="518" t="s">
        <v>1233</v>
      </c>
      <c r="M274" s="520">
        <v>6.95</v>
      </c>
      <c r="N274" s="518" t="s">
        <v>1233</v>
      </c>
    </row>
    <row r="275" spans="1:14" s="518" customFormat="1" x14ac:dyDescent="0.25">
      <c r="A275" s="518" t="s">
        <v>1814</v>
      </c>
      <c r="B275" s="518" t="s">
        <v>1815</v>
      </c>
      <c r="C275" s="519" t="s">
        <v>7762</v>
      </c>
      <c r="D275" s="519" t="s">
        <v>1012</v>
      </c>
      <c r="E275" s="519" t="s">
        <v>7763</v>
      </c>
      <c r="F275" s="519" t="s">
        <v>7764</v>
      </c>
      <c r="G275" s="519" t="s">
        <v>7765</v>
      </c>
      <c r="H275" s="519" t="s">
        <v>7770</v>
      </c>
      <c r="I275" s="519" t="s">
        <v>7767</v>
      </c>
      <c r="L275" s="518" t="s">
        <v>1233</v>
      </c>
      <c r="M275" s="520">
        <v>6.95</v>
      </c>
      <c r="N275" s="518" t="s">
        <v>1233</v>
      </c>
    </row>
    <row r="276" spans="1:14" s="518" customFormat="1" x14ac:dyDescent="0.25">
      <c r="A276" s="518" t="s">
        <v>1816</v>
      </c>
      <c r="B276" s="518" t="s">
        <v>1817</v>
      </c>
      <c r="C276" s="519" t="s">
        <v>7762</v>
      </c>
      <c r="D276" s="519" t="s">
        <v>1012</v>
      </c>
      <c r="E276" s="519" t="s">
        <v>7763</v>
      </c>
      <c r="F276" s="519" t="s">
        <v>7764</v>
      </c>
      <c r="G276" s="519" t="s">
        <v>7765</v>
      </c>
      <c r="H276" s="519" t="s">
        <v>7771</v>
      </c>
      <c r="I276" s="519" t="s">
        <v>7767</v>
      </c>
      <c r="L276" s="518" t="s">
        <v>1233</v>
      </c>
      <c r="M276" s="520">
        <v>6.95</v>
      </c>
      <c r="N276" s="518" t="s">
        <v>1233</v>
      </c>
    </row>
    <row r="277" spans="1:14" s="518" customFormat="1" x14ac:dyDescent="0.25">
      <c r="A277" s="518" t="s">
        <v>1818</v>
      </c>
      <c r="B277" s="518" t="s">
        <v>1819</v>
      </c>
      <c r="C277" s="519" t="s">
        <v>7762</v>
      </c>
      <c r="D277" s="519" t="s">
        <v>1012</v>
      </c>
      <c r="E277" s="519" t="s">
        <v>7763</v>
      </c>
      <c r="F277" s="519" t="s">
        <v>7764</v>
      </c>
      <c r="G277" s="519" t="s">
        <v>7765</v>
      </c>
      <c r="H277" s="519" t="s">
        <v>7772</v>
      </c>
      <c r="I277" s="519" t="s">
        <v>7767</v>
      </c>
      <c r="L277" s="518" t="s">
        <v>1233</v>
      </c>
      <c r="M277" s="520">
        <v>6.95</v>
      </c>
      <c r="N277" s="518" t="s">
        <v>1233</v>
      </c>
    </row>
    <row r="278" spans="1:14" s="518" customFormat="1" x14ac:dyDescent="0.25">
      <c r="A278" s="518" t="s">
        <v>1820</v>
      </c>
      <c r="B278" s="518" t="s">
        <v>1821</v>
      </c>
      <c r="C278" s="519" t="s">
        <v>7762</v>
      </c>
      <c r="D278" s="519" t="s">
        <v>1012</v>
      </c>
      <c r="E278" s="519" t="s">
        <v>7763</v>
      </c>
      <c r="F278" s="519" t="s">
        <v>7764</v>
      </c>
      <c r="G278" s="519" t="s">
        <v>7765</v>
      </c>
      <c r="H278" s="519" t="s">
        <v>7773</v>
      </c>
      <c r="I278" s="519" t="s">
        <v>7767</v>
      </c>
      <c r="L278" s="518" t="s">
        <v>1233</v>
      </c>
      <c r="M278" s="520">
        <v>6.95</v>
      </c>
      <c r="N278" s="518" t="s">
        <v>1233</v>
      </c>
    </row>
    <row r="279" spans="1:14" s="518" customFormat="1" x14ac:dyDescent="0.25">
      <c r="A279" s="518" t="s">
        <v>1822</v>
      </c>
      <c r="B279" s="518" t="s">
        <v>1823</v>
      </c>
      <c r="C279" s="519" t="s">
        <v>7762</v>
      </c>
      <c r="D279" s="519" t="s">
        <v>1012</v>
      </c>
      <c r="E279" s="519" t="s">
        <v>7763</v>
      </c>
      <c r="F279" s="519" t="s">
        <v>7764</v>
      </c>
      <c r="G279" s="519" t="s">
        <v>7765</v>
      </c>
      <c r="H279" s="519" t="s">
        <v>524</v>
      </c>
      <c r="I279" s="519" t="s">
        <v>7767</v>
      </c>
      <c r="L279" s="518" t="s">
        <v>1233</v>
      </c>
      <c r="M279" s="520">
        <v>6.95</v>
      </c>
      <c r="N279" s="518" t="s">
        <v>1233</v>
      </c>
    </row>
    <row r="280" spans="1:14" s="518" customFormat="1" x14ac:dyDescent="0.25">
      <c r="A280" s="518" t="s">
        <v>1824</v>
      </c>
      <c r="B280" s="518" t="s">
        <v>1825</v>
      </c>
      <c r="C280" s="519" t="s">
        <v>7762</v>
      </c>
      <c r="D280" s="519" t="s">
        <v>1012</v>
      </c>
      <c r="E280" s="519" t="s">
        <v>7763</v>
      </c>
      <c r="F280" s="519" t="s">
        <v>7764</v>
      </c>
      <c r="G280" s="519" t="s">
        <v>7765</v>
      </c>
      <c r="H280" s="519" t="s">
        <v>363</v>
      </c>
      <c r="I280" s="519" t="s">
        <v>7767</v>
      </c>
      <c r="L280" s="518" t="s">
        <v>1233</v>
      </c>
      <c r="M280" s="520">
        <v>6.95</v>
      </c>
      <c r="N280" s="518" t="s">
        <v>1233</v>
      </c>
    </row>
    <row r="281" spans="1:14" s="518" customFormat="1" x14ac:dyDescent="0.25">
      <c r="A281" s="518" t="s">
        <v>1826</v>
      </c>
      <c r="B281" s="518" t="s">
        <v>1827</v>
      </c>
      <c r="C281" s="519" t="s">
        <v>7762</v>
      </c>
      <c r="D281" s="519" t="s">
        <v>1012</v>
      </c>
      <c r="E281" s="519" t="s">
        <v>7763</v>
      </c>
      <c r="F281" s="519" t="s">
        <v>7764</v>
      </c>
      <c r="G281" s="519" t="s">
        <v>7765</v>
      </c>
      <c r="H281" s="519" t="s">
        <v>7774</v>
      </c>
      <c r="I281" s="519" t="s">
        <v>7775</v>
      </c>
      <c r="J281" s="518" t="s">
        <v>7767</v>
      </c>
      <c r="L281" s="518" t="s">
        <v>1233</v>
      </c>
      <c r="M281" s="520">
        <v>6.95</v>
      </c>
      <c r="N281" s="518" t="s">
        <v>1233</v>
      </c>
    </row>
    <row r="282" spans="1:14" s="518" customFormat="1" x14ac:dyDescent="0.25">
      <c r="A282" s="518" t="s">
        <v>1828</v>
      </c>
      <c r="B282" s="518" t="s">
        <v>1829</v>
      </c>
      <c r="C282" s="519" t="s">
        <v>7762</v>
      </c>
      <c r="D282" s="519" t="s">
        <v>1012</v>
      </c>
      <c r="E282" s="519" t="s">
        <v>7763</v>
      </c>
      <c r="F282" s="519" t="s">
        <v>7764</v>
      </c>
      <c r="G282" s="519" t="s">
        <v>7765</v>
      </c>
      <c r="H282" s="519" t="s">
        <v>7776</v>
      </c>
      <c r="I282" s="519" t="s">
        <v>7767</v>
      </c>
      <c r="L282" s="518" t="s">
        <v>1233</v>
      </c>
      <c r="M282" s="520">
        <v>6.95</v>
      </c>
      <c r="N282" s="518" t="s">
        <v>1233</v>
      </c>
    </row>
    <row r="283" spans="1:14" s="518" customFormat="1" x14ac:dyDescent="0.25">
      <c r="A283" s="518" t="s">
        <v>1830</v>
      </c>
      <c r="B283" s="518" t="s">
        <v>1831</v>
      </c>
      <c r="C283" s="519" t="s">
        <v>7762</v>
      </c>
      <c r="D283" s="519" t="s">
        <v>1012</v>
      </c>
      <c r="E283" s="519" t="s">
        <v>7763</v>
      </c>
      <c r="F283" s="519" t="s">
        <v>7764</v>
      </c>
      <c r="G283" s="519" t="s">
        <v>7765</v>
      </c>
      <c r="H283" s="519" t="s">
        <v>133</v>
      </c>
      <c r="I283" s="519" t="s">
        <v>7767</v>
      </c>
      <c r="L283" s="518" t="s">
        <v>1233</v>
      </c>
      <c r="M283" s="520">
        <v>6.95</v>
      </c>
      <c r="N283" s="518" t="s">
        <v>1233</v>
      </c>
    </row>
    <row r="284" spans="1:14" s="518" customFormat="1" x14ac:dyDescent="0.25">
      <c r="A284" s="518" t="s">
        <v>1832</v>
      </c>
      <c r="B284" s="518" t="s">
        <v>1833</v>
      </c>
      <c r="C284" s="519" t="s">
        <v>7762</v>
      </c>
      <c r="D284" s="519" t="s">
        <v>1012</v>
      </c>
      <c r="E284" s="519" t="s">
        <v>7763</v>
      </c>
      <c r="F284" s="519" t="s">
        <v>7764</v>
      </c>
      <c r="G284" s="519" t="s">
        <v>7765</v>
      </c>
      <c r="H284" s="519" t="s">
        <v>7777</v>
      </c>
      <c r="I284" s="519" t="s">
        <v>7778</v>
      </c>
      <c r="J284" s="518" t="s">
        <v>7767</v>
      </c>
      <c r="L284" s="518" t="s">
        <v>1233</v>
      </c>
      <c r="M284" s="520">
        <v>6.95</v>
      </c>
      <c r="N284" s="518" t="s">
        <v>1233</v>
      </c>
    </row>
    <row r="285" spans="1:14" s="518" customFormat="1" x14ac:dyDescent="0.25">
      <c r="A285" s="518" t="s">
        <v>1834</v>
      </c>
      <c r="B285" s="518" t="s">
        <v>1835</v>
      </c>
      <c r="C285" s="519" t="s">
        <v>7762</v>
      </c>
      <c r="D285" s="519" t="s">
        <v>1012</v>
      </c>
      <c r="E285" s="519" t="s">
        <v>7763</v>
      </c>
      <c r="F285" s="519" t="s">
        <v>7764</v>
      </c>
      <c r="G285" s="519" t="s">
        <v>7765</v>
      </c>
      <c r="H285" s="519" t="s">
        <v>510</v>
      </c>
      <c r="I285" s="519" t="s">
        <v>7767</v>
      </c>
      <c r="L285" s="518" t="s">
        <v>1233</v>
      </c>
      <c r="M285" s="520">
        <v>6.95</v>
      </c>
      <c r="N285" s="518" t="s">
        <v>1233</v>
      </c>
    </row>
    <row r="286" spans="1:14" s="518" customFormat="1" x14ac:dyDescent="0.25">
      <c r="A286" s="518" t="s">
        <v>1836</v>
      </c>
      <c r="B286" s="518" t="s">
        <v>1837</v>
      </c>
      <c r="C286" s="519" t="s">
        <v>7762</v>
      </c>
      <c r="D286" s="519" t="s">
        <v>1012</v>
      </c>
      <c r="E286" s="519" t="s">
        <v>7763</v>
      </c>
      <c r="F286" s="519" t="s">
        <v>7764</v>
      </c>
      <c r="G286" s="519" t="s">
        <v>7765</v>
      </c>
      <c r="H286" s="519" t="s">
        <v>7779</v>
      </c>
      <c r="I286" s="519" t="s">
        <v>7767</v>
      </c>
      <c r="L286" s="518" t="s">
        <v>1233</v>
      </c>
      <c r="M286" s="520">
        <v>6.95</v>
      </c>
      <c r="N286" s="518" t="s">
        <v>1233</v>
      </c>
    </row>
    <row r="287" spans="1:14" s="518" customFormat="1" x14ac:dyDescent="0.25">
      <c r="A287" s="518" t="s">
        <v>1838</v>
      </c>
      <c r="B287" s="518" t="s">
        <v>1839</v>
      </c>
      <c r="C287" s="519" t="s">
        <v>7762</v>
      </c>
      <c r="D287" s="519" t="s">
        <v>1012</v>
      </c>
      <c r="E287" s="519" t="s">
        <v>7763</v>
      </c>
      <c r="F287" s="519" t="s">
        <v>7764</v>
      </c>
      <c r="G287" s="519" t="s">
        <v>7765</v>
      </c>
      <c r="H287" s="519" t="s">
        <v>511</v>
      </c>
      <c r="I287" s="519" t="s">
        <v>7767</v>
      </c>
      <c r="L287" s="518" t="s">
        <v>1233</v>
      </c>
      <c r="M287" s="520">
        <v>6.95</v>
      </c>
      <c r="N287" s="518" t="s">
        <v>1233</v>
      </c>
    </row>
    <row r="288" spans="1:14" s="518" customFormat="1" x14ac:dyDescent="0.25">
      <c r="A288" s="518" t="s">
        <v>1840</v>
      </c>
      <c r="B288" s="518" t="s">
        <v>1841</v>
      </c>
      <c r="C288" s="519" t="s">
        <v>7762</v>
      </c>
      <c r="D288" s="519" t="s">
        <v>1012</v>
      </c>
      <c r="E288" s="519" t="s">
        <v>7763</v>
      </c>
      <c r="F288" s="519" t="s">
        <v>7764</v>
      </c>
      <c r="G288" s="519" t="s">
        <v>7765</v>
      </c>
      <c r="H288" s="519" t="s">
        <v>137</v>
      </c>
      <c r="I288" s="519" t="s">
        <v>7767</v>
      </c>
      <c r="L288" s="518" t="s">
        <v>1233</v>
      </c>
      <c r="M288" s="520">
        <v>6.95</v>
      </c>
      <c r="N288" s="518" t="s">
        <v>1233</v>
      </c>
    </row>
    <row r="289" spans="1:14" x14ac:dyDescent="0.25">
      <c r="A289" s="505" t="s">
        <v>1842</v>
      </c>
      <c r="B289" s="505" t="s">
        <v>1843</v>
      </c>
      <c r="C289" s="512" t="s">
        <v>7780</v>
      </c>
      <c r="D289" s="512" t="s">
        <v>7781</v>
      </c>
      <c r="E289" s="512" t="s">
        <v>7782</v>
      </c>
      <c r="F289" s="512" t="s">
        <v>7575</v>
      </c>
      <c r="G289" s="512" t="s">
        <v>7783</v>
      </c>
      <c r="H289" s="512" t="s">
        <v>7784</v>
      </c>
      <c r="I289" s="512" t="s">
        <v>7785</v>
      </c>
      <c r="L289" s="505" t="s">
        <v>1233</v>
      </c>
      <c r="M289" s="516">
        <v>6.28</v>
      </c>
      <c r="N289" s="505" t="s">
        <v>1233</v>
      </c>
    </row>
    <row r="290" spans="1:14" x14ac:dyDescent="0.25">
      <c r="A290" s="505" t="s">
        <v>1844</v>
      </c>
      <c r="B290" s="505" t="s">
        <v>1845</v>
      </c>
      <c r="C290" s="512" t="s">
        <v>7780</v>
      </c>
      <c r="D290" s="512" t="s">
        <v>7781</v>
      </c>
      <c r="E290" s="512" t="s">
        <v>7782</v>
      </c>
      <c r="F290" s="512" t="s">
        <v>148</v>
      </c>
      <c r="G290" s="512" t="s">
        <v>7784</v>
      </c>
      <c r="H290" s="512" t="s">
        <v>7785</v>
      </c>
      <c r="L290" s="505" t="s">
        <v>1233</v>
      </c>
      <c r="M290" s="516">
        <v>6.28</v>
      </c>
      <c r="N290" s="505" t="s">
        <v>1233</v>
      </c>
    </row>
    <row r="291" spans="1:14" x14ac:dyDescent="0.25">
      <c r="A291" s="505" t="s">
        <v>1846</v>
      </c>
      <c r="B291" s="505" t="s">
        <v>1847</v>
      </c>
      <c r="C291" s="512" t="s">
        <v>7780</v>
      </c>
      <c r="D291" s="512" t="s">
        <v>7781</v>
      </c>
      <c r="E291" s="512" t="s">
        <v>7782</v>
      </c>
      <c r="F291" s="512" t="s">
        <v>7786</v>
      </c>
      <c r="G291" s="512" t="s">
        <v>7784</v>
      </c>
      <c r="H291" s="512" t="s">
        <v>7785</v>
      </c>
      <c r="L291" s="505" t="s">
        <v>1233</v>
      </c>
      <c r="M291" s="516">
        <v>6.28</v>
      </c>
      <c r="N291" s="505" t="s">
        <v>1233</v>
      </c>
    </row>
    <row r="292" spans="1:14" x14ac:dyDescent="0.25">
      <c r="A292" s="505" t="s">
        <v>1848</v>
      </c>
      <c r="B292" s="505" t="s">
        <v>1849</v>
      </c>
      <c r="C292" s="512" t="s">
        <v>7780</v>
      </c>
      <c r="D292" s="512" t="s">
        <v>7781</v>
      </c>
      <c r="E292" s="512" t="s">
        <v>7782</v>
      </c>
      <c r="F292" s="512" t="s">
        <v>144</v>
      </c>
      <c r="G292" s="512" t="s">
        <v>7784</v>
      </c>
      <c r="H292" s="512" t="s">
        <v>7785</v>
      </c>
      <c r="L292" s="505" t="s">
        <v>1233</v>
      </c>
      <c r="M292" s="516">
        <v>6.28</v>
      </c>
      <c r="N292" s="505" t="s">
        <v>1233</v>
      </c>
    </row>
    <row r="293" spans="1:14" x14ac:dyDescent="0.25">
      <c r="A293" s="505" t="s">
        <v>1850</v>
      </c>
      <c r="B293" s="505" t="s">
        <v>1851</v>
      </c>
      <c r="C293" s="512" t="s">
        <v>7780</v>
      </c>
      <c r="D293" s="512" t="s">
        <v>7781</v>
      </c>
      <c r="E293" s="512" t="s">
        <v>7782</v>
      </c>
      <c r="F293" s="512" t="s">
        <v>143</v>
      </c>
      <c r="G293" s="512" t="s">
        <v>7784</v>
      </c>
      <c r="H293" s="512" t="s">
        <v>7785</v>
      </c>
      <c r="L293" s="505" t="s">
        <v>1233</v>
      </c>
      <c r="M293" s="516">
        <v>6.28</v>
      </c>
      <c r="N293" s="505" t="s">
        <v>1233</v>
      </c>
    </row>
    <row r="294" spans="1:14" x14ac:dyDescent="0.25">
      <c r="A294" s="505" t="s">
        <v>1852</v>
      </c>
      <c r="B294" s="505" t="s">
        <v>1853</v>
      </c>
      <c r="C294" s="512" t="s">
        <v>7780</v>
      </c>
      <c r="D294" s="512" t="s">
        <v>7781</v>
      </c>
      <c r="E294" s="512" t="s">
        <v>7782</v>
      </c>
      <c r="F294" s="512" t="s">
        <v>477</v>
      </c>
      <c r="G294" s="512" t="s">
        <v>7784</v>
      </c>
      <c r="H294" s="512" t="s">
        <v>7785</v>
      </c>
      <c r="L294" s="505" t="s">
        <v>1233</v>
      </c>
      <c r="M294" s="516">
        <v>6.28</v>
      </c>
      <c r="N294" s="505" t="s">
        <v>1233</v>
      </c>
    </row>
    <row r="295" spans="1:14" x14ac:dyDescent="0.25">
      <c r="A295" s="505" t="s">
        <v>1854</v>
      </c>
      <c r="B295" s="505" t="s">
        <v>1855</v>
      </c>
      <c r="C295" s="512" t="s">
        <v>7780</v>
      </c>
      <c r="D295" s="512" t="s">
        <v>7781</v>
      </c>
      <c r="E295" s="512" t="s">
        <v>7782</v>
      </c>
      <c r="F295" s="512" t="s">
        <v>7787</v>
      </c>
      <c r="G295" s="512" t="s">
        <v>7784</v>
      </c>
      <c r="H295" s="512" t="s">
        <v>7785</v>
      </c>
      <c r="L295" s="505" t="s">
        <v>1233</v>
      </c>
      <c r="M295" s="516">
        <v>6.28</v>
      </c>
      <c r="N295" s="505" t="s">
        <v>1233</v>
      </c>
    </row>
    <row r="296" spans="1:14" x14ac:dyDescent="0.25">
      <c r="A296" s="505" t="s">
        <v>1856</v>
      </c>
      <c r="B296" s="505" t="s">
        <v>1857</v>
      </c>
      <c r="C296" s="512" t="s">
        <v>7780</v>
      </c>
      <c r="D296" s="512" t="s">
        <v>7781</v>
      </c>
      <c r="E296" s="512" t="s">
        <v>7782</v>
      </c>
      <c r="F296" s="512" t="s">
        <v>7788</v>
      </c>
      <c r="G296" s="512" t="s">
        <v>7783</v>
      </c>
      <c r="H296" s="512" t="s">
        <v>7784</v>
      </c>
      <c r="I296" s="512" t="s">
        <v>7785</v>
      </c>
      <c r="L296" s="505" t="s">
        <v>1233</v>
      </c>
      <c r="M296" s="516">
        <v>6.28</v>
      </c>
      <c r="N296" s="505" t="s">
        <v>1233</v>
      </c>
    </row>
    <row r="297" spans="1:14" x14ac:dyDescent="0.25">
      <c r="A297" s="505" t="s">
        <v>1858</v>
      </c>
      <c r="B297" s="505" t="s">
        <v>1859</v>
      </c>
      <c r="C297" s="512" t="s">
        <v>7780</v>
      </c>
      <c r="D297" s="512" t="s">
        <v>7781</v>
      </c>
      <c r="E297" s="512" t="s">
        <v>7782</v>
      </c>
      <c r="F297" s="512" t="s">
        <v>7789</v>
      </c>
      <c r="G297" s="512" t="s">
        <v>7784</v>
      </c>
      <c r="H297" s="512" t="s">
        <v>7785</v>
      </c>
      <c r="L297" s="505" t="s">
        <v>1233</v>
      </c>
      <c r="M297" s="516">
        <v>6.28</v>
      </c>
      <c r="N297" s="505" t="s">
        <v>1233</v>
      </c>
    </row>
    <row r="298" spans="1:14" x14ac:dyDescent="0.25">
      <c r="A298" s="505" t="s">
        <v>1860</v>
      </c>
      <c r="B298" s="505" t="s">
        <v>1861</v>
      </c>
      <c r="C298" s="512" t="s">
        <v>7780</v>
      </c>
      <c r="D298" s="512" t="s">
        <v>7781</v>
      </c>
      <c r="E298" s="512" t="s">
        <v>7782</v>
      </c>
      <c r="F298" s="512" t="s">
        <v>7790</v>
      </c>
      <c r="G298" s="512" t="s">
        <v>7784</v>
      </c>
      <c r="H298" s="512" t="s">
        <v>7785</v>
      </c>
      <c r="L298" s="505" t="s">
        <v>1233</v>
      </c>
      <c r="M298" s="516">
        <v>6.28</v>
      </c>
      <c r="N298" s="505" t="s">
        <v>1233</v>
      </c>
    </row>
    <row r="299" spans="1:14" x14ac:dyDescent="0.25">
      <c r="A299" s="505" t="s">
        <v>1862</v>
      </c>
      <c r="B299" s="505" t="s">
        <v>1863</v>
      </c>
      <c r="C299" s="512" t="s">
        <v>7780</v>
      </c>
      <c r="D299" s="512" t="s">
        <v>7781</v>
      </c>
      <c r="E299" s="512" t="s">
        <v>7782</v>
      </c>
      <c r="F299" s="512" t="s">
        <v>524</v>
      </c>
      <c r="G299" s="512" t="s">
        <v>7784</v>
      </c>
      <c r="H299" s="512" t="s">
        <v>7785</v>
      </c>
      <c r="L299" s="505" t="s">
        <v>1233</v>
      </c>
      <c r="M299" s="516">
        <v>6.28</v>
      </c>
      <c r="N299" s="505" t="s">
        <v>1233</v>
      </c>
    </row>
    <row r="300" spans="1:14" x14ac:dyDescent="0.25">
      <c r="A300" s="505" t="s">
        <v>1864</v>
      </c>
      <c r="B300" s="505" t="s">
        <v>1865</v>
      </c>
      <c r="C300" s="512" t="s">
        <v>7780</v>
      </c>
      <c r="D300" s="512" t="s">
        <v>7781</v>
      </c>
      <c r="E300" s="512" t="s">
        <v>7782</v>
      </c>
      <c r="F300" s="512" t="s">
        <v>363</v>
      </c>
      <c r="G300" s="512" t="s">
        <v>7784</v>
      </c>
      <c r="H300" s="512" t="s">
        <v>7785</v>
      </c>
      <c r="L300" s="505" t="s">
        <v>1233</v>
      </c>
      <c r="M300" s="516">
        <v>6.28</v>
      </c>
      <c r="N300" s="505" t="s">
        <v>1233</v>
      </c>
    </row>
    <row r="301" spans="1:14" x14ac:dyDescent="0.25">
      <c r="A301" s="505" t="s">
        <v>1866</v>
      </c>
      <c r="B301" s="505" t="s">
        <v>1867</v>
      </c>
      <c r="C301" s="512" t="s">
        <v>7780</v>
      </c>
      <c r="D301" s="512" t="s">
        <v>7781</v>
      </c>
      <c r="E301" s="512" t="s">
        <v>7782</v>
      </c>
      <c r="F301" s="512" t="s">
        <v>7791</v>
      </c>
      <c r="G301" s="512" t="s">
        <v>7775</v>
      </c>
      <c r="H301" s="512" t="s">
        <v>7784</v>
      </c>
      <c r="I301" s="512" t="s">
        <v>7785</v>
      </c>
      <c r="L301" s="505" t="s">
        <v>1233</v>
      </c>
      <c r="M301" s="516">
        <v>6.28</v>
      </c>
      <c r="N301" s="505" t="s">
        <v>1233</v>
      </c>
    </row>
    <row r="302" spans="1:14" x14ac:dyDescent="0.25">
      <c r="A302" s="505" t="s">
        <v>1868</v>
      </c>
      <c r="B302" s="505" t="s">
        <v>1869</v>
      </c>
      <c r="C302" s="512" t="s">
        <v>7780</v>
      </c>
      <c r="D302" s="512" t="s">
        <v>7781</v>
      </c>
      <c r="E302" s="512" t="s">
        <v>7782</v>
      </c>
      <c r="F302" s="512" t="s">
        <v>7792</v>
      </c>
      <c r="G302" s="512" t="s">
        <v>7784</v>
      </c>
      <c r="H302" s="512" t="s">
        <v>7785</v>
      </c>
      <c r="L302" s="505" t="s">
        <v>1233</v>
      </c>
      <c r="M302" s="516">
        <v>6.28</v>
      </c>
      <c r="N302" s="505" t="s">
        <v>1233</v>
      </c>
    </row>
    <row r="303" spans="1:14" x14ac:dyDescent="0.25">
      <c r="A303" s="505" t="s">
        <v>1870</v>
      </c>
      <c r="B303" s="505" t="s">
        <v>1871</v>
      </c>
      <c r="C303" s="512" t="s">
        <v>7780</v>
      </c>
      <c r="D303" s="512" t="s">
        <v>7781</v>
      </c>
      <c r="E303" s="512" t="s">
        <v>7782</v>
      </c>
      <c r="F303" s="512" t="s">
        <v>133</v>
      </c>
      <c r="G303" s="512" t="s">
        <v>7784</v>
      </c>
      <c r="H303" s="512" t="s">
        <v>7785</v>
      </c>
      <c r="L303" s="505" t="s">
        <v>1233</v>
      </c>
      <c r="M303" s="516">
        <v>6.28</v>
      </c>
      <c r="N303" s="505" t="s">
        <v>1233</v>
      </c>
    </row>
    <row r="304" spans="1:14" x14ac:dyDescent="0.25">
      <c r="A304" s="505" t="s">
        <v>1872</v>
      </c>
      <c r="B304" s="505" t="s">
        <v>1873</v>
      </c>
      <c r="C304" s="512" t="s">
        <v>7780</v>
      </c>
      <c r="D304" s="512" t="s">
        <v>7781</v>
      </c>
      <c r="E304" s="512" t="s">
        <v>7782</v>
      </c>
      <c r="F304" s="512" t="s">
        <v>7777</v>
      </c>
      <c r="G304" s="512" t="s">
        <v>477</v>
      </c>
      <c r="H304" s="512" t="s">
        <v>7784</v>
      </c>
      <c r="I304" s="512" t="s">
        <v>7785</v>
      </c>
      <c r="L304" s="505" t="s">
        <v>1233</v>
      </c>
      <c r="M304" s="516">
        <v>6.28</v>
      </c>
      <c r="N304" s="505" t="s">
        <v>1233</v>
      </c>
    </row>
    <row r="305" spans="1:14" x14ac:dyDescent="0.25">
      <c r="A305" s="505" t="s">
        <v>1874</v>
      </c>
      <c r="B305" s="505" t="s">
        <v>1875</v>
      </c>
      <c r="C305" s="512" t="s">
        <v>7780</v>
      </c>
      <c r="D305" s="512" t="s">
        <v>7781</v>
      </c>
      <c r="E305" s="512" t="s">
        <v>7782</v>
      </c>
      <c r="F305" s="512" t="s">
        <v>510</v>
      </c>
      <c r="G305" s="512" t="s">
        <v>7784</v>
      </c>
      <c r="H305" s="512" t="s">
        <v>7785</v>
      </c>
      <c r="L305" s="505" t="s">
        <v>1233</v>
      </c>
      <c r="M305" s="516">
        <v>6.28</v>
      </c>
      <c r="N305" s="505" t="s">
        <v>1233</v>
      </c>
    </row>
    <row r="306" spans="1:14" x14ac:dyDescent="0.25">
      <c r="A306" s="505" t="s">
        <v>1876</v>
      </c>
      <c r="B306" s="505" t="s">
        <v>1877</v>
      </c>
      <c r="C306" s="512" t="s">
        <v>7780</v>
      </c>
      <c r="D306" s="512" t="s">
        <v>7781</v>
      </c>
      <c r="E306" s="512" t="s">
        <v>7782</v>
      </c>
      <c r="F306" s="512" t="s">
        <v>7793</v>
      </c>
      <c r="G306" s="512" t="s">
        <v>7766</v>
      </c>
      <c r="H306" s="512" t="s">
        <v>7784</v>
      </c>
      <c r="I306" s="512" t="s">
        <v>7785</v>
      </c>
      <c r="L306" s="505" t="s">
        <v>1233</v>
      </c>
      <c r="M306" s="516">
        <v>6.28</v>
      </c>
      <c r="N306" s="505" t="s">
        <v>1233</v>
      </c>
    </row>
    <row r="307" spans="1:14" x14ac:dyDescent="0.25">
      <c r="A307" s="505" t="s">
        <v>1878</v>
      </c>
      <c r="B307" s="505" t="s">
        <v>1879</v>
      </c>
      <c r="C307" s="512" t="s">
        <v>7780</v>
      </c>
      <c r="D307" s="512" t="s">
        <v>7781</v>
      </c>
      <c r="E307" s="512" t="s">
        <v>7782</v>
      </c>
      <c r="F307" s="512" t="s">
        <v>511</v>
      </c>
      <c r="G307" s="512" t="s">
        <v>7784</v>
      </c>
      <c r="H307" s="512" t="s">
        <v>7785</v>
      </c>
      <c r="L307" s="505" t="s">
        <v>1233</v>
      </c>
      <c r="M307" s="516">
        <v>6.28</v>
      </c>
      <c r="N307" s="505" t="s">
        <v>1233</v>
      </c>
    </row>
    <row r="308" spans="1:14" x14ac:dyDescent="0.25">
      <c r="A308" s="505" t="s">
        <v>1880</v>
      </c>
      <c r="B308" s="505" t="s">
        <v>1881</v>
      </c>
      <c r="C308" s="512" t="s">
        <v>7780</v>
      </c>
      <c r="D308" s="512" t="s">
        <v>7781</v>
      </c>
      <c r="E308" s="512" t="s">
        <v>7782</v>
      </c>
      <c r="F308" s="512" t="s">
        <v>137</v>
      </c>
      <c r="G308" s="512" t="s">
        <v>7784</v>
      </c>
      <c r="H308" s="512" t="s">
        <v>7785</v>
      </c>
      <c r="L308" s="505" t="s">
        <v>1233</v>
      </c>
      <c r="M308" s="516">
        <v>6.28</v>
      </c>
      <c r="N308" s="505" t="s">
        <v>1233</v>
      </c>
    </row>
    <row r="309" spans="1:14" x14ac:dyDescent="0.25">
      <c r="A309" s="505" t="s">
        <v>1882</v>
      </c>
      <c r="B309" s="505" t="s">
        <v>1883</v>
      </c>
      <c r="C309" s="512" t="s">
        <v>7762</v>
      </c>
      <c r="D309" s="512" t="s">
        <v>7794</v>
      </c>
      <c r="E309" s="512" t="s">
        <v>1041</v>
      </c>
      <c r="F309" s="512" t="s">
        <v>7562</v>
      </c>
      <c r="G309" s="512" t="s">
        <v>7765</v>
      </c>
      <c r="H309" s="512" t="s">
        <v>7795</v>
      </c>
      <c r="L309" s="505" t="s">
        <v>1233</v>
      </c>
      <c r="M309" s="516">
        <v>6.95</v>
      </c>
      <c r="N309" s="505" t="s">
        <v>1233</v>
      </c>
    </row>
    <row r="310" spans="1:14" x14ac:dyDescent="0.25">
      <c r="A310" s="505" t="s">
        <v>1884</v>
      </c>
      <c r="B310" s="505" t="s">
        <v>1885</v>
      </c>
      <c r="C310" s="512" t="s">
        <v>7762</v>
      </c>
      <c r="D310" s="512" t="s">
        <v>7794</v>
      </c>
      <c r="E310" s="512" t="s">
        <v>1041</v>
      </c>
      <c r="F310" s="512" t="s">
        <v>7562</v>
      </c>
      <c r="G310" s="512" t="s">
        <v>7765</v>
      </c>
      <c r="H310" s="512" t="s">
        <v>7721</v>
      </c>
      <c r="I310" s="512" t="s">
        <v>7767</v>
      </c>
      <c r="L310" s="505" t="s">
        <v>1233</v>
      </c>
      <c r="M310" s="516">
        <v>6.95</v>
      </c>
      <c r="N310" s="505" t="s">
        <v>1233</v>
      </c>
    </row>
    <row r="311" spans="1:14" x14ac:dyDescent="0.25">
      <c r="A311" s="505" t="s">
        <v>1886</v>
      </c>
      <c r="B311" s="505" t="s">
        <v>1887</v>
      </c>
      <c r="C311" s="512" t="s">
        <v>7796</v>
      </c>
      <c r="D311" s="512" t="s">
        <v>7743</v>
      </c>
      <c r="E311" s="512" t="s">
        <v>7797</v>
      </c>
      <c r="F311" s="512" t="s">
        <v>7798</v>
      </c>
      <c r="G311" s="512" t="s">
        <v>7799</v>
      </c>
      <c r="H311" s="512" t="s">
        <v>7719</v>
      </c>
      <c r="L311" s="505" t="s">
        <v>1233</v>
      </c>
      <c r="M311" s="516">
        <v>6.28</v>
      </c>
      <c r="N311" s="505" t="s">
        <v>1233</v>
      </c>
    </row>
    <row r="312" spans="1:14" x14ac:dyDescent="0.25">
      <c r="A312" s="505" t="s">
        <v>1888</v>
      </c>
      <c r="B312" s="505" t="s">
        <v>1889</v>
      </c>
      <c r="C312" s="512" t="s">
        <v>7796</v>
      </c>
      <c r="D312" s="512" t="s">
        <v>7743</v>
      </c>
      <c r="E312" s="512" t="s">
        <v>7797</v>
      </c>
      <c r="F312" s="512" t="s">
        <v>7437</v>
      </c>
      <c r="G312" s="512" t="s">
        <v>7719</v>
      </c>
      <c r="L312" s="505" t="s">
        <v>1233</v>
      </c>
      <c r="M312" s="516">
        <v>6.28</v>
      </c>
      <c r="N312" s="505" t="s">
        <v>1233</v>
      </c>
    </row>
    <row r="313" spans="1:14" x14ac:dyDescent="0.25">
      <c r="A313" s="505" t="s">
        <v>1890</v>
      </c>
      <c r="B313" s="505" t="s">
        <v>1891</v>
      </c>
      <c r="C313" s="512" t="s">
        <v>7796</v>
      </c>
      <c r="D313" s="512" t="s">
        <v>7743</v>
      </c>
      <c r="E313" s="512" t="s">
        <v>7797</v>
      </c>
      <c r="F313" s="512" t="s">
        <v>7447</v>
      </c>
      <c r="G313" s="512" t="s">
        <v>7719</v>
      </c>
      <c r="L313" s="505" t="s">
        <v>1233</v>
      </c>
      <c r="M313" s="516">
        <v>6.28</v>
      </c>
      <c r="N313" s="505" t="s">
        <v>1233</v>
      </c>
    </row>
    <row r="314" spans="1:14" x14ac:dyDescent="0.25">
      <c r="A314" s="505" t="s">
        <v>1892</v>
      </c>
      <c r="B314" s="505" t="s">
        <v>1893</v>
      </c>
      <c r="C314" s="512" t="s">
        <v>7796</v>
      </c>
      <c r="D314" s="512" t="s">
        <v>7743</v>
      </c>
      <c r="E314" s="512" t="s">
        <v>7797</v>
      </c>
      <c r="F314" s="512" t="s">
        <v>7800</v>
      </c>
      <c r="G314" s="512" t="s">
        <v>7719</v>
      </c>
      <c r="L314" s="505" t="s">
        <v>1233</v>
      </c>
      <c r="M314" s="516">
        <v>6.28</v>
      </c>
      <c r="N314" s="505" t="s">
        <v>1233</v>
      </c>
    </row>
    <row r="315" spans="1:14" x14ac:dyDescent="0.25">
      <c r="A315" s="505" t="s">
        <v>1894</v>
      </c>
      <c r="B315" s="505" t="s">
        <v>1895</v>
      </c>
      <c r="C315" s="512" t="s">
        <v>7796</v>
      </c>
      <c r="D315" s="512" t="s">
        <v>7743</v>
      </c>
      <c r="E315" s="512" t="s">
        <v>7797</v>
      </c>
      <c r="F315" s="512" t="s">
        <v>7801</v>
      </c>
      <c r="G315" s="512" t="s">
        <v>7719</v>
      </c>
      <c r="L315" s="505" t="s">
        <v>1233</v>
      </c>
      <c r="M315" s="516">
        <v>6.28</v>
      </c>
      <c r="N315" s="505" t="s">
        <v>1233</v>
      </c>
    </row>
    <row r="316" spans="1:14" x14ac:dyDescent="0.25">
      <c r="A316" s="505" t="s">
        <v>1896</v>
      </c>
      <c r="B316" s="505" t="s">
        <v>1897</v>
      </c>
      <c r="C316" s="512" t="s">
        <v>7796</v>
      </c>
      <c r="D316" s="512" t="s">
        <v>7743</v>
      </c>
      <c r="E316" s="512" t="s">
        <v>7797</v>
      </c>
      <c r="F316" s="512" t="s">
        <v>7802</v>
      </c>
      <c r="G316" s="512" t="s">
        <v>7719</v>
      </c>
      <c r="L316" s="505" t="s">
        <v>1233</v>
      </c>
      <c r="M316" s="516">
        <v>7.11</v>
      </c>
      <c r="N316" s="505" t="s">
        <v>1233</v>
      </c>
    </row>
    <row r="317" spans="1:14" x14ac:dyDescent="0.25">
      <c r="A317" s="505" t="s">
        <v>1898</v>
      </c>
      <c r="B317" s="505" t="s">
        <v>1899</v>
      </c>
      <c r="C317" s="512" t="s">
        <v>7796</v>
      </c>
      <c r="D317" s="512" t="s">
        <v>7743</v>
      </c>
      <c r="E317" s="512" t="s">
        <v>7797</v>
      </c>
      <c r="F317" s="512" t="s">
        <v>7803</v>
      </c>
      <c r="G317" s="512" t="s">
        <v>7719</v>
      </c>
      <c r="L317" s="505" t="s">
        <v>1233</v>
      </c>
      <c r="M317" s="516">
        <v>6.28</v>
      </c>
      <c r="N317" s="505" t="s">
        <v>1233</v>
      </c>
    </row>
    <row r="318" spans="1:14" x14ac:dyDescent="0.25">
      <c r="A318" s="505" t="s">
        <v>1900</v>
      </c>
      <c r="B318" s="505" t="s">
        <v>1901</v>
      </c>
      <c r="C318" s="512" t="s">
        <v>7796</v>
      </c>
      <c r="D318" s="512" t="s">
        <v>7743</v>
      </c>
      <c r="E318" s="512" t="s">
        <v>7797</v>
      </c>
      <c r="F318" s="512" t="s">
        <v>7804</v>
      </c>
      <c r="G318" s="512" t="s">
        <v>7719</v>
      </c>
      <c r="L318" s="505" t="s">
        <v>1233</v>
      </c>
      <c r="M318" s="516">
        <v>7.11</v>
      </c>
      <c r="N318" s="505" t="s">
        <v>1233</v>
      </c>
    </row>
    <row r="319" spans="1:14" s="530" customFormat="1" x14ac:dyDescent="0.25">
      <c r="A319" s="530" t="s">
        <v>1902</v>
      </c>
      <c r="B319" s="530" t="s">
        <v>1903</v>
      </c>
      <c r="C319" s="531" t="s">
        <v>7805</v>
      </c>
      <c r="D319" s="531" t="s">
        <v>7533</v>
      </c>
      <c r="E319" s="531" t="s">
        <v>291</v>
      </c>
      <c r="F319" s="531" t="s">
        <v>143</v>
      </c>
      <c r="G319" s="531" t="s">
        <v>7426</v>
      </c>
      <c r="H319" s="531"/>
      <c r="I319" s="531"/>
      <c r="L319" s="530" t="s">
        <v>1233</v>
      </c>
      <c r="M319" s="532">
        <v>0</v>
      </c>
      <c r="N319" s="530" t="s">
        <v>1544</v>
      </c>
    </row>
    <row r="320" spans="1:14" x14ac:dyDescent="0.25">
      <c r="A320" s="505" t="s">
        <v>1904</v>
      </c>
      <c r="B320" s="505" t="s">
        <v>1905</v>
      </c>
      <c r="C320" s="512" t="s">
        <v>7806</v>
      </c>
      <c r="D320" s="512" t="s">
        <v>7710</v>
      </c>
      <c r="E320" s="512" t="s">
        <v>7807</v>
      </c>
      <c r="F320" s="512">
        <v>1</v>
      </c>
      <c r="G320" s="512" t="s">
        <v>7808</v>
      </c>
      <c r="H320" s="512" t="s">
        <v>7809</v>
      </c>
      <c r="L320" s="505" t="s">
        <v>1205</v>
      </c>
      <c r="M320" s="516">
        <v>55.19</v>
      </c>
      <c r="N320" s="505" t="s">
        <v>1205</v>
      </c>
    </row>
    <row r="321" spans="1:14" x14ac:dyDescent="0.25">
      <c r="A321" s="505" t="s">
        <v>1906</v>
      </c>
      <c r="B321" s="505" t="s">
        <v>1907</v>
      </c>
      <c r="C321" s="512" t="s">
        <v>7806</v>
      </c>
      <c r="D321" s="512" t="s">
        <v>7810</v>
      </c>
      <c r="E321" s="512">
        <v>16</v>
      </c>
      <c r="F321" s="512" t="s">
        <v>7811</v>
      </c>
      <c r="G321" s="512">
        <v>1</v>
      </c>
      <c r="H321" s="512" t="s">
        <v>7808</v>
      </c>
      <c r="I321" s="512" t="s">
        <v>7809</v>
      </c>
      <c r="L321" s="505" t="s">
        <v>1205</v>
      </c>
      <c r="M321" s="516">
        <v>56.25</v>
      </c>
      <c r="N321" s="505" t="s">
        <v>1205</v>
      </c>
    </row>
    <row r="322" spans="1:14" x14ac:dyDescent="0.25">
      <c r="A322" s="505" t="s">
        <v>1908</v>
      </c>
      <c r="B322" s="505" t="s">
        <v>1909</v>
      </c>
      <c r="C322" s="512" t="s">
        <v>7806</v>
      </c>
      <c r="D322" s="512" t="s">
        <v>7810</v>
      </c>
      <c r="E322" s="512">
        <v>16</v>
      </c>
      <c r="F322" s="512" t="s">
        <v>7811</v>
      </c>
      <c r="G322" s="512" t="s">
        <v>7734</v>
      </c>
      <c r="H322" s="512" t="s">
        <v>7809</v>
      </c>
      <c r="L322" s="505" t="s">
        <v>1205</v>
      </c>
      <c r="M322" s="516">
        <v>67.28</v>
      </c>
      <c r="N322" s="505" t="s">
        <v>1205</v>
      </c>
    </row>
    <row r="323" spans="1:14" x14ac:dyDescent="0.25">
      <c r="A323" s="505" t="s">
        <v>1910</v>
      </c>
      <c r="B323" s="505" t="s">
        <v>1911</v>
      </c>
      <c r="C323" s="512" t="s">
        <v>7806</v>
      </c>
      <c r="D323" s="512" t="s">
        <v>7812</v>
      </c>
      <c r="E323" s="512" t="s">
        <v>7813</v>
      </c>
      <c r="F323" s="512">
        <v>19</v>
      </c>
      <c r="G323" s="512" t="s">
        <v>7814</v>
      </c>
      <c r="H323" s="512" t="s">
        <v>7811</v>
      </c>
      <c r="L323" s="505" t="s">
        <v>1205</v>
      </c>
      <c r="M323" s="516">
        <v>2.78</v>
      </c>
      <c r="N323" s="505" t="s">
        <v>1205</v>
      </c>
    </row>
    <row r="324" spans="1:14" x14ac:dyDescent="0.25">
      <c r="A324" s="505" t="s">
        <v>1912</v>
      </c>
      <c r="B324" s="505" t="s">
        <v>1913</v>
      </c>
      <c r="C324" s="512" t="s">
        <v>7806</v>
      </c>
      <c r="D324" s="512" t="s">
        <v>7815</v>
      </c>
      <c r="E324" s="512" t="s">
        <v>7816</v>
      </c>
      <c r="F324" s="512" t="s">
        <v>7817</v>
      </c>
      <c r="G324" s="512" t="s">
        <v>7814</v>
      </c>
      <c r="H324" s="512" t="s">
        <v>7811</v>
      </c>
      <c r="L324" s="505" t="s">
        <v>1205</v>
      </c>
      <c r="M324" s="516">
        <v>2.78</v>
      </c>
      <c r="N324" s="505" t="s">
        <v>1205</v>
      </c>
    </row>
    <row r="325" spans="1:14" x14ac:dyDescent="0.25">
      <c r="A325" s="505" t="s">
        <v>1914</v>
      </c>
      <c r="B325" s="505" t="s">
        <v>1915</v>
      </c>
      <c r="C325" s="512" t="s">
        <v>7806</v>
      </c>
      <c r="D325" s="512" t="s">
        <v>7815</v>
      </c>
      <c r="E325" s="512" t="s">
        <v>7816</v>
      </c>
      <c r="F325" s="512" t="s">
        <v>7817</v>
      </c>
      <c r="G325" s="512" t="s">
        <v>7818</v>
      </c>
      <c r="H325" s="512" t="s">
        <v>7811</v>
      </c>
      <c r="L325" s="505" t="s">
        <v>1205</v>
      </c>
      <c r="M325" s="516">
        <v>3.6</v>
      </c>
      <c r="N325" s="505" t="s">
        <v>1205</v>
      </c>
    </row>
    <row r="326" spans="1:14" s="530" customFormat="1" x14ac:dyDescent="0.25">
      <c r="A326" s="530" t="s">
        <v>1916</v>
      </c>
      <c r="B326" s="530" t="s">
        <v>1917</v>
      </c>
      <c r="C326" s="531" t="s">
        <v>7819</v>
      </c>
      <c r="D326" s="531" t="s">
        <v>7820</v>
      </c>
      <c r="E326" s="531">
        <v>18</v>
      </c>
      <c r="F326" s="531" t="s">
        <v>7821</v>
      </c>
      <c r="G326" s="531" t="s">
        <v>7822</v>
      </c>
      <c r="H326" s="531" t="s">
        <v>7823</v>
      </c>
      <c r="I326" s="531"/>
      <c r="L326" s="530" t="s">
        <v>1205</v>
      </c>
      <c r="M326" s="532">
        <v>0</v>
      </c>
      <c r="N326" s="530" t="s">
        <v>1544</v>
      </c>
    </row>
    <row r="327" spans="1:14" x14ac:dyDescent="0.25">
      <c r="A327" s="505" t="s">
        <v>1918</v>
      </c>
      <c r="B327" s="505" t="s">
        <v>1919</v>
      </c>
      <c r="C327" s="512" t="s">
        <v>7806</v>
      </c>
      <c r="D327" s="512" t="s">
        <v>7820</v>
      </c>
      <c r="E327" s="512">
        <v>18</v>
      </c>
      <c r="F327" s="512" t="s">
        <v>7811</v>
      </c>
      <c r="G327" s="512">
        <v>1</v>
      </c>
      <c r="H327" s="512" t="s">
        <v>7814</v>
      </c>
      <c r="I327" s="512" t="s">
        <v>7824</v>
      </c>
      <c r="L327" s="505" t="s">
        <v>1205</v>
      </c>
      <c r="M327" s="516">
        <v>15.75</v>
      </c>
      <c r="N327" s="505" t="s">
        <v>1205</v>
      </c>
    </row>
    <row r="328" spans="1:14" x14ac:dyDescent="0.25">
      <c r="A328" s="505" t="s">
        <v>1920</v>
      </c>
      <c r="B328" s="505" t="s">
        <v>1921</v>
      </c>
      <c r="C328" s="512" t="s">
        <v>7806</v>
      </c>
      <c r="D328" s="512" t="s">
        <v>7820</v>
      </c>
      <c r="E328" s="512">
        <v>18</v>
      </c>
      <c r="F328" s="512" t="s">
        <v>7811</v>
      </c>
      <c r="G328" s="512" t="s">
        <v>7825</v>
      </c>
      <c r="H328" s="512" t="s">
        <v>7824</v>
      </c>
      <c r="L328" s="505" t="s">
        <v>1205</v>
      </c>
      <c r="M328" s="516">
        <v>11.25</v>
      </c>
      <c r="N328" s="505" t="s">
        <v>1205</v>
      </c>
    </row>
    <row r="329" spans="1:14" x14ac:dyDescent="0.25">
      <c r="A329" s="505" t="s">
        <v>1922</v>
      </c>
      <c r="B329" s="505" t="s">
        <v>1923</v>
      </c>
      <c r="C329" s="512" t="s">
        <v>7826</v>
      </c>
      <c r="D329" s="512" t="s">
        <v>7827</v>
      </c>
      <c r="E329" s="512" t="s">
        <v>7828</v>
      </c>
      <c r="F329" s="512" t="s">
        <v>7829</v>
      </c>
      <c r="G329" s="512" t="s">
        <v>7740</v>
      </c>
      <c r="H329" s="512">
        <v>420218035094</v>
      </c>
      <c r="L329" s="505" t="s">
        <v>1924</v>
      </c>
      <c r="M329" s="516">
        <v>69</v>
      </c>
      <c r="N329" s="505" t="s">
        <v>1924</v>
      </c>
    </row>
    <row r="330" spans="1:14" x14ac:dyDescent="0.25">
      <c r="A330" s="505" t="s">
        <v>1925</v>
      </c>
      <c r="B330" s="505" t="s">
        <v>1926</v>
      </c>
      <c r="C330" s="512" t="s">
        <v>7830</v>
      </c>
      <c r="D330" s="512" t="s">
        <v>7831</v>
      </c>
      <c r="E330" s="512" t="s">
        <v>7832</v>
      </c>
      <c r="F330" s="512" t="s">
        <v>7833</v>
      </c>
      <c r="G330" s="512" t="s">
        <v>7834</v>
      </c>
      <c r="H330" s="512">
        <v>100</v>
      </c>
      <c r="L330" s="505" t="s">
        <v>1205</v>
      </c>
      <c r="M330" s="516">
        <v>19.5</v>
      </c>
      <c r="N330" s="505" t="s">
        <v>1205</v>
      </c>
    </row>
    <row r="331" spans="1:14" x14ac:dyDescent="0.25">
      <c r="A331" s="505" t="s">
        <v>1927</v>
      </c>
      <c r="B331" s="505" t="s">
        <v>1928</v>
      </c>
      <c r="C331" s="512" t="s">
        <v>7830</v>
      </c>
      <c r="D331" s="512" t="s">
        <v>7831</v>
      </c>
      <c r="E331" s="512" t="s">
        <v>7832</v>
      </c>
      <c r="F331" s="512" t="s">
        <v>7833</v>
      </c>
      <c r="G331" s="512" t="s">
        <v>7835</v>
      </c>
      <c r="H331" s="512">
        <v>100</v>
      </c>
      <c r="L331" s="505" t="s">
        <v>1205</v>
      </c>
      <c r="M331" s="516">
        <v>19.5</v>
      </c>
      <c r="N331" s="505" t="s">
        <v>1205</v>
      </c>
    </row>
    <row r="332" spans="1:14" x14ac:dyDescent="0.25">
      <c r="A332" s="505" t="s">
        <v>1929</v>
      </c>
      <c r="B332" s="505" t="s">
        <v>1930</v>
      </c>
      <c r="C332" s="512" t="s">
        <v>7830</v>
      </c>
      <c r="D332" s="512" t="s">
        <v>7836</v>
      </c>
      <c r="E332" s="512" t="s">
        <v>7837</v>
      </c>
      <c r="F332" s="512" t="s">
        <v>7838</v>
      </c>
      <c r="G332" s="512">
        <v>375</v>
      </c>
      <c r="L332" s="505" t="s">
        <v>1205</v>
      </c>
      <c r="M332" s="516">
        <v>73.5</v>
      </c>
      <c r="N332" s="505" t="s">
        <v>1205</v>
      </c>
    </row>
    <row r="333" spans="1:14" x14ac:dyDescent="0.25">
      <c r="A333" s="505" t="s">
        <v>1931</v>
      </c>
      <c r="B333" s="505" t="s">
        <v>1932</v>
      </c>
      <c r="C333" s="512" t="s">
        <v>7830</v>
      </c>
      <c r="D333" s="512" t="s">
        <v>7839</v>
      </c>
      <c r="E333" s="512" t="s">
        <v>7840</v>
      </c>
      <c r="F333" s="512" t="s">
        <v>7841</v>
      </c>
      <c r="G333" s="512" t="s">
        <v>7842</v>
      </c>
      <c r="L333" s="505" t="s">
        <v>1205</v>
      </c>
      <c r="M333" s="516">
        <v>22.95</v>
      </c>
      <c r="N333" s="505" t="s">
        <v>1205</v>
      </c>
    </row>
    <row r="334" spans="1:14" x14ac:dyDescent="0.25">
      <c r="A334" s="505" t="s">
        <v>1933</v>
      </c>
      <c r="B334" s="505" t="s">
        <v>1934</v>
      </c>
      <c r="C334" s="512" t="s">
        <v>7830</v>
      </c>
      <c r="D334" s="512" t="s">
        <v>7839</v>
      </c>
      <c r="E334" s="512" t="s">
        <v>7840</v>
      </c>
      <c r="F334" s="512" t="s">
        <v>7841</v>
      </c>
      <c r="G334" s="512" t="s">
        <v>7834</v>
      </c>
      <c r="L334" s="505" t="s">
        <v>1205</v>
      </c>
      <c r="M334" s="516">
        <v>22.95</v>
      </c>
      <c r="N334" s="505" t="s">
        <v>1205</v>
      </c>
    </row>
    <row r="335" spans="1:14" x14ac:dyDescent="0.25">
      <c r="A335" s="505" t="s">
        <v>1935</v>
      </c>
      <c r="B335" s="505" t="s">
        <v>1936</v>
      </c>
      <c r="C335" s="512" t="s">
        <v>7830</v>
      </c>
      <c r="D335" s="512" t="s">
        <v>7839</v>
      </c>
      <c r="E335" s="512" t="s">
        <v>7840</v>
      </c>
      <c r="F335" s="512" t="s">
        <v>7841</v>
      </c>
      <c r="G335" s="512" t="s">
        <v>7843</v>
      </c>
      <c r="L335" s="505" t="s">
        <v>1205</v>
      </c>
      <c r="M335" s="516">
        <v>22.95</v>
      </c>
      <c r="N335" s="505" t="s">
        <v>1205</v>
      </c>
    </row>
    <row r="336" spans="1:14" x14ac:dyDescent="0.25">
      <c r="A336" s="505" t="s">
        <v>1937</v>
      </c>
      <c r="B336" s="505" t="s">
        <v>1938</v>
      </c>
      <c r="C336" s="512" t="s">
        <v>7830</v>
      </c>
      <c r="D336" s="512" t="s">
        <v>7839</v>
      </c>
      <c r="E336" s="512" t="s">
        <v>7840</v>
      </c>
      <c r="F336" s="512" t="s">
        <v>7841</v>
      </c>
      <c r="G336" s="512" t="s">
        <v>7844</v>
      </c>
      <c r="L336" s="505" t="s">
        <v>1205</v>
      </c>
      <c r="M336" s="516">
        <v>22.95</v>
      </c>
      <c r="N336" s="505" t="s">
        <v>1205</v>
      </c>
    </row>
    <row r="337" spans="1:14" x14ac:dyDescent="0.25">
      <c r="A337" s="505" t="s">
        <v>1939</v>
      </c>
      <c r="B337" s="505" t="s">
        <v>1940</v>
      </c>
      <c r="C337" s="512" t="s">
        <v>7830</v>
      </c>
      <c r="D337" s="512" t="s">
        <v>7839</v>
      </c>
      <c r="E337" s="512" t="s">
        <v>7840</v>
      </c>
      <c r="F337" s="512" t="s">
        <v>7841</v>
      </c>
      <c r="G337" s="512" t="s">
        <v>7845</v>
      </c>
      <c r="L337" s="505" t="s">
        <v>1205</v>
      </c>
      <c r="M337" s="516">
        <v>22.95</v>
      </c>
      <c r="N337" s="505" t="s">
        <v>1205</v>
      </c>
    </row>
    <row r="338" spans="1:14" x14ac:dyDescent="0.25">
      <c r="A338" s="505" t="s">
        <v>1941</v>
      </c>
      <c r="B338" s="505" t="s">
        <v>1942</v>
      </c>
      <c r="C338" s="512" t="s">
        <v>7830</v>
      </c>
      <c r="D338" s="512" t="s">
        <v>7839</v>
      </c>
      <c r="E338" s="512" t="s">
        <v>7840</v>
      </c>
      <c r="F338" s="512" t="s">
        <v>7841</v>
      </c>
      <c r="G338" s="512" t="s">
        <v>7846</v>
      </c>
      <c r="L338" s="505" t="s">
        <v>1205</v>
      </c>
      <c r="M338" s="516">
        <v>22.95</v>
      </c>
      <c r="N338" s="505" t="s">
        <v>1205</v>
      </c>
    </row>
    <row r="339" spans="1:14" s="530" customFormat="1" x14ac:dyDescent="0.25">
      <c r="A339" s="530" t="s">
        <v>1943</v>
      </c>
      <c r="B339" s="530" t="s">
        <v>1944</v>
      </c>
      <c r="C339" s="531" t="s">
        <v>7847</v>
      </c>
      <c r="D339" s="531" t="s">
        <v>7848</v>
      </c>
      <c r="E339" s="531" t="s">
        <v>7734</v>
      </c>
      <c r="F339" s="531" t="s">
        <v>7849</v>
      </c>
      <c r="G339" s="531" t="s">
        <v>7850</v>
      </c>
      <c r="H339" s="531" t="s">
        <v>7851</v>
      </c>
      <c r="I339" s="531"/>
      <c r="L339" s="530" t="s">
        <v>1205</v>
      </c>
      <c r="M339" s="532">
        <v>0</v>
      </c>
      <c r="N339" s="530" t="s">
        <v>1544</v>
      </c>
    </row>
    <row r="340" spans="1:14" x14ac:dyDescent="0.25">
      <c r="A340" s="505" t="s">
        <v>1945</v>
      </c>
      <c r="B340" s="505" t="s">
        <v>1946</v>
      </c>
      <c r="C340" s="512" t="s">
        <v>7852</v>
      </c>
      <c r="D340" s="512" t="s">
        <v>238</v>
      </c>
      <c r="E340" s="512" t="s">
        <v>7853</v>
      </c>
      <c r="F340" s="512" t="s">
        <v>7854</v>
      </c>
      <c r="G340" s="512" t="s">
        <v>7841</v>
      </c>
      <c r="H340" s="512" t="s">
        <v>7855</v>
      </c>
      <c r="L340" s="505" t="s">
        <v>1205</v>
      </c>
      <c r="M340" s="516">
        <v>114</v>
      </c>
      <c r="N340" s="505" t="s">
        <v>1205</v>
      </c>
    </row>
    <row r="341" spans="1:14" x14ac:dyDescent="0.25">
      <c r="A341" s="505" t="s">
        <v>1947</v>
      </c>
      <c r="B341" s="505" t="s">
        <v>1948</v>
      </c>
      <c r="C341" s="512" t="s">
        <v>7852</v>
      </c>
      <c r="D341" s="512" t="s">
        <v>238</v>
      </c>
      <c r="E341" s="512" t="s">
        <v>7856</v>
      </c>
      <c r="F341" s="512" t="s">
        <v>7854</v>
      </c>
      <c r="G341" s="512" t="s">
        <v>7841</v>
      </c>
      <c r="H341" s="512" t="s">
        <v>7855</v>
      </c>
      <c r="L341" s="505" t="s">
        <v>1205</v>
      </c>
      <c r="M341" s="516">
        <v>55.73</v>
      </c>
      <c r="N341" s="505" t="s">
        <v>1205</v>
      </c>
    </row>
    <row r="342" spans="1:14" x14ac:dyDescent="0.25">
      <c r="A342" s="505" t="s">
        <v>1949</v>
      </c>
      <c r="B342" s="505" t="s">
        <v>1950</v>
      </c>
      <c r="C342" s="512" t="s">
        <v>7857</v>
      </c>
      <c r="D342" s="512" t="s">
        <v>7854</v>
      </c>
      <c r="E342" s="512" t="s">
        <v>7841</v>
      </c>
      <c r="F342" s="512" t="s">
        <v>7858</v>
      </c>
      <c r="L342" s="505" t="s">
        <v>1205</v>
      </c>
      <c r="M342" s="516">
        <v>25.41</v>
      </c>
      <c r="N342" s="505" t="s">
        <v>1205</v>
      </c>
    </row>
    <row r="343" spans="1:14" x14ac:dyDescent="0.25">
      <c r="A343" s="505" t="s">
        <v>1951</v>
      </c>
      <c r="B343" s="505" t="s">
        <v>1952</v>
      </c>
      <c r="C343" s="512" t="s">
        <v>7859</v>
      </c>
      <c r="D343" s="512" t="s">
        <v>7854</v>
      </c>
      <c r="E343" s="512" t="s">
        <v>7841</v>
      </c>
      <c r="F343" s="512" t="s">
        <v>7860</v>
      </c>
      <c r="G343" s="512" t="s">
        <v>7861</v>
      </c>
      <c r="H343" s="512" t="s">
        <v>7862</v>
      </c>
      <c r="L343" s="505" t="s">
        <v>1205</v>
      </c>
      <c r="M343" s="516">
        <v>3</v>
      </c>
      <c r="N343" s="505" t="s">
        <v>1205</v>
      </c>
    </row>
    <row r="344" spans="1:14" x14ac:dyDescent="0.25">
      <c r="A344" s="505" t="s">
        <v>1953</v>
      </c>
      <c r="B344" s="505" t="s">
        <v>1954</v>
      </c>
      <c r="C344" s="512" t="s">
        <v>7857</v>
      </c>
      <c r="D344" s="512" t="s">
        <v>7854</v>
      </c>
      <c r="E344" s="512" t="s">
        <v>7841</v>
      </c>
      <c r="F344" s="512" t="s">
        <v>7860</v>
      </c>
      <c r="G344" s="512" t="s">
        <v>7861</v>
      </c>
      <c r="H344" s="512" t="s">
        <v>7862</v>
      </c>
      <c r="L344" s="505" t="s">
        <v>1205</v>
      </c>
      <c r="M344" s="516">
        <v>3.87</v>
      </c>
      <c r="N344" s="505" t="s">
        <v>1205</v>
      </c>
    </row>
    <row r="345" spans="1:14" x14ac:dyDescent="0.25">
      <c r="A345" s="505" t="s">
        <v>1955</v>
      </c>
      <c r="B345" s="505" t="s">
        <v>1956</v>
      </c>
      <c r="C345" s="512" t="s">
        <v>7863</v>
      </c>
      <c r="D345" s="512" t="s">
        <v>7854</v>
      </c>
      <c r="E345" s="512" t="s">
        <v>7841</v>
      </c>
      <c r="F345" s="512" t="s">
        <v>7860</v>
      </c>
      <c r="G345" s="512" t="s">
        <v>7861</v>
      </c>
      <c r="H345" s="512" t="s">
        <v>7862</v>
      </c>
      <c r="L345" s="505" t="s">
        <v>1205</v>
      </c>
      <c r="M345" s="516">
        <v>4.8899999999999997</v>
      </c>
      <c r="N345" s="505" t="s">
        <v>1205</v>
      </c>
    </row>
    <row r="346" spans="1:14" x14ac:dyDescent="0.25">
      <c r="A346" s="505" t="s">
        <v>1957</v>
      </c>
      <c r="B346" s="505" t="s">
        <v>1958</v>
      </c>
      <c r="C346" s="512" t="s">
        <v>7864</v>
      </c>
      <c r="D346" s="512" t="s">
        <v>7854</v>
      </c>
      <c r="E346" s="512" t="s">
        <v>7841</v>
      </c>
      <c r="F346" s="512" t="s">
        <v>7860</v>
      </c>
      <c r="G346" s="512" t="s">
        <v>7861</v>
      </c>
      <c r="H346" s="512" t="s">
        <v>7862</v>
      </c>
      <c r="L346" s="505" t="s">
        <v>1205</v>
      </c>
      <c r="M346" s="516">
        <v>5.64</v>
      </c>
      <c r="N346" s="505" t="s">
        <v>1205</v>
      </c>
    </row>
    <row r="347" spans="1:14" x14ac:dyDescent="0.25">
      <c r="A347" s="505" t="s">
        <v>1959</v>
      </c>
      <c r="B347" s="505" t="s">
        <v>1960</v>
      </c>
      <c r="C347" s="512" t="s">
        <v>7857</v>
      </c>
      <c r="D347" s="512" t="s">
        <v>7854</v>
      </c>
      <c r="E347" s="512" t="s">
        <v>7841</v>
      </c>
      <c r="F347" s="512" t="s">
        <v>7865</v>
      </c>
      <c r="G347" s="512" t="s">
        <v>7862</v>
      </c>
      <c r="L347" s="505" t="s">
        <v>1205</v>
      </c>
      <c r="M347" s="516">
        <v>2.7</v>
      </c>
      <c r="N347" s="505" t="s">
        <v>1205</v>
      </c>
    </row>
    <row r="348" spans="1:14" x14ac:dyDescent="0.25">
      <c r="A348" s="505" t="s">
        <v>1961</v>
      </c>
      <c r="B348" s="505" t="s">
        <v>1962</v>
      </c>
      <c r="C348" s="512" t="s">
        <v>7863</v>
      </c>
      <c r="D348" s="512" t="s">
        <v>7854</v>
      </c>
      <c r="E348" s="512" t="s">
        <v>7841</v>
      </c>
      <c r="F348" s="512" t="s">
        <v>7865</v>
      </c>
      <c r="G348" s="512" t="s">
        <v>7862</v>
      </c>
      <c r="L348" s="505" t="s">
        <v>1205</v>
      </c>
      <c r="M348" s="516">
        <v>3.3</v>
      </c>
      <c r="N348" s="505" t="s">
        <v>1205</v>
      </c>
    </row>
    <row r="349" spans="1:14" x14ac:dyDescent="0.25">
      <c r="A349" s="505" t="s">
        <v>1963</v>
      </c>
      <c r="B349" s="505" t="s">
        <v>1964</v>
      </c>
      <c r="C349" s="512" t="s">
        <v>7866</v>
      </c>
      <c r="D349" s="512" t="s">
        <v>7854</v>
      </c>
      <c r="E349" s="512" t="s">
        <v>7841</v>
      </c>
      <c r="F349" s="512" t="s">
        <v>7860</v>
      </c>
      <c r="G349" s="512" t="s">
        <v>7861</v>
      </c>
      <c r="H349" s="512" t="s">
        <v>7862</v>
      </c>
      <c r="L349" s="505" t="s">
        <v>1205</v>
      </c>
      <c r="M349" s="516">
        <v>10.62</v>
      </c>
      <c r="N349" s="505" t="s">
        <v>1205</v>
      </c>
    </row>
    <row r="350" spans="1:14" x14ac:dyDescent="0.25">
      <c r="A350" s="505" t="s">
        <v>1965</v>
      </c>
      <c r="B350" s="505" t="s">
        <v>1966</v>
      </c>
      <c r="C350" s="512" t="s">
        <v>7867</v>
      </c>
      <c r="D350" s="512" t="s">
        <v>7868</v>
      </c>
      <c r="E350" s="512" t="s">
        <v>7869</v>
      </c>
      <c r="F350" s="512" t="s">
        <v>7870</v>
      </c>
      <c r="L350" s="505" t="s">
        <v>1205</v>
      </c>
      <c r="M350" s="516">
        <v>11.06</v>
      </c>
      <c r="N350" s="505" t="s">
        <v>1205</v>
      </c>
    </row>
    <row r="351" spans="1:14" x14ac:dyDescent="0.25">
      <c r="A351" s="505" t="s">
        <v>1967</v>
      </c>
      <c r="B351" s="505" t="s">
        <v>1968</v>
      </c>
      <c r="C351" s="512" t="s">
        <v>7867</v>
      </c>
      <c r="D351" s="512" t="s">
        <v>7868</v>
      </c>
      <c r="E351" s="512" t="s">
        <v>7871</v>
      </c>
      <c r="F351" s="512" t="s">
        <v>7870</v>
      </c>
      <c r="L351" s="505" t="s">
        <v>1205</v>
      </c>
      <c r="M351" s="516">
        <v>13.79</v>
      </c>
      <c r="N351" s="505" t="s">
        <v>1205</v>
      </c>
    </row>
    <row r="352" spans="1:14" x14ac:dyDescent="0.25">
      <c r="A352" s="505" t="s">
        <v>1969</v>
      </c>
      <c r="B352" s="505" t="s">
        <v>1970</v>
      </c>
      <c r="C352" s="512" t="s">
        <v>7872</v>
      </c>
      <c r="D352" s="512" t="s">
        <v>7873</v>
      </c>
      <c r="E352" s="512" t="s">
        <v>7874</v>
      </c>
      <c r="F352" s="512" t="s">
        <v>7808</v>
      </c>
      <c r="G352" s="512" t="s">
        <v>7875</v>
      </c>
      <c r="L352" s="505" t="s">
        <v>1205</v>
      </c>
      <c r="M352" s="516">
        <v>157.47</v>
      </c>
      <c r="N352" s="505" t="s">
        <v>1205</v>
      </c>
    </row>
    <row r="353" spans="1:14" x14ac:dyDescent="0.25">
      <c r="A353" s="505" t="s">
        <v>1971</v>
      </c>
      <c r="B353" s="505" t="s">
        <v>1972</v>
      </c>
      <c r="C353" s="512" t="s">
        <v>7872</v>
      </c>
      <c r="D353" s="512" t="s">
        <v>7873</v>
      </c>
      <c r="E353" s="512" t="s">
        <v>7874</v>
      </c>
      <c r="F353" s="512" t="s">
        <v>7808</v>
      </c>
      <c r="G353" s="512" t="s">
        <v>7876</v>
      </c>
      <c r="H353" s="512" t="s">
        <v>7436</v>
      </c>
      <c r="I353" s="512" t="s">
        <v>7862</v>
      </c>
      <c r="L353" s="505" t="s">
        <v>1205</v>
      </c>
      <c r="M353" s="516">
        <v>8.73</v>
      </c>
      <c r="N353" s="505" t="s">
        <v>1205</v>
      </c>
    </row>
    <row r="354" spans="1:14" x14ac:dyDescent="0.25">
      <c r="A354" s="505" t="s">
        <v>1973</v>
      </c>
      <c r="B354" s="505" t="s">
        <v>1974</v>
      </c>
      <c r="C354" s="512" t="s">
        <v>7872</v>
      </c>
      <c r="D354" s="512" t="s">
        <v>7873</v>
      </c>
      <c r="E354" s="512" t="s">
        <v>7874</v>
      </c>
      <c r="F354" s="512" t="s">
        <v>7808</v>
      </c>
      <c r="G354" s="512" t="s">
        <v>7877</v>
      </c>
      <c r="H354" s="512" t="s">
        <v>7862</v>
      </c>
      <c r="L354" s="505" t="s">
        <v>1205</v>
      </c>
      <c r="M354" s="516">
        <v>8.73</v>
      </c>
      <c r="N354" s="505" t="s">
        <v>1205</v>
      </c>
    </row>
    <row r="355" spans="1:14" x14ac:dyDescent="0.25">
      <c r="A355" s="505" t="s">
        <v>1975</v>
      </c>
      <c r="B355" s="505" t="s">
        <v>1976</v>
      </c>
      <c r="C355" s="512" t="s">
        <v>7872</v>
      </c>
      <c r="D355" s="512" t="s">
        <v>7873</v>
      </c>
      <c r="E355" s="512" t="s">
        <v>7874</v>
      </c>
      <c r="F355" s="512" t="s">
        <v>7808</v>
      </c>
      <c r="G355" s="512" t="s">
        <v>7878</v>
      </c>
      <c r="H355" s="512" t="s">
        <v>7862</v>
      </c>
      <c r="L355" s="505" t="s">
        <v>1205</v>
      </c>
      <c r="M355" s="516">
        <v>8.73</v>
      </c>
      <c r="N355" s="505" t="s">
        <v>1205</v>
      </c>
    </row>
    <row r="356" spans="1:14" x14ac:dyDescent="0.25">
      <c r="A356" s="505" t="s">
        <v>1977</v>
      </c>
      <c r="B356" s="505" t="s">
        <v>1978</v>
      </c>
      <c r="C356" s="512" t="s">
        <v>7872</v>
      </c>
      <c r="D356" s="512" t="s">
        <v>7873</v>
      </c>
      <c r="E356" s="512" t="s">
        <v>7874</v>
      </c>
      <c r="F356" s="512" t="s">
        <v>7808</v>
      </c>
      <c r="G356" s="512" t="s">
        <v>7437</v>
      </c>
      <c r="H356" s="512" t="s">
        <v>7862</v>
      </c>
      <c r="L356" s="505" t="s">
        <v>1205</v>
      </c>
      <c r="M356" s="516">
        <v>8.73</v>
      </c>
      <c r="N356" s="505" t="s">
        <v>1205</v>
      </c>
    </row>
    <row r="357" spans="1:14" x14ac:dyDescent="0.25">
      <c r="A357" s="505" t="s">
        <v>1979</v>
      </c>
      <c r="B357" s="505" t="s">
        <v>1980</v>
      </c>
      <c r="C357" s="512" t="s">
        <v>7872</v>
      </c>
      <c r="D357" s="512" t="s">
        <v>7873</v>
      </c>
      <c r="E357" s="512" t="s">
        <v>7874</v>
      </c>
      <c r="F357" s="512" t="s">
        <v>7808</v>
      </c>
      <c r="G357" s="512" t="s">
        <v>7879</v>
      </c>
      <c r="H357" s="512" t="s">
        <v>7862</v>
      </c>
      <c r="L357" s="505" t="s">
        <v>1205</v>
      </c>
      <c r="M357" s="516">
        <v>8.73</v>
      </c>
      <c r="N357" s="505" t="s">
        <v>1205</v>
      </c>
    </row>
    <row r="358" spans="1:14" x14ac:dyDescent="0.25">
      <c r="A358" s="505" t="s">
        <v>1981</v>
      </c>
      <c r="B358" s="505" t="s">
        <v>1982</v>
      </c>
      <c r="C358" s="512" t="s">
        <v>7872</v>
      </c>
      <c r="D358" s="512" t="s">
        <v>7873</v>
      </c>
      <c r="E358" s="512" t="s">
        <v>7874</v>
      </c>
      <c r="F358" s="512" t="s">
        <v>7808</v>
      </c>
      <c r="G358" s="512" t="s">
        <v>7800</v>
      </c>
      <c r="H358" s="512" t="s">
        <v>7862</v>
      </c>
      <c r="L358" s="505" t="s">
        <v>1205</v>
      </c>
      <c r="M358" s="516">
        <v>8.73</v>
      </c>
      <c r="N358" s="505" t="s">
        <v>1205</v>
      </c>
    </row>
    <row r="359" spans="1:14" x14ac:dyDescent="0.25">
      <c r="A359" s="505" t="s">
        <v>1983</v>
      </c>
      <c r="B359" s="505" t="s">
        <v>1984</v>
      </c>
      <c r="C359" s="512" t="s">
        <v>7872</v>
      </c>
      <c r="D359" s="512" t="s">
        <v>7873</v>
      </c>
      <c r="E359" s="512" t="s">
        <v>7874</v>
      </c>
      <c r="F359" s="512" t="s">
        <v>7808</v>
      </c>
      <c r="G359" s="512" t="s">
        <v>7554</v>
      </c>
      <c r="H359" s="512" t="s">
        <v>7880</v>
      </c>
      <c r="I359" s="512" t="s">
        <v>7862</v>
      </c>
      <c r="L359" s="505" t="s">
        <v>1205</v>
      </c>
      <c r="M359" s="516">
        <v>8.73</v>
      </c>
      <c r="N359" s="505" t="s">
        <v>1205</v>
      </c>
    </row>
    <row r="360" spans="1:14" x14ac:dyDescent="0.25">
      <c r="A360" s="505" t="s">
        <v>1985</v>
      </c>
      <c r="B360" s="505" t="s">
        <v>1986</v>
      </c>
      <c r="C360" s="512" t="s">
        <v>7872</v>
      </c>
      <c r="D360" s="512" t="s">
        <v>7873</v>
      </c>
      <c r="E360" s="512" t="s">
        <v>7874</v>
      </c>
      <c r="F360" s="512" t="s">
        <v>7808</v>
      </c>
      <c r="G360" s="512" t="s">
        <v>7432</v>
      </c>
      <c r="H360" s="512" t="s">
        <v>7862</v>
      </c>
      <c r="L360" s="505" t="s">
        <v>1205</v>
      </c>
      <c r="M360" s="516">
        <v>8.73</v>
      </c>
      <c r="N360" s="505" t="s">
        <v>1205</v>
      </c>
    </row>
    <row r="361" spans="1:14" x14ac:dyDescent="0.25">
      <c r="A361" s="505" t="s">
        <v>1987</v>
      </c>
      <c r="B361" s="505" t="s">
        <v>1988</v>
      </c>
      <c r="C361" s="512" t="s">
        <v>7872</v>
      </c>
      <c r="D361" s="512" t="s">
        <v>7873</v>
      </c>
      <c r="E361" s="512" t="s">
        <v>7874</v>
      </c>
      <c r="F361" s="512" t="s">
        <v>7808</v>
      </c>
      <c r="G361" s="512" t="s">
        <v>7881</v>
      </c>
      <c r="H361" s="512" t="s">
        <v>7862</v>
      </c>
      <c r="L361" s="505" t="s">
        <v>1205</v>
      </c>
      <c r="M361" s="516">
        <v>8.73</v>
      </c>
      <c r="N361" s="505" t="s">
        <v>1205</v>
      </c>
    </row>
    <row r="362" spans="1:14" x14ac:dyDescent="0.25">
      <c r="A362" s="505" t="s">
        <v>1989</v>
      </c>
      <c r="B362" s="505" t="s">
        <v>1990</v>
      </c>
      <c r="C362" s="512" t="s">
        <v>7872</v>
      </c>
      <c r="D362" s="512" t="s">
        <v>7873</v>
      </c>
      <c r="E362" s="512" t="s">
        <v>7874</v>
      </c>
      <c r="F362" s="512" t="s">
        <v>7808</v>
      </c>
      <c r="G362" s="512" t="s">
        <v>7882</v>
      </c>
      <c r="H362" s="512" t="s">
        <v>7862</v>
      </c>
      <c r="L362" s="505" t="s">
        <v>1205</v>
      </c>
      <c r="M362" s="516">
        <v>8.73</v>
      </c>
      <c r="N362" s="505" t="s">
        <v>1205</v>
      </c>
    </row>
    <row r="363" spans="1:14" x14ac:dyDescent="0.25">
      <c r="A363" s="505" t="s">
        <v>1991</v>
      </c>
      <c r="B363" s="505" t="s">
        <v>1992</v>
      </c>
      <c r="C363" s="512" t="s">
        <v>7872</v>
      </c>
      <c r="D363" s="512" t="s">
        <v>7873</v>
      </c>
      <c r="E363" s="512" t="s">
        <v>7874</v>
      </c>
      <c r="F363" s="512" t="s">
        <v>7808</v>
      </c>
      <c r="G363" s="512" t="s">
        <v>7883</v>
      </c>
      <c r="H363" s="512" t="s">
        <v>7436</v>
      </c>
      <c r="I363" s="512" t="s">
        <v>7862</v>
      </c>
      <c r="L363" s="505" t="s">
        <v>1205</v>
      </c>
      <c r="M363" s="516">
        <v>8.73</v>
      </c>
      <c r="N363" s="505" t="s">
        <v>1205</v>
      </c>
    </row>
    <row r="364" spans="1:14" x14ac:dyDescent="0.25">
      <c r="A364" s="505" t="s">
        <v>1993</v>
      </c>
      <c r="B364" s="505" t="s">
        <v>1994</v>
      </c>
      <c r="C364" s="512" t="s">
        <v>7872</v>
      </c>
      <c r="D364" s="512" t="s">
        <v>7873</v>
      </c>
      <c r="E364" s="512" t="s">
        <v>7874</v>
      </c>
      <c r="F364" s="512" t="s">
        <v>7808</v>
      </c>
      <c r="G364" s="512" t="s">
        <v>7884</v>
      </c>
      <c r="H364" s="512" t="s">
        <v>7862</v>
      </c>
      <c r="L364" s="505" t="s">
        <v>1205</v>
      </c>
      <c r="M364" s="516">
        <v>8.73</v>
      </c>
      <c r="N364" s="505" t="s">
        <v>1205</v>
      </c>
    </row>
    <row r="365" spans="1:14" x14ac:dyDescent="0.25">
      <c r="A365" s="505" t="s">
        <v>1995</v>
      </c>
      <c r="B365" s="505" t="s">
        <v>1996</v>
      </c>
      <c r="C365" s="512" t="s">
        <v>7872</v>
      </c>
      <c r="D365" s="512" t="s">
        <v>7873</v>
      </c>
      <c r="E365" s="512" t="s">
        <v>7874</v>
      </c>
      <c r="F365" s="512" t="s">
        <v>7808</v>
      </c>
      <c r="G365" s="512" t="s">
        <v>7885</v>
      </c>
      <c r="H365" s="512" t="s">
        <v>7862</v>
      </c>
      <c r="L365" s="505" t="s">
        <v>1205</v>
      </c>
      <c r="M365" s="516">
        <v>8.73</v>
      </c>
      <c r="N365" s="505" t="s">
        <v>1205</v>
      </c>
    </row>
    <row r="366" spans="1:14" x14ac:dyDescent="0.25">
      <c r="A366" s="505" t="s">
        <v>1997</v>
      </c>
      <c r="B366" s="505" t="s">
        <v>1998</v>
      </c>
      <c r="C366" s="512" t="s">
        <v>7872</v>
      </c>
      <c r="D366" s="512" t="s">
        <v>7873</v>
      </c>
      <c r="E366" s="512" t="s">
        <v>7874</v>
      </c>
      <c r="F366" s="512" t="s">
        <v>7808</v>
      </c>
      <c r="G366" s="512" t="s">
        <v>7454</v>
      </c>
      <c r="H366" s="512" t="s">
        <v>7862</v>
      </c>
      <c r="L366" s="505" t="s">
        <v>1205</v>
      </c>
      <c r="M366" s="516">
        <v>8.73</v>
      </c>
      <c r="N366" s="505" t="s">
        <v>1205</v>
      </c>
    </row>
    <row r="367" spans="1:14" x14ac:dyDescent="0.25">
      <c r="A367" s="505" t="s">
        <v>1999</v>
      </c>
      <c r="B367" s="505" t="s">
        <v>2000</v>
      </c>
      <c r="C367" s="512" t="s">
        <v>7872</v>
      </c>
      <c r="D367" s="512" t="s">
        <v>7873</v>
      </c>
      <c r="E367" s="512" t="s">
        <v>7874</v>
      </c>
      <c r="F367" s="512" t="s">
        <v>7808</v>
      </c>
      <c r="G367" s="512" t="s">
        <v>7433</v>
      </c>
      <c r="H367" s="512" t="s">
        <v>7862</v>
      </c>
      <c r="L367" s="505" t="s">
        <v>1205</v>
      </c>
      <c r="M367" s="516">
        <v>8.73</v>
      </c>
      <c r="N367" s="505" t="s">
        <v>1205</v>
      </c>
    </row>
    <row r="368" spans="1:14" x14ac:dyDescent="0.25">
      <c r="A368" s="505" t="s">
        <v>2001</v>
      </c>
      <c r="B368" s="505" t="s">
        <v>2002</v>
      </c>
      <c r="C368" s="512" t="s">
        <v>7872</v>
      </c>
      <c r="D368" s="512" t="s">
        <v>7873</v>
      </c>
      <c r="E368" s="512" t="s">
        <v>7874</v>
      </c>
      <c r="F368" s="512" t="s">
        <v>7808</v>
      </c>
      <c r="G368" s="512" t="s">
        <v>7886</v>
      </c>
      <c r="H368" s="512" t="s">
        <v>7887</v>
      </c>
      <c r="I368" s="512" t="s">
        <v>7862</v>
      </c>
      <c r="L368" s="505" t="s">
        <v>1205</v>
      </c>
      <c r="M368" s="516">
        <v>8.73</v>
      </c>
      <c r="N368" s="505" t="s">
        <v>1205</v>
      </c>
    </row>
    <row r="369" spans="1:14" x14ac:dyDescent="0.25">
      <c r="A369" s="505" t="s">
        <v>2003</v>
      </c>
      <c r="B369" s="505" t="s">
        <v>2004</v>
      </c>
      <c r="C369" s="512" t="s">
        <v>7872</v>
      </c>
      <c r="D369" s="512" t="s">
        <v>7873</v>
      </c>
      <c r="E369" s="512" t="s">
        <v>7874</v>
      </c>
      <c r="F369" s="512" t="s">
        <v>7808</v>
      </c>
      <c r="G369" s="512" t="s">
        <v>7888</v>
      </c>
      <c r="H369" s="512" t="s">
        <v>7862</v>
      </c>
      <c r="L369" s="505" t="s">
        <v>1205</v>
      </c>
      <c r="M369" s="516">
        <v>8.73</v>
      </c>
      <c r="N369" s="505" t="s">
        <v>1205</v>
      </c>
    </row>
    <row r="370" spans="1:14" x14ac:dyDescent="0.25">
      <c r="A370" s="505" t="s">
        <v>2005</v>
      </c>
      <c r="B370" s="505" t="s">
        <v>2006</v>
      </c>
      <c r="C370" s="512" t="s">
        <v>7872</v>
      </c>
      <c r="D370" s="512" t="s">
        <v>7873</v>
      </c>
      <c r="E370" s="512" t="s">
        <v>7874</v>
      </c>
      <c r="F370" s="512" t="s">
        <v>7808</v>
      </c>
      <c r="G370" s="512" t="s">
        <v>7889</v>
      </c>
      <c r="H370" s="512" t="s">
        <v>7862</v>
      </c>
      <c r="L370" s="505" t="s">
        <v>1205</v>
      </c>
      <c r="M370" s="516">
        <v>8.73</v>
      </c>
      <c r="N370" s="505" t="s">
        <v>1205</v>
      </c>
    </row>
    <row r="371" spans="1:14" x14ac:dyDescent="0.25">
      <c r="A371" s="505" t="s">
        <v>2007</v>
      </c>
      <c r="B371" s="505" t="s">
        <v>2008</v>
      </c>
      <c r="C371" s="512" t="s">
        <v>7872</v>
      </c>
      <c r="D371" s="512" t="s">
        <v>7873</v>
      </c>
      <c r="E371" s="512" t="s">
        <v>7874</v>
      </c>
      <c r="F371" s="512" t="s">
        <v>7808</v>
      </c>
      <c r="G371" s="512" t="s">
        <v>7890</v>
      </c>
      <c r="H371" s="512" t="s">
        <v>7881</v>
      </c>
      <c r="I371" s="512" t="s">
        <v>7862</v>
      </c>
      <c r="L371" s="505" t="s">
        <v>1205</v>
      </c>
      <c r="M371" s="516">
        <v>8.73</v>
      </c>
      <c r="N371" s="505" t="s">
        <v>1205</v>
      </c>
    </row>
    <row r="372" spans="1:14" x14ac:dyDescent="0.25">
      <c r="A372" s="505" t="s">
        <v>2009</v>
      </c>
      <c r="B372" s="505" t="s">
        <v>2010</v>
      </c>
      <c r="C372" s="512" t="s">
        <v>7872</v>
      </c>
      <c r="D372" s="512" t="s">
        <v>7873</v>
      </c>
      <c r="E372" s="512" t="s">
        <v>7874</v>
      </c>
      <c r="F372" s="512" t="s">
        <v>7808</v>
      </c>
      <c r="G372" s="512" t="s">
        <v>7803</v>
      </c>
      <c r="H372" s="512" t="s">
        <v>7862</v>
      </c>
      <c r="L372" s="505" t="s">
        <v>1205</v>
      </c>
      <c r="M372" s="516">
        <v>8.73</v>
      </c>
      <c r="N372" s="505" t="s">
        <v>1205</v>
      </c>
    </row>
    <row r="373" spans="1:14" x14ac:dyDescent="0.25">
      <c r="A373" s="505" t="s">
        <v>2011</v>
      </c>
      <c r="B373" s="505" t="s">
        <v>2012</v>
      </c>
      <c r="C373" s="512" t="s">
        <v>7872</v>
      </c>
      <c r="D373" s="512" t="s">
        <v>7873</v>
      </c>
      <c r="E373" s="512" t="s">
        <v>7874</v>
      </c>
      <c r="F373" s="512" t="s">
        <v>7808</v>
      </c>
      <c r="G373" s="512" t="s">
        <v>7891</v>
      </c>
      <c r="H373" s="512" t="s">
        <v>7892</v>
      </c>
      <c r="I373" s="512" t="s">
        <v>7862</v>
      </c>
      <c r="L373" s="505" t="s">
        <v>1205</v>
      </c>
      <c r="M373" s="516">
        <v>8.73</v>
      </c>
      <c r="N373" s="505" t="s">
        <v>1205</v>
      </c>
    </row>
    <row r="374" spans="1:14" x14ac:dyDescent="0.25">
      <c r="A374" s="505" t="s">
        <v>2013</v>
      </c>
      <c r="B374" s="505" t="s">
        <v>2014</v>
      </c>
      <c r="C374" s="512" t="s">
        <v>7872</v>
      </c>
      <c r="D374" s="512" t="s">
        <v>7873</v>
      </c>
      <c r="E374" s="512" t="s">
        <v>7874</v>
      </c>
      <c r="F374" s="512" t="s">
        <v>7808</v>
      </c>
      <c r="G374" s="512" t="s">
        <v>7893</v>
      </c>
      <c r="H374" s="512" t="s">
        <v>7799</v>
      </c>
      <c r="I374" s="512" t="s">
        <v>7862</v>
      </c>
      <c r="L374" s="505" t="s">
        <v>1205</v>
      </c>
      <c r="M374" s="516">
        <v>8.73</v>
      </c>
      <c r="N374" s="505" t="s">
        <v>1205</v>
      </c>
    </row>
    <row r="375" spans="1:14" x14ac:dyDescent="0.25">
      <c r="A375" s="505" t="s">
        <v>2015</v>
      </c>
      <c r="B375" s="505" t="s">
        <v>2016</v>
      </c>
      <c r="C375" s="512" t="s">
        <v>7872</v>
      </c>
      <c r="D375" s="512" t="s">
        <v>7873</v>
      </c>
      <c r="E375" s="512" t="s">
        <v>7874</v>
      </c>
      <c r="F375" s="512" t="s">
        <v>7808</v>
      </c>
      <c r="G375" s="512" t="s">
        <v>7721</v>
      </c>
      <c r="H375" s="512" t="s">
        <v>7894</v>
      </c>
      <c r="L375" s="505" t="s">
        <v>1205</v>
      </c>
      <c r="M375" s="516">
        <v>25</v>
      </c>
      <c r="N375" s="505" t="s">
        <v>1205</v>
      </c>
    </row>
    <row r="376" spans="1:14" x14ac:dyDescent="0.25">
      <c r="A376" s="505" t="s">
        <v>2017</v>
      </c>
      <c r="B376" s="505" t="s">
        <v>2018</v>
      </c>
      <c r="C376" s="512" t="s">
        <v>7872</v>
      </c>
      <c r="D376" s="512" t="s">
        <v>7873</v>
      </c>
      <c r="E376" s="512" t="s">
        <v>7874</v>
      </c>
      <c r="F376" s="512" t="s">
        <v>7808</v>
      </c>
      <c r="G376" s="512" t="s">
        <v>7721</v>
      </c>
      <c r="H376" s="512" t="s">
        <v>7862</v>
      </c>
      <c r="L376" s="505" t="s">
        <v>1205</v>
      </c>
      <c r="M376" s="516">
        <v>8.73</v>
      </c>
      <c r="N376" s="505" t="s">
        <v>1205</v>
      </c>
    </row>
    <row r="377" spans="1:14" x14ac:dyDescent="0.25">
      <c r="A377" s="505" t="s">
        <v>2019</v>
      </c>
      <c r="B377" s="505" t="s">
        <v>2020</v>
      </c>
      <c r="C377" s="512" t="s">
        <v>7872</v>
      </c>
      <c r="D377" s="512" t="s">
        <v>7873</v>
      </c>
      <c r="E377" s="512" t="s">
        <v>7874</v>
      </c>
      <c r="F377" s="512" t="s">
        <v>7808</v>
      </c>
      <c r="G377" s="512" t="s">
        <v>7804</v>
      </c>
      <c r="H377" s="512" t="s">
        <v>7862</v>
      </c>
      <c r="L377" s="505" t="s">
        <v>1205</v>
      </c>
      <c r="M377" s="516">
        <v>8.73</v>
      </c>
      <c r="N377" s="505" t="s">
        <v>1205</v>
      </c>
    </row>
    <row r="378" spans="1:14" x14ac:dyDescent="0.25">
      <c r="A378" s="505" t="s">
        <v>2021</v>
      </c>
      <c r="B378" s="505" t="s">
        <v>2022</v>
      </c>
      <c r="C378" s="512" t="s">
        <v>7872</v>
      </c>
      <c r="D378" s="512" t="s">
        <v>7873</v>
      </c>
      <c r="E378" s="512" t="s">
        <v>7874</v>
      </c>
      <c r="F378" s="512" t="s">
        <v>7808</v>
      </c>
      <c r="G378" s="512" t="s">
        <v>7895</v>
      </c>
      <c r="H378" s="512" t="s">
        <v>7862</v>
      </c>
      <c r="L378" s="505" t="s">
        <v>1205</v>
      </c>
      <c r="M378" s="516">
        <v>8.73</v>
      </c>
      <c r="N378" s="505" t="s">
        <v>1205</v>
      </c>
    </row>
    <row r="379" spans="1:14" x14ac:dyDescent="0.25">
      <c r="A379" s="505" t="s">
        <v>2023</v>
      </c>
      <c r="B379" s="505" t="s">
        <v>2024</v>
      </c>
      <c r="C379" s="512" t="s">
        <v>35</v>
      </c>
      <c r="D379" s="512" t="s">
        <v>7873</v>
      </c>
      <c r="E379" s="512" t="s">
        <v>7896</v>
      </c>
      <c r="F379" s="512" t="s">
        <v>7897</v>
      </c>
      <c r="L379" s="505" t="s">
        <v>1205</v>
      </c>
      <c r="M379" s="516">
        <v>216</v>
      </c>
      <c r="N379" s="505" t="s">
        <v>1205</v>
      </c>
    </row>
    <row r="380" spans="1:14" x14ac:dyDescent="0.25">
      <c r="A380" s="505" t="s">
        <v>2025</v>
      </c>
      <c r="B380" s="505" t="s">
        <v>2026</v>
      </c>
      <c r="C380" s="512" t="s">
        <v>7872</v>
      </c>
      <c r="D380" s="512" t="s">
        <v>7895</v>
      </c>
      <c r="E380" s="512" t="s">
        <v>7896</v>
      </c>
      <c r="F380" s="512" t="s">
        <v>7876</v>
      </c>
      <c r="G380" s="512" t="s">
        <v>7799</v>
      </c>
      <c r="H380" s="512" t="s">
        <v>7862</v>
      </c>
      <c r="L380" s="505" t="s">
        <v>1205</v>
      </c>
      <c r="M380" s="516">
        <v>8.5</v>
      </c>
      <c r="N380" s="505" t="s">
        <v>1205</v>
      </c>
    </row>
    <row r="381" spans="1:14" x14ac:dyDescent="0.25">
      <c r="A381" s="505" t="s">
        <v>2027</v>
      </c>
      <c r="B381" s="505" t="s">
        <v>2028</v>
      </c>
      <c r="C381" s="512" t="s">
        <v>7872</v>
      </c>
      <c r="D381" s="512" t="s">
        <v>7895</v>
      </c>
      <c r="E381" s="512" t="s">
        <v>7896</v>
      </c>
      <c r="F381" s="512" t="s">
        <v>7876</v>
      </c>
      <c r="G381" s="512" t="s">
        <v>7799</v>
      </c>
      <c r="H381" s="512" t="s">
        <v>7898</v>
      </c>
      <c r="L381" s="505" t="s">
        <v>1205</v>
      </c>
      <c r="M381" s="516">
        <v>69.41</v>
      </c>
      <c r="N381" s="505" t="s">
        <v>1205</v>
      </c>
    </row>
    <row r="382" spans="1:14" x14ac:dyDescent="0.25">
      <c r="A382" s="505" t="s">
        <v>2029</v>
      </c>
      <c r="B382" s="505" t="s">
        <v>2030</v>
      </c>
      <c r="C382" s="512" t="s">
        <v>7872</v>
      </c>
      <c r="D382" s="512" t="s">
        <v>7895</v>
      </c>
      <c r="E382" s="512" t="s">
        <v>7896</v>
      </c>
      <c r="F382" s="512" t="s">
        <v>7878</v>
      </c>
      <c r="G382" s="512" t="s">
        <v>7862</v>
      </c>
      <c r="L382" s="505" t="s">
        <v>1205</v>
      </c>
      <c r="M382" s="516">
        <v>8.5</v>
      </c>
      <c r="N382" s="505" t="s">
        <v>1205</v>
      </c>
    </row>
    <row r="383" spans="1:14" x14ac:dyDescent="0.25">
      <c r="A383" s="505" t="s">
        <v>2031</v>
      </c>
      <c r="B383" s="505" t="s">
        <v>2032</v>
      </c>
      <c r="C383" s="512" t="s">
        <v>7872</v>
      </c>
      <c r="D383" s="512" t="s">
        <v>7895</v>
      </c>
      <c r="E383" s="512" t="s">
        <v>7896</v>
      </c>
      <c r="F383" s="512" t="s">
        <v>7878</v>
      </c>
      <c r="G383" s="512" t="s">
        <v>7898</v>
      </c>
      <c r="L383" s="505" t="s">
        <v>1205</v>
      </c>
      <c r="M383" s="516">
        <v>69.41</v>
      </c>
      <c r="N383" s="505" t="s">
        <v>1205</v>
      </c>
    </row>
    <row r="384" spans="1:14" x14ac:dyDescent="0.25">
      <c r="A384" s="505" t="s">
        <v>2033</v>
      </c>
      <c r="B384" s="505" t="s">
        <v>2034</v>
      </c>
      <c r="C384" s="512" t="s">
        <v>7872</v>
      </c>
      <c r="D384" s="512" t="s">
        <v>7895</v>
      </c>
      <c r="E384" s="512" t="s">
        <v>7896</v>
      </c>
      <c r="F384" s="512" t="s">
        <v>7437</v>
      </c>
      <c r="G384" s="512" t="s">
        <v>7862</v>
      </c>
      <c r="L384" s="505" t="s">
        <v>1205</v>
      </c>
      <c r="M384" s="516">
        <v>8.5</v>
      </c>
      <c r="N384" s="505" t="s">
        <v>1205</v>
      </c>
    </row>
    <row r="385" spans="1:14" x14ac:dyDescent="0.25">
      <c r="A385" s="505" t="s">
        <v>2035</v>
      </c>
      <c r="B385" s="505" t="s">
        <v>2036</v>
      </c>
      <c r="C385" s="512" t="s">
        <v>7872</v>
      </c>
      <c r="D385" s="512" t="s">
        <v>7895</v>
      </c>
      <c r="E385" s="512" t="s">
        <v>7896</v>
      </c>
      <c r="F385" s="512" t="s">
        <v>7437</v>
      </c>
      <c r="G385" s="512" t="s">
        <v>7898</v>
      </c>
      <c r="L385" s="505" t="s">
        <v>1205</v>
      </c>
      <c r="M385" s="516">
        <v>69.41</v>
      </c>
      <c r="N385" s="505" t="s">
        <v>1205</v>
      </c>
    </row>
    <row r="386" spans="1:14" x14ac:dyDescent="0.25">
      <c r="A386" s="505" t="s">
        <v>2037</v>
      </c>
      <c r="B386" s="505" t="s">
        <v>2038</v>
      </c>
      <c r="C386" s="512" t="s">
        <v>7872</v>
      </c>
      <c r="D386" s="512" t="s">
        <v>7895</v>
      </c>
      <c r="E386" s="512" t="s">
        <v>7896</v>
      </c>
      <c r="F386" s="512" t="s">
        <v>7437</v>
      </c>
      <c r="G386" s="512" t="s">
        <v>7809</v>
      </c>
      <c r="L386" s="505" t="s">
        <v>1205</v>
      </c>
      <c r="M386" s="516">
        <v>391.5</v>
      </c>
      <c r="N386" s="505" t="s">
        <v>1205</v>
      </c>
    </row>
    <row r="387" spans="1:14" x14ac:dyDescent="0.25">
      <c r="A387" s="505" t="s">
        <v>2039</v>
      </c>
      <c r="B387" s="505" t="s">
        <v>2040</v>
      </c>
      <c r="C387" s="512" t="s">
        <v>7872</v>
      </c>
      <c r="D387" s="512" t="s">
        <v>7895</v>
      </c>
      <c r="E387" s="512" t="s">
        <v>7896</v>
      </c>
      <c r="F387" s="512" t="s">
        <v>7899</v>
      </c>
      <c r="G387" s="512" t="s">
        <v>7862</v>
      </c>
      <c r="L387" s="505" t="s">
        <v>1205</v>
      </c>
      <c r="M387" s="516">
        <v>8.5</v>
      </c>
      <c r="N387" s="505" t="s">
        <v>1205</v>
      </c>
    </row>
    <row r="388" spans="1:14" x14ac:dyDescent="0.25">
      <c r="A388" s="505" t="s">
        <v>2041</v>
      </c>
      <c r="B388" s="505" t="s">
        <v>2042</v>
      </c>
      <c r="C388" s="512" t="s">
        <v>7872</v>
      </c>
      <c r="D388" s="512" t="s">
        <v>7895</v>
      </c>
      <c r="E388" s="512" t="s">
        <v>7896</v>
      </c>
      <c r="F388" s="512" t="s">
        <v>7899</v>
      </c>
      <c r="G388" s="512" t="s">
        <v>7898</v>
      </c>
      <c r="L388" s="505" t="s">
        <v>1205</v>
      </c>
      <c r="M388" s="516">
        <v>69.41</v>
      </c>
      <c r="N388" s="505" t="s">
        <v>1205</v>
      </c>
    </row>
    <row r="389" spans="1:14" x14ac:dyDescent="0.25">
      <c r="A389" s="505" t="s">
        <v>2043</v>
      </c>
      <c r="B389" s="505" t="s">
        <v>2044</v>
      </c>
      <c r="C389" s="512" t="s">
        <v>7872</v>
      </c>
      <c r="D389" s="512" t="s">
        <v>7895</v>
      </c>
      <c r="E389" s="512" t="s">
        <v>7896</v>
      </c>
      <c r="F389" s="512" t="s">
        <v>7800</v>
      </c>
      <c r="G389" s="512" t="s">
        <v>7862</v>
      </c>
      <c r="L389" s="505" t="s">
        <v>1205</v>
      </c>
      <c r="M389" s="516">
        <v>8.5</v>
      </c>
      <c r="N389" s="505" t="s">
        <v>1205</v>
      </c>
    </row>
    <row r="390" spans="1:14" x14ac:dyDescent="0.25">
      <c r="A390" s="505" t="s">
        <v>2045</v>
      </c>
      <c r="B390" s="505" t="s">
        <v>2046</v>
      </c>
      <c r="C390" s="512" t="s">
        <v>7872</v>
      </c>
      <c r="D390" s="512" t="s">
        <v>7895</v>
      </c>
      <c r="E390" s="512" t="s">
        <v>7896</v>
      </c>
      <c r="F390" s="512" t="s">
        <v>7800</v>
      </c>
      <c r="G390" s="512" t="s">
        <v>7898</v>
      </c>
      <c r="L390" s="505" t="s">
        <v>1205</v>
      </c>
      <c r="M390" s="516">
        <v>69.41</v>
      </c>
      <c r="N390" s="505" t="s">
        <v>1205</v>
      </c>
    </row>
    <row r="391" spans="1:14" x14ac:dyDescent="0.25">
      <c r="A391" s="505" t="s">
        <v>2047</v>
      </c>
      <c r="B391" s="505" t="s">
        <v>2048</v>
      </c>
      <c r="C391" s="512" t="s">
        <v>7872</v>
      </c>
      <c r="D391" s="512" t="s">
        <v>7895</v>
      </c>
      <c r="E391" s="512" t="s">
        <v>7896</v>
      </c>
      <c r="F391" s="512" t="s">
        <v>7432</v>
      </c>
      <c r="G391" s="512" t="s">
        <v>7862</v>
      </c>
      <c r="L391" s="505" t="s">
        <v>1205</v>
      </c>
      <c r="M391" s="516">
        <v>8.5</v>
      </c>
      <c r="N391" s="505" t="s">
        <v>1205</v>
      </c>
    </row>
    <row r="392" spans="1:14" x14ac:dyDescent="0.25">
      <c r="A392" s="505" t="s">
        <v>2049</v>
      </c>
      <c r="B392" s="505" t="s">
        <v>2050</v>
      </c>
      <c r="C392" s="512" t="s">
        <v>35</v>
      </c>
      <c r="D392" s="512" t="s">
        <v>7900</v>
      </c>
      <c r="E392" s="512" t="s">
        <v>7901</v>
      </c>
      <c r="F392" s="512" t="s">
        <v>143</v>
      </c>
      <c r="G392" s="512" t="s">
        <v>7902</v>
      </c>
      <c r="L392" s="505" t="s">
        <v>1205</v>
      </c>
      <c r="M392" s="516">
        <v>69.41</v>
      </c>
      <c r="N392" s="505" t="s">
        <v>1205</v>
      </c>
    </row>
    <row r="393" spans="1:14" x14ac:dyDescent="0.25">
      <c r="A393" s="505" t="s">
        <v>2051</v>
      </c>
      <c r="B393" s="505" t="s">
        <v>2052</v>
      </c>
      <c r="C393" s="512" t="s">
        <v>7872</v>
      </c>
      <c r="D393" s="512" t="s">
        <v>7895</v>
      </c>
      <c r="E393" s="512" t="s">
        <v>7896</v>
      </c>
      <c r="F393" s="512" t="s">
        <v>7881</v>
      </c>
      <c r="G393" s="512" t="s">
        <v>7862</v>
      </c>
      <c r="L393" s="505" t="s">
        <v>1205</v>
      </c>
      <c r="M393" s="516">
        <v>8.5</v>
      </c>
      <c r="N393" s="505" t="s">
        <v>1205</v>
      </c>
    </row>
    <row r="394" spans="1:14" x14ac:dyDescent="0.25">
      <c r="A394" s="505" t="s">
        <v>2053</v>
      </c>
      <c r="B394" s="505" t="s">
        <v>2054</v>
      </c>
      <c r="C394" s="512" t="s">
        <v>7872</v>
      </c>
      <c r="D394" s="512" t="s">
        <v>7895</v>
      </c>
      <c r="E394" s="512" t="s">
        <v>7896</v>
      </c>
      <c r="F394" s="512" t="s">
        <v>7881</v>
      </c>
      <c r="G394" s="512" t="s">
        <v>7898</v>
      </c>
      <c r="L394" s="505" t="s">
        <v>1205</v>
      </c>
      <c r="M394" s="516">
        <v>69.41</v>
      </c>
      <c r="N394" s="505" t="s">
        <v>1205</v>
      </c>
    </row>
    <row r="395" spans="1:14" x14ac:dyDescent="0.25">
      <c r="A395" s="505" t="s">
        <v>2055</v>
      </c>
      <c r="B395" s="505" t="s">
        <v>2056</v>
      </c>
      <c r="C395" s="512" t="s">
        <v>7872</v>
      </c>
      <c r="D395" s="512" t="s">
        <v>7895</v>
      </c>
      <c r="E395" s="512" t="s">
        <v>7896</v>
      </c>
      <c r="F395" s="512" t="s">
        <v>7882</v>
      </c>
      <c r="G395" s="512" t="s">
        <v>7862</v>
      </c>
      <c r="L395" s="505" t="s">
        <v>1205</v>
      </c>
      <c r="M395" s="516">
        <v>8.5</v>
      </c>
      <c r="N395" s="505" t="s">
        <v>1205</v>
      </c>
    </row>
    <row r="396" spans="1:14" x14ac:dyDescent="0.25">
      <c r="A396" s="505" t="s">
        <v>2057</v>
      </c>
      <c r="B396" s="505" t="s">
        <v>2058</v>
      </c>
      <c r="C396" s="512" t="s">
        <v>7872</v>
      </c>
      <c r="D396" s="512" t="s">
        <v>7895</v>
      </c>
      <c r="E396" s="512" t="s">
        <v>7896</v>
      </c>
      <c r="F396" s="512" t="s">
        <v>7882</v>
      </c>
      <c r="G396" s="512" t="s">
        <v>7898</v>
      </c>
      <c r="L396" s="505" t="s">
        <v>1205</v>
      </c>
      <c r="M396" s="516">
        <v>69.41</v>
      </c>
      <c r="N396" s="505" t="s">
        <v>1205</v>
      </c>
    </row>
    <row r="397" spans="1:14" x14ac:dyDescent="0.25">
      <c r="A397" s="505" t="s">
        <v>2059</v>
      </c>
      <c r="B397" s="505" t="s">
        <v>2060</v>
      </c>
      <c r="C397" s="512" t="s">
        <v>7872</v>
      </c>
      <c r="D397" s="512" t="s">
        <v>7895</v>
      </c>
      <c r="E397" s="512" t="s">
        <v>7896</v>
      </c>
      <c r="F397" s="512" t="s">
        <v>7883</v>
      </c>
      <c r="G397" s="512" t="s">
        <v>7799</v>
      </c>
      <c r="H397" s="512" t="s">
        <v>7862</v>
      </c>
      <c r="L397" s="505" t="s">
        <v>1205</v>
      </c>
      <c r="M397" s="516">
        <v>8.5</v>
      </c>
      <c r="N397" s="505" t="s">
        <v>1205</v>
      </c>
    </row>
    <row r="398" spans="1:14" x14ac:dyDescent="0.25">
      <c r="A398" s="505" t="s">
        <v>2061</v>
      </c>
      <c r="B398" s="505" t="s">
        <v>2062</v>
      </c>
      <c r="C398" s="512" t="s">
        <v>7872</v>
      </c>
      <c r="D398" s="512" t="s">
        <v>7895</v>
      </c>
      <c r="E398" s="512" t="s">
        <v>7896</v>
      </c>
      <c r="F398" s="512" t="s">
        <v>7883</v>
      </c>
      <c r="G398" s="512" t="s">
        <v>7799</v>
      </c>
      <c r="H398" s="512" t="s">
        <v>7898</v>
      </c>
      <c r="L398" s="505" t="s">
        <v>1205</v>
      </c>
      <c r="M398" s="516">
        <v>69.41</v>
      </c>
      <c r="N398" s="505" t="s">
        <v>1205</v>
      </c>
    </row>
    <row r="399" spans="1:14" x14ac:dyDescent="0.25">
      <c r="A399" s="505" t="s">
        <v>2063</v>
      </c>
      <c r="B399" s="505" t="s">
        <v>2064</v>
      </c>
      <c r="C399" s="512" t="s">
        <v>7872</v>
      </c>
      <c r="D399" s="512" t="s">
        <v>7895</v>
      </c>
      <c r="E399" s="512" t="s">
        <v>7896</v>
      </c>
      <c r="F399" s="512" t="s">
        <v>7903</v>
      </c>
      <c r="G399" s="512" t="s">
        <v>7862</v>
      </c>
      <c r="L399" s="505" t="s">
        <v>1205</v>
      </c>
      <c r="M399" s="516">
        <v>8.5</v>
      </c>
      <c r="N399" s="505" t="s">
        <v>1205</v>
      </c>
    </row>
    <row r="400" spans="1:14" x14ac:dyDescent="0.25">
      <c r="A400" s="505" t="s">
        <v>2065</v>
      </c>
      <c r="B400" s="505" t="s">
        <v>2066</v>
      </c>
      <c r="C400" s="512" t="s">
        <v>7872</v>
      </c>
      <c r="D400" s="512" t="s">
        <v>7895</v>
      </c>
      <c r="E400" s="512" t="s">
        <v>7896</v>
      </c>
      <c r="F400" s="512" t="s">
        <v>7903</v>
      </c>
      <c r="G400" s="512" t="s">
        <v>7898</v>
      </c>
      <c r="L400" s="505" t="s">
        <v>1205</v>
      </c>
      <c r="M400" s="516">
        <v>69.41</v>
      </c>
      <c r="N400" s="505" t="s">
        <v>1205</v>
      </c>
    </row>
    <row r="401" spans="1:14" x14ac:dyDescent="0.25">
      <c r="A401" s="505" t="s">
        <v>2067</v>
      </c>
      <c r="B401" s="505" t="s">
        <v>2068</v>
      </c>
      <c r="C401" s="512" t="s">
        <v>7872</v>
      </c>
      <c r="D401" s="512" t="s">
        <v>7895</v>
      </c>
      <c r="E401" s="512" t="s">
        <v>7896</v>
      </c>
      <c r="F401" s="512" t="s">
        <v>7904</v>
      </c>
      <c r="G401" s="512" t="s">
        <v>7862</v>
      </c>
      <c r="L401" s="505" t="s">
        <v>1205</v>
      </c>
      <c r="M401" s="516">
        <v>8.5</v>
      </c>
      <c r="N401" s="505" t="s">
        <v>1205</v>
      </c>
    </row>
    <row r="402" spans="1:14" x14ac:dyDescent="0.25">
      <c r="A402" s="505" t="s">
        <v>2069</v>
      </c>
      <c r="B402" s="505" t="s">
        <v>2070</v>
      </c>
      <c r="C402" s="512" t="s">
        <v>7872</v>
      </c>
      <c r="D402" s="512" t="s">
        <v>7895</v>
      </c>
      <c r="E402" s="512" t="s">
        <v>7896</v>
      </c>
      <c r="F402" s="512" t="s">
        <v>7904</v>
      </c>
      <c r="G402" s="512" t="s">
        <v>7898</v>
      </c>
      <c r="L402" s="505" t="s">
        <v>1205</v>
      </c>
      <c r="M402" s="516">
        <v>69.41</v>
      </c>
      <c r="N402" s="505" t="s">
        <v>1205</v>
      </c>
    </row>
    <row r="403" spans="1:14" x14ac:dyDescent="0.25">
      <c r="A403" s="505" t="s">
        <v>2071</v>
      </c>
      <c r="B403" s="505" t="s">
        <v>2072</v>
      </c>
      <c r="C403" s="512" t="s">
        <v>7872</v>
      </c>
      <c r="D403" s="512" t="s">
        <v>7895</v>
      </c>
      <c r="E403" s="512" t="s">
        <v>7896</v>
      </c>
      <c r="F403" s="512" t="s">
        <v>7454</v>
      </c>
      <c r="G403" s="512" t="s">
        <v>7862</v>
      </c>
      <c r="L403" s="505" t="s">
        <v>1205</v>
      </c>
      <c r="M403" s="516">
        <v>8.5</v>
      </c>
      <c r="N403" s="505" t="s">
        <v>1205</v>
      </c>
    </row>
    <row r="404" spans="1:14" x14ac:dyDescent="0.25">
      <c r="A404" s="505" t="s">
        <v>2073</v>
      </c>
      <c r="B404" s="505" t="s">
        <v>2074</v>
      </c>
      <c r="C404" s="512" t="s">
        <v>7872</v>
      </c>
      <c r="D404" s="512" t="s">
        <v>7895</v>
      </c>
      <c r="E404" s="512" t="s">
        <v>7896</v>
      </c>
      <c r="F404" s="512" t="s">
        <v>7454</v>
      </c>
      <c r="G404" s="512" t="s">
        <v>7898</v>
      </c>
      <c r="L404" s="505" t="s">
        <v>1205</v>
      </c>
      <c r="M404" s="516">
        <v>69.41</v>
      </c>
      <c r="N404" s="505" t="s">
        <v>1205</v>
      </c>
    </row>
    <row r="405" spans="1:14" x14ac:dyDescent="0.25">
      <c r="A405" s="505" t="s">
        <v>2075</v>
      </c>
      <c r="B405" s="505" t="s">
        <v>2076</v>
      </c>
      <c r="C405" s="512" t="s">
        <v>7872</v>
      </c>
      <c r="D405" s="512" t="s">
        <v>7895</v>
      </c>
      <c r="E405" s="512" t="s">
        <v>7896</v>
      </c>
      <c r="F405" s="512" t="s">
        <v>7433</v>
      </c>
      <c r="G405" s="512" t="s">
        <v>7862</v>
      </c>
      <c r="L405" s="505" t="s">
        <v>1205</v>
      </c>
      <c r="M405" s="516">
        <v>8.5</v>
      </c>
      <c r="N405" s="505" t="s">
        <v>1205</v>
      </c>
    </row>
    <row r="406" spans="1:14" x14ac:dyDescent="0.25">
      <c r="A406" s="505" t="s">
        <v>2077</v>
      </c>
      <c r="B406" s="505" t="s">
        <v>2078</v>
      </c>
      <c r="C406" s="512" t="s">
        <v>7872</v>
      </c>
      <c r="D406" s="512" t="s">
        <v>7895</v>
      </c>
      <c r="E406" s="512" t="s">
        <v>7896</v>
      </c>
      <c r="F406" s="512" t="s">
        <v>7433</v>
      </c>
      <c r="G406" s="512" t="s">
        <v>7898</v>
      </c>
      <c r="L406" s="505" t="s">
        <v>1205</v>
      </c>
      <c r="M406" s="516">
        <v>69.41</v>
      </c>
      <c r="N406" s="505" t="s">
        <v>1205</v>
      </c>
    </row>
    <row r="407" spans="1:14" x14ac:dyDescent="0.25">
      <c r="A407" s="505" t="s">
        <v>2079</v>
      </c>
      <c r="B407" s="505" t="s">
        <v>2080</v>
      </c>
      <c r="C407" s="512" t="s">
        <v>7872</v>
      </c>
      <c r="D407" s="512" t="s">
        <v>7895</v>
      </c>
      <c r="E407" s="512" t="s">
        <v>7896</v>
      </c>
      <c r="F407" s="512" t="s">
        <v>7905</v>
      </c>
      <c r="G407" s="512" t="s">
        <v>7887</v>
      </c>
      <c r="H407" s="512" t="s">
        <v>7862</v>
      </c>
      <c r="L407" s="505" t="s">
        <v>1205</v>
      </c>
      <c r="M407" s="516">
        <v>8.5</v>
      </c>
      <c r="N407" s="505" t="s">
        <v>1205</v>
      </c>
    </row>
    <row r="408" spans="1:14" x14ac:dyDescent="0.25">
      <c r="A408" s="505" t="s">
        <v>2081</v>
      </c>
      <c r="B408" s="505" t="s">
        <v>2082</v>
      </c>
      <c r="C408" s="512" t="s">
        <v>7872</v>
      </c>
      <c r="D408" s="512" t="s">
        <v>7895</v>
      </c>
      <c r="E408" s="512" t="s">
        <v>7896</v>
      </c>
      <c r="F408" s="512" t="s">
        <v>7905</v>
      </c>
      <c r="G408" s="512" t="s">
        <v>7887</v>
      </c>
      <c r="H408" s="512" t="s">
        <v>7898</v>
      </c>
      <c r="L408" s="505" t="s">
        <v>1205</v>
      </c>
      <c r="M408" s="516">
        <v>69.41</v>
      </c>
      <c r="N408" s="505" t="s">
        <v>1205</v>
      </c>
    </row>
    <row r="409" spans="1:14" x14ac:dyDescent="0.25">
      <c r="A409" s="505" t="s">
        <v>2083</v>
      </c>
      <c r="B409" s="505" t="s">
        <v>2084</v>
      </c>
      <c r="C409" s="512" t="s">
        <v>7872</v>
      </c>
      <c r="D409" s="512" t="s">
        <v>7895</v>
      </c>
      <c r="E409" s="512" t="s">
        <v>7896</v>
      </c>
      <c r="F409" s="512" t="s">
        <v>7906</v>
      </c>
      <c r="G409" s="512" t="s">
        <v>7862</v>
      </c>
      <c r="L409" s="505" t="s">
        <v>1205</v>
      </c>
      <c r="M409" s="516">
        <v>8.5</v>
      </c>
      <c r="N409" s="505" t="s">
        <v>1205</v>
      </c>
    </row>
    <row r="410" spans="1:14" x14ac:dyDescent="0.25">
      <c r="A410" s="505" t="s">
        <v>2085</v>
      </c>
      <c r="B410" s="505" t="s">
        <v>2086</v>
      </c>
      <c r="C410" s="512" t="s">
        <v>7872</v>
      </c>
      <c r="D410" s="512" t="s">
        <v>7895</v>
      </c>
      <c r="E410" s="512" t="s">
        <v>7896</v>
      </c>
      <c r="F410" s="512" t="s">
        <v>7906</v>
      </c>
      <c r="G410" s="512" t="s">
        <v>7898</v>
      </c>
      <c r="L410" s="505" t="s">
        <v>1205</v>
      </c>
      <c r="M410" s="516">
        <v>69.41</v>
      </c>
      <c r="N410" s="505" t="s">
        <v>1205</v>
      </c>
    </row>
    <row r="411" spans="1:14" x14ac:dyDescent="0.25">
      <c r="A411" s="505" t="s">
        <v>2087</v>
      </c>
      <c r="B411" s="505" t="s">
        <v>2088</v>
      </c>
      <c r="C411" s="512" t="s">
        <v>7872</v>
      </c>
      <c r="D411" s="512" t="s">
        <v>7895</v>
      </c>
      <c r="E411" s="512" t="s">
        <v>7896</v>
      </c>
      <c r="F411" s="512" t="s">
        <v>7889</v>
      </c>
      <c r="G411" s="512" t="s">
        <v>7862</v>
      </c>
      <c r="L411" s="505" t="s">
        <v>1205</v>
      </c>
      <c r="M411" s="516">
        <v>8.5</v>
      </c>
      <c r="N411" s="505" t="s">
        <v>1205</v>
      </c>
    </row>
    <row r="412" spans="1:14" x14ac:dyDescent="0.25">
      <c r="A412" s="505" t="s">
        <v>2089</v>
      </c>
      <c r="B412" s="505" t="s">
        <v>2090</v>
      </c>
      <c r="C412" s="512" t="s">
        <v>7872</v>
      </c>
      <c r="D412" s="512" t="s">
        <v>7895</v>
      </c>
      <c r="E412" s="512" t="s">
        <v>7896</v>
      </c>
      <c r="F412" s="512" t="s">
        <v>7889</v>
      </c>
      <c r="G412" s="512" t="s">
        <v>7898</v>
      </c>
      <c r="L412" s="505" t="s">
        <v>1205</v>
      </c>
      <c r="M412" s="516">
        <v>69.41</v>
      </c>
      <c r="N412" s="505" t="s">
        <v>1205</v>
      </c>
    </row>
    <row r="413" spans="1:14" x14ac:dyDescent="0.25">
      <c r="A413" s="505" t="s">
        <v>2091</v>
      </c>
      <c r="B413" s="505" t="s">
        <v>2092</v>
      </c>
      <c r="C413" s="512" t="s">
        <v>7872</v>
      </c>
      <c r="D413" s="512" t="s">
        <v>7895</v>
      </c>
      <c r="E413" s="512" t="s">
        <v>7896</v>
      </c>
      <c r="F413" s="512" t="s">
        <v>7890</v>
      </c>
      <c r="G413" s="512" t="s">
        <v>7881</v>
      </c>
      <c r="H413" s="512" t="s">
        <v>7862</v>
      </c>
      <c r="L413" s="505" t="s">
        <v>1205</v>
      </c>
      <c r="M413" s="516">
        <v>8.5</v>
      </c>
      <c r="N413" s="505" t="s">
        <v>1205</v>
      </c>
    </row>
    <row r="414" spans="1:14" x14ac:dyDescent="0.25">
      <c r="A414" s="505" t="s">
        <v>2093</v>
      </c>
      <c r="B414" s="505" t="s">
        <v>2094</v>
      </c>
      <c r="C414" s="512" t="s">
        <v>7872</v>
      </c>
      <c r="D414" s="512" t="s">
        <v>7895</v>
      </c>
      <c r="E414" s="512" t="s">
        <v>7896</v>
      </c>
      <c r="F414" s="512" t="s">
        <v>7890</v>
      </c>
      <c r="G414" s="512" t="s">
        <v>7881</v>
      </c>
      <c r="H414" s="512" t="s">
        <v>7898</v>
      </c>
      <c r="L414" s="505" t="s">
        <v>1205</v>
      </c>
      <c r="M414" s="516">
        <v>69.41</v>
      </c>
      <c r="N414" s="505" t="s">
        <v>1205</v>
      </c>
    </row>
    <row r="415" spans="1:14" x14ac:dyDescent="0.25">
      <c r="A415" s="505" t="s">
        <v>2095</v>
      </c>
      <c r="B415" s="505" t="s">
        <v>2096</v>
      </c>
      <c r="C415" s="512" t="s">
        <v>7872</v>
      </c>
      <c r="D415" s="512" t="s">
        <v>7895</v>
      </c>
      <c r="E415" s="512" t="s">
        <v>7896</v>
      </c>
      <c r="F415" s="512" t="s">
        <v>7803</v>
      </c>
      <c r="G415" s="512" t="s">
        <v>7862</v>
      </c>
      <c r="L415" s="505" t="s">
        <v>1205</v>
      </c>
      <c r="M415" s="516">
        <v>8.5</v>
      </c>
      <c r="N415" s="505" t="s">
        <v>1205</v>
      </c>
    </row>
    <row r="416" spans="1:14" x14ac:dyDescent="0.25">
      <c r="A416" s="505" t="s">
        <v>2097</v>
      </c>
      <c r="B416" s="505" t="s">
        <v>2098</v>
      </c>
      <c r="C416" s="512" t="s">
        <v>7872</v>
      </c>
      <c r="D416" s="512" t="s">
        <v>7895</v>
      </c>
      <c r="E416" s="512" t="s">
        <v>7896</v>
      </c>
      <c r="F416" s="512" t="s">
        <v>7803</v>
      </c>
      <c r="G416" s="512" t="s">
        <v>7898</v>
      </c>
      <c r="L416" s="505" t="s">
        <v>1205</v>
      </c>
      <c r="M416" s="516">
        <v>69.41</v>
      </c>
      <c r="N416" s="505" t="s">
        <v>1205</v>
      </c>
    </row>
    <row r="417" spans="1:14" x14ac:dyDescent="0.25">
      <c r="A417" s="505" t="s">
        <v>2099</v>
      </c>
      <c r="B417" s="505" t="s">
        <v>2100</v>
      </c>
      <c r="C417" s="512" t="s">
        <v>7872</v>
      </c>
      <c r="D417" s="512" t="s">
        <v>7895</v>
      </c>
      <c r="E417" s="512" t="s">
        <v>7896</v>
      </c>
      <c r="F417" s="512" t="s">
        <v>7907</v>
      </c>
      <c r="G417" s="512" t="s">
        <v>7799</v>
      </c>
      <c r="H417" s="512" t="s">
        <v>7862</v>
      </c>
      <c r="L417" s="505" t="s">
        <v>1205</v>
      </c>
      <c r="M417" s="516">
        <v>8.5</v>
      </c>
      <c r="N417" s="505" t="s">
        <v>1205</v>
      </c>
    </row>
    <row r="418" spans="1:14" x14ac:dyDescent="0.25">
      <c r="A418" s="505" t="s">
        <v>2101</v>
      </c>
      <c r="B418" s="505" t="s">
        <v>2102</v>
      </c>
      <c r="C418" s="512" t="s">
        <v>7872</v>
      </c>
      <c r="D418" s="512" t="s">
        <v>7895</v>
      </c>
      <c r="E418" s="512" t="s">
        <v>7896</v>
      </c>
      <c r="F418" s="512" t="s">
        <v>7907</v>
      </c>
      <c r="G418" s="512" t="s">
        <v>7799</v>
      </c>
      <c r="H418" s="512" t="s">
        <v>7898</v>
      </c>
      <c r="L418" s="505" t="s">
        <v>1205</v>
      </c>
      <c r="M418" s="516">
        <v>69.41</v>
      </c>
      <c r="N418" s="505" t="s">
        <v>1205</v>
      </c>
    </row>
    <row r="419" spans="1:14" x14ac:dyDescent="0.25">
      <c r="A419" s="505" t="s">
        <v>2103</v>
      </c>
      <c r="B419" s="505" t="s">
        <v>2104</v>
      </c>
      <c r="C419" s="512" t="s">
        <v>7872</v>
      </c>
      <c r="D419" s="512" t="s">
        <v>7895</v>
      </c>
      <c r="E419" s="512" t="s">
        <v>7896</v>
      </c>
      <c r="F419" s="512" t="s">
        <v>7721</v>
      </c>
      <c r="G419" s="512" t="s">
        <v>7862</v>
      </c>
      <c r="L419" s="505" t="s">
        <v>1205</v>
      </c>
      <c r="M419" s="516">
        <v>8.5</v>
      </c>
      <c r="N419" s="505" t="s">
        <v>1205</v>
      </c>
    </row>
    <row r="420" spans="1:14" x14ac:dyDescent="0.25">
      <c r="A420" s="505" t="s">
        <v>2105</v>
      </c>
      <c r="B420" s="505" t="s">
        <v>2106</v>
      </c>
      <c r="C420" s="512" t="s">
        <v>7872</v>
      </c>
      <c r="D420" s="512" t="s">
        <v>7895</v>
      </c>
      <c r="E420" s="512" t="s">
        <v>7896</v>
      </c>
      <c r="F420" s="512" t="s">
        <v>7721</v>
      </c>
      <c r="G420" s="512" t="s">
        <v>7898</v>
      </c>
      <c r="L420" s="505" t="s">
        <v>1205</v>
      </c>
      <c r="M420" s="516">
        <v>69.41</v>
      </c>
      <c r="N420" s="505" t="s">
        <v>1205</v>
      </c>
    </row>
    <row r="421" spans="1:14" x14ac:dyDescent="0.25">
      <c r="A421" s="505" t="s">
        <v>2107</v>
      </c>
      <c r="B421" s="505" t="s">
        <v>2108</v>
      </c>
      <c r="C421" s="512" t="s">
        <v>7872</v>
      </c>
      <c r="D421" s="512" t="s">
        <v>7895</v>
      </c>
      <c r="E421" s="512" t="s">
        <v>7896</v>
      </c>
      <c r="F421" s="512" t="s">
        <v>7721</v>
      </c>
      <c r="G421" s="512" t="s">
        <v>7809</v>
      </c>
      <c r="L421" s="505" t="s">
        <v>1205</v>
      </c>
      <c r="M421" s="516">
        <v>391.5</v>
      </c>
      <c r="N421" s="505" t="s">
        <v>1205</v>
      </c>
    </row>
    <row r="422" spans="1:14" x14ac:dyDescent="0.25">
      <c r="A422" s="505" t="s">
        <v>2109</v>
      </c>
      <c r="B422" s="505" t="s">
        <v>2110</v>
      </c>
      <c r="C422" s="512" t="s">
        <v>7872</v>
      </c>
      <c r="D422" s="512" t="s">
        <v>7895</v>
      </c>
      <c r="E422" s="512" t="s">
        <v>7896</v>
      </c>
      <c r="F422" s="512" t="s">
        <v>7804</v>
      </c>
      <c r="G422" s="512" t="s">
        <v>7862</v>
      </c>
      <c r="L422" s="505" t="s">
        <v>1205</v>
      </c>
      <c r="M422" s="516">
        <v>8.5</v>
      </c>
      <c r="N422" s="505" t="s">
        <v>1205</v>
      </c>
    </row>
    <row r="423" spans="1:14" x14ac:dyDescent="0.25">
      <c r="A423" s="505" t="s">
        <v>2111</v>
      </c>
      <c r="B423" s="505" t="s">
        <v>2112</v>
      </c>
      <c r="C423" s="512" t="s">
        <v>7872</v>
      </c>
      <c r="D423" s="512" t="s">
        <v>7895</v>
      </c>
      <c r="E423" s="512" t="s">
        <v>7896</v>
      </c>
      <c r="F423" s="512" t="s">
        <v>7804</v>
      </c>
      <c r="G423" s="512" t="s">
        <v>7898</v>
      </c>
      <c r="L423" s="505" t="s">
        <v>1205</v>
      </c>
      <c r="M423" s="516">
        <v>69.41</v>
      </c>
      <c r="N423" s="505" t="s">
        <v>1205</v>
      </c>
    </row>
    <row r="424" spans="1:14" x14ac:dyDescent="0.25">
      <c r="A424" s="505" t="s">
        <v>2113</v>
      </c>
      <c r="B424" s="505" t="s">
        <v>2114</v>
      </c>
      <c r="C424" s="512" t="s">
        <v>7872</v>
      </c>
      <c r="D424" s="512" t="s">
        <v>7895</v>
      </c>
      <c r="E424" s="512" t="s">
        <v>7896</v>
      </c>
      <c r="F424" s="512" t="s">
        <v>7895</v>
      </c>
      <c r="G424" s="512" t="s">
        <v>7862</v>
      </c>
      <c r="L424" s="505" t="s">
        <v>1205</v>
      </c>
      <c r="M424" s="516">
        <v>8.5</v>
      </c>
      <c r="N424" s="505" t="s">
        <v>1205</v>
      </c>
    </row>
    <row r="425" spans="1:14" x14ac:dyDescent="0.25">
      <c r="A425" s="505" t="s">
        <v>2115</v>
      </c>
      <c r="B425" s="505" t="s">
        <v>2116</v>
      </c>
      <c r="C425" s="512" t="s">
        <v>7872</v>
      </c>
      <c r="D425" s="512" t="s">
        <v>7895</v>
      </c>
      <c r="E425" s="512" t="s">
        <v>7896</v>
      </c>
      <c r="F425" s="512" t="s">
        <v>7895</v>
      </c>
      <c r="G425" s="512" t="s">
        <v>7898</v>
      </c>
      <c r="L425" s="505" t="s">
        <v>1205</v>
      </c>
      <c r="M425" s="516">
        <v>69.41</v>
      </c>
      <c r="N425" s="505" t="s">
        <v>1205</v>
      </c>
    </row>
    <row r="426" spans="1:14" x14ac:dyDescent="0.25">
      <c r="A426" s="505" t="s">
        <v>2117</v>
      </c>
      <c r="B426" s="505" t="s">
        <v>2118</v>
      </c>
      <c r="C426" s="512" t="s">
        <v>7908</v>
      </c>
      <c r="D426" s="512" t="s">
        <v>7817</v>
      </c>
      <c r="E426" s="512" t="s">
        <v>7818</v>
      </c>
      <c r="F426" s="512" t="s">
        <v>7811</v>
      </c>
      <c r="L426" s="505" t="s">
        <v>114</v>
      </c>
      <c r="M426" s="516">
        <v>5.55</v>
      </c>
      <c r="N426" s="505" t="s">
        <v>114</v>
      </c>
    </row>
    <row r="427" spans="1:14" x14ac:dyDescent="0.25">
      <c r="A427" s="505" t="s">
        <v>2119</v>
      </c>
      <c r="B427" s="505" t="s">
        <v>2120</v>
      </c>
      <c r="C427" s="512" t="s">
        <v>7908</v>
      </c>
      <c r="D427" s="514">
        <v>36895</v>
      </c>
      <c r="E427" s="512" t="s">
        <v>7909</v>
      </c>
      <c r="F427" s="512" t="s">
        <v>7910</v>
      </c>
      <c r="L427" s="505" t="s">
        <v>1204</v>
      </c>
      <c r="M427" s="516">
        <v>40</v>
      </c>
      <c r="N427" s="505" t="s">
        <v>1204</v>
      </c>
    </row>
    <row r="428" spans="1:14" x14ac:dyDescent="0.25">
      <c r="A428" s="505" t="s">
        <v>2121</v>
      </c>
      <c r="B428" s="505" t="s">
        <v>2122</v>
      </c>
      <c r="C428" s="512" t="s">
        <v>7908</v>
      </c>
      <c r="D428" s="514">
        <v>36954</v>
      </c>
      <c r="E428" s="512" t="s">
        <v>7909</v>
      </c>
      <c r="F428" s="512" t="s">
        <v>7910</v>
      </c>
      <c r="L428" s="505" t="s">
        <v>1204</v>
      </c>
      <c r="M428" s="516">
        <v>72.25</v>
      </c>
      <c r="N428" s="505" t="s">
        <v>1204</v>
      </c>
    </row>
    <row r="429" spans="1:14" x14ac:dyDescent="0.25">
      <c r="A429" s="505" t="s">
        <v>2123</v>
      </c>
      <c r="B429" s="505" t="s">
        <v>2124</v>
      </c>
      <c r="C429" s="512" t="s">
        <v>7911</v>
      </c>
      <c r="D429" s="512" t="s">
        <v>7854</v>
      </c>
      <c r="E429" s="512" t="s">
        <v>7841</v>
      </c>
      <c r="F429" s="512" t="s">
        <v>7433</v>
      </c>
      <c r="G429" s="512" t="s">
        <v>7912</v>
      </c>
      <c r="L429" s="505" t="s">
        <v>1205</v>
      </c>
      <c r="M429" s="516">
        <v>13.19</v>
      </c>
      <c r="N429" s="505" t="s">
        <v>1205</v>
      </c>
    </row>
    <row r="430" spans="1:14" x14ac:dyDescent="0.25">
      <c r="A430" s="505" t="s">
        <v>2125</v>
      </c>
      <c r="B430" s="505" t="s">
        <v>2126</v>
      </c>
      <c r="C430" s="512" t="s">
        <v>7908</v>
      </c>
      <c r="D430" s="514">
        <v>36893</v>
      </c>
      <c r="E430" s="512" t="s">
        <v>7913</v>
      </c>
      <c r="F430" s="512" t="s">
        <v>7914</v>
      </c>
      <c r="G430" s="512" t="s">
        <v>7915</v>
      </c>
      <c r="L430" s="505" t="s">
        <v>1205</v>
      </c>
      <c r="M430" s="516">
        <v>95.25</v>
      </c>
      <c r="N430" s="505" t="s">
        <v>1205</v>
      </c>
    </row>
    <row r="431" spans="1:14" x14ac:dyDescent="0.25">
      <c r="A431" s="505" t="s">
        <v>2127</v>
      </c>
      <c r="B431" s="505" t="s">
        <v>2128</v>
      </c>
      <c r="C431" s="512" t="s">
        <v>7908</v>
      </c>
      <c r="D431" s="512">
        <v>2</v>
      </c>
      <c r="E431" s="512" t="s">
        <v>7913</v>
      </c>
      <c r="F431" s="512" t="s">
        <v>7914</v>
      </c>
      <c r="G431" s="512" t="s">
        <v>7915</v>
      </c>
      <c r="L431" s="505" t="s">
        <v>1205</v>
      </c>
      <c r="M431" s="516">
        <v>75</v>
      </c>
      <c r="N431" s="505" t="s">
        <v>1205</v>
      </c>
    </row>
    <row r="432" spans="1:14" x14ac:dyDescent="0.25">
      <c r="A432" s="505" t="s">
        <v>2129</v>
      </c>
      <c r="B432" s="505" t="s">
        <v>2130</v>
      </c>
      <c r="C432" s="512" t="s">
        <v>7916</v>
      </c>
      <c r="D432" s="512" t="s">
        <v>7917</v>
      </c>
      <c r="E432" s="512" t="s">
        <v>7918</v>
      </c>
      <c r="F432" s="512" t="s">
        <v>7849</v>
      </c>
      <c r="G432" s="512" t="s">
        <v>7919</v>
      </c>
      <c r="H432" s="512" t="s">
        <v>7920</v>
      </c>
      <c r="L432" s="505" t="s">
        <v>1205</v>
      </c>
      <c r="M432" s="516">
        <v>116.59</v>
      </c>
      <c r="N432" s="505" t="s">
        <v>1205</v>
      </c>
    </row>
    <row r="433" spans="1:14" x14ac:dyDescent="0.25">
      <c r="A433" s="505" t="s">
        <v>2131</v>
      </c>
      <c r="B433" s="505" t="s">
        <v>2132</v>
      </c>
      <c r="C433" s="512" t="s">
        <v>7916</v>
      </c>
      <c r="D433" s="512" t="s">
        <v>7917</v>
      </c>
      <c r="E433" s="512" t="s">
        <v>7918</v>
      </c>
      <c r="F433" s="512" t="s">
        <v>7849</v>
      </c>
      <c r="G433" s="512" t="s">
        <v>7919</v>
      </c>
      <c r="H433" s="512" t="s">
        <v>7921</v>
      </c>
      <c r="L433" s="505" t="s">
        <v>1205</v>
      </c>
      <c r="M433" s="516">
        <v>17.440000000000001</v>
      </c>
      <c r="N433" s="505" t="s">
        <v>1205</v>
      </c>
    </row>
    <row r="434" spans="1:14" x14ac:dyDescent="0.25">
      <c r="A434" s="505" t="s">
        <v>2133</v>
      </c>
      <c r="B434" s="505" t="s">
        <v>2134</v>
      </c>
      <c r="C434" s="512" t="s">
        <v>7922</v>
      </c>
      <c r="D434" s="512" t="s">
        <v>238</v>
      </c>
      <c r="E434" s="512" t="s">
        <v>7853</v>
      </c>
      <c r="F434" s="512" t="s">
        <v>7567</v>
      </c>
      <c r="G434" s="512" t="s">
        <v>7525</v>
      </c>
      <c r="H434" s="512" t="s">
        <v>7923</v>
      </c>
      <c r="L434" s="505" t="s">
        <v>1205</v>
      </c>
      <c r="M434" s="516">
        <v>21.09</v>
      </c>
      <c r="N434" s="505" t="s">
        <v>1205</v>
      </c>
    </row>
    <row r="435" spans="1:14" x14ac:dyDescent="0.25">
      <c r="A435" s="505" t="s">
        <v>2135</v>
      </c>
      <c r="B435" s="505" t="s">
        <v>2136</v>
      </c>
      <c r="C435" s="512" t="s">
        <v>7922</v>
      </c>
      <c r="D435" s="512" t="s">
        <v>238</v>
      </c>
      <c r="E435" s="512" t="s">
        <v>7853</v>
      </c>
      <c r="F435" s="512" t="s">
        <v>7924</v>
      </c>
      <c r="G435" s="512" t="s">
        <v>675</v>
      </c>
      <c r="H435" s="512" t="s">
        <v>7925</v>
      </c>
      <c r="L435" s="505" t="s">
        <v>1205</v>
      </c>
      <c r="M435" s="516">
        <v>488</v>
      </c>
      <c r="N435" s="505" t="s">
        <v>1205</v>
      </c>
    </row>
    <row r="436" spans="1:14" x14ac:dyDescent="0.25">
      <c r="A436" s="505" t="s">
        <v>2137</v>
      </c>
      <c r="B436" s="505" t="s">
        <v>2138</v>
      </c>
      <c r="C436" s="512" t="s">
        <v>7922</v>
      </c>
      <c r="D436" s="512" t="s">
        <v>238</v>
      </c>
      <c r="E436" s="512" t="s">
        <v>7853</v>
      </c>
      <c r="F436" s="512" t="s">
        <v>7926</v>
      </c>
      <c r="G436" s="512" t="s">
        <v>7721</v>
      </c>
      <c r="H436" s="512" t="s">
        <v>7923</v>
      </c>
      <c r="L436" s="505" t="s">
        <v>1205</v>
      </c>
      <c r="M436" s="516">
        <v>21</v>
      </c>
      <c r="N436" s="505" t="s">
        <v>1205</v>
      </c>
    </row>
    <row r="437" spans="1:14" s="530" customFormat="1" x14ac:dyDescent="0.25">
      <c r="A437" s="530" t="s">
        <v>2139</v>
      </c>
      <c r="B437" s="530" t="s">
        <v>2140</v>
      </c>
      <c r="C437" s="531" t="s">
        <v>7922</v>
      </c>
      <c r="D437" s="531" t="s">
        <v>238</v>
      </c>
      <c r="E437" s="531" t="s">
        <v>7853</v>
      </c>
      <c r="F437" s="531" t="s">
        <v>7691</v>
      </c>
      <c r="G437" s="531" t="s">
        <v>511</v>
      </c>
      <c r="H437" s="531" t="s">
        <v>7927</v>
      </c>
      <c r="I437" s="531"/>
      <c r="L437" s="530" t="s">
        <v>1205</v>
      </c>
      <c r="M437" s="532">
        <v>0</v>
      </c>
      <c r="N437" s="530" t="s">
        <v>1544</v>
      </c>
    </row>
    <row r="438" spans="1:14" x14ac:dyDescent="0.25">
      <c r="A438" s="505" t="s">
        <v>2141</v>
      </c>
      <c r="B438" s="505" t="s">
        <v>2142</v>
      </c>
      <c r="C438" s="512" t="s">
        <v>7922</v>
      </c>
      <c r="D438" s="512" t="s">
        <v>238</v>
      </c>
      <c r="E438" s="512" t="s">
        <v>7853</v>
      </c>
      <c r="F438" s="512" t="s">
        <v>7691</v>
      </c>
      <c r="G438" s="512" t="s">
        <v>511</v>
      </c>
      <c r="H438" s="512" t="s">
        <v>7925</v>
      </c>
      <c r="L438" s="505" t="s">
        <v>1205</v>
      </c>
      <c r="M438" s="516">
        <v>488</v>
      </c>
      <c r="N438" s="505" t="s">
        <v>1205</v>
      </c>
    </row>
    <row r="439" spans="1:14" x14ac:dyDescent="0.25">
      <c r="A439" s="505" t="s">
        <v>2143</v>
      </c>
      <c r="B439" s="505" t="s">
        <v>2144</v>
      </c>
      <c r="C439" s="512" t="s">
        <v>7922</v>
      </c>
      <c r="D439" s="512" t="s">
        <v>238</v>
      </c>
      <c r="E439" s="512" t="s">
        <v>7853</v>
      </c>
      <c r="F439" s="512" t="s">
        <v>7928</v>
      </c>
      <c r="G439" s="512" t="s">
        <v>7445</v>
      </c>
      <c r="H439" s="512" t="s">
        <v>7923</v>
      </c>
      <c r="L439" s="505" t="s">
        <v>1205</v>
      </c>
      <c r="M439" s="516">
        <v>20.99</v>
      </c>
      <c r="N439" s="505" t="s">
        <v>1205</v>
      </c>
    </row>
    <row r="440" spans="1:14" x14ac:dyDescent="0.25">
      <c r="A440" s="505" t="s">
        <v>2145</v>
      </c>
      <c r="B440" s="505" t="s">
        <v>2146</v>
      </c>
      <c r="C440" s="512" t="s">
        <v>7922</v>
      </c>
      <c r="D440" s="512" t="s">
        <v>238</v>
      </c>
      <c r="E440" s="512" t="s">
        <v>7853</v>
      </c>
      <c r="F440" s="512" t="s">
        <v>7929</v>
      </c>
      <c r="G440" s="512" t="s">
        <v>7557</v>
      </c>
      <c r="H440" s="512" t="s">
        <v>7925</v>
      </c>
      <c r="L440" s="505" t="s">
        <v>1205</v>
      </c>
      <c r="M440" s="516">
        <v>488</v>
      </c>
      <c r="N440" s="505" t="s">
        <v>1205</v>
      </c>
    </row>
    <row r="441" spans="1:14" x14ac:dyDescent="0.25">
      <c r="A441" s="505" t="s">
        <v>2147</v>
      </c>
      <c r="B441" s="505" t="s">
        <v>2148</v>
      </c>
      <c r="C441" s="512" t="s">
        <v>7922</v>
      </c>
      <c r="D441" s="512" t="s">
        <v>238</v>
      </c>
      <c r="E441" s="512" t="s">
        <v>7853</v>
      </c>
      <c r="F441" s="512" t="s">
        <v>7930</v>
      </c>
      <c r="G441" s="512" t="s">
        <v>7436</v>
      </c>
      <c r="H441" s="512" t="s">
        <v>7923</v>
      </c>
      <c r="L441" s="505" t="s">
        <v>1205</v>
      </c>
      <c r="M441" s="516">
        <v>17.12</v>
      </c>
      <c r="N441" s="505" t="s">
        <v>1205</v>
      </c>
    </row>
    <row r="442" spans="1:14" x14ac:dyDescent="0.25">
      <c r="A442" s="505" t="s">
        <v>2149</v>
      </c>
      <c r="B442" s="505" t="s">
        <v>2150</v>
      </c>
      <c r="C442" s="512" t="s">
        <v>7922</v>
      </c>
      <c r="D442" s="512" t="s">
        <v>238</v>
      </c>
      <c r="E442" s="512" t="s">
        <v>7853</v>
      </c>
      <c r="F442" s="512" t="s">
        <v>7931</v>
      </c>
      <c r="G442" s="512" t="s">
        <v>361</v>
      </c>
      <c r="H442" s="512" t="s">
        <v>7925</v>
      </c>
      <c r="L442" s="505" t="s">
        <v>1205</v>
      </c>
      <c r="M442" s="516">
        <v>488</v>
      </c>
      <c r="N442" s="505" t="s">
        <v>1205</v>
      </c>
    </row>
    <row r="443" spans="1:14" x14ac:dyDescent="0.25">
      <c r="A443" s="505" t="s">
        <v>2151</v>
      </c>
      <c r="B443" s="505" t="s">
        <v>2152</v>
      </c>
      <c r="C443" s="512" t="s">
        <v>7922</v>
      </c>
      <c r="D443" s="512" t="s">
        <v>238</v>
      </c>
      <c r="E443" s="512" t="s">
        <v>7853</v>
      </c>
      <c r="F443" s="512" t="s">
        <v>7932</v>
      </c>
      <c r="G443" s="512" t="s">
        <v>7457</v>
      </c>
      <c r="H443" s="512" t="s">
        <v>7923</v>
      </c>
      <c r="L443" s="505" t="s">
        <v>1205</v>
      </c>
      <c r="M443" s="516">
        <v>21.09</v>
      </c>
      <c r="N443" s="505" t="s">
        <v>1205</v>
      </c>
    </row>
    <row r="444" spans="1:14" x14ac:dyDescent="0.25">
      <c r="A444" s="505" t="s">
        <v>2153</v>
      </c>
      <c r="B444" s="505" t="s">
        <v>2154</v>
      </c>
      <c r="C444" s="512" t="s">
        <v>7922</v>
      </c>
      <c r="D444" s="512" t="s">
        <v>238</v>
      </c>
      <c r="E444" s="512" t="s">
        <v>7853</v>
      </c>
      <c r="F444" s="512" t="s">
        <v>7933</v>
      </c>
      <c r="G444" s="512" t="s">
        <v>7934</v>
      </c>
      <c r="H444" s="512" t="s">
        <v>7925</v>
      </c>
      <c r="L444" s="505" t="s">
        <v>1205</v>
      </c>
      <c r="M444" s="516">
        <v>488</v>
      </c>
      <c r="N444" s="505" t="s">
        <v>1205</v>
      </c>
    </row>
    <row r="445" spans="1:14" x14ac:dyDescent="0.25">
      <c r="A445" s="505" t="s">
        <v>2155</v>
      </c>
      <c r="B445" s="505" t="s">
        <v>2156</v>
      </c>
      <c r="C445" s="512" t="s">
        <v>7922</v>
      </c>
      <c r="D445" s="512" t="s">
        <v>238</v>
      </c>
      <c r="E445" s="512" t="s">
        <v>7853</v>
      </c>
      <c r="F445" s="512" t="s">
        <v>7935</v>
      </c>
      <c r="G445" s="512" t="s">
        <v>7936</v>
      </c>
      <c r="L445" s="505" t="s">
        <v>1205</v>
      </c>
      <c r="M445" s="516">
        <v>21.02</v>
      </c>
      <c r="N445" s="505" t="s">
        <v>1205</v>
      </c>
    </row>
    <row r="446" spans="1:14" x14ac:dyDescent="0.25">
      <c r="A446" s="505" t="s">
        <v>2157</v>
      </c>
      <c r="B446" s="505" t="s">
        <v>2158</v>
      </c>
      <c r="C446" s="512" t="s">
        <v>7922</v>
      </c>
      <c r="D446" s="512" t="s">
        <v>238</v>
      </c>
      <c r="E446" s="512" t="s">
        <v>7853</v>
      </c>
      <c r="F446" s="512" t="s">
        <v>7935</v>
      </c>
      <c r="G446" s="512" t="s">
        <v>7925</v>
      </c>
      <c r="L446" s="505" t="s">
        <v>1205</v>
      </c>
      <c r="M446" s="516">
        <v>488</v>
      </c>
      <c r="N446" s="505" t="s">
        <v>1205</v>
      </c>
    </row>
    <row r="447" spans="1:14" x14ac:dyDescent="0.25">
      <c r="A447" s="505" t="s">
        <v>2159</v>
      </c>
      <c r="B447" s="505" t="s">
        <v>2160</v>
      </c>
      <c r="C447" s="512" t="s">
        <v>7922</v>
      </c>
      <c r="D447" s="512" t="s">
        <v>238</v>
      </c>
      <c r="E447" s="512" t="s">
        <v>7853</v>
      </c>
      <c r="F447" s="512" t="s">
        <v>7937</v>
      </c>
      <c r="G447" s="512" t="s">
        <v>7938</v>
      </c>
      <c r="H447" s="512" t="s">
        <v>7923</v>
      </c>
      <c r="L447" s="505" t="s">
        <v>1205</v>
      </c>
      <c r="M447" s="516">
        <v>21.09</v>
      </c>
      <c r="N447" s="505" t="s">
        <v>1205</v>
      </c>
    </row>
    <row r="448" spans="1:14" x14ac:dyDescent="0.25">
      <c r="A448" s="505" t="s">
        <v>2161</v>
      </c>
      <c r="B448" s="505" t="s">
        <v>2162</v>
      </c>
      <c r="C448" s="512" t="s">
        <v>7922</v>
      </c>
      <c r="D448" s="512" t="s">
        <v>238</v>
      </c>
      <c r="E448" s="512" t="s">
        <v>7853</v>
      </c>
      <c r="F448" s="512" t="s">
        <v>7939</v>
      </c>
      <c r="G448" s="512" t="s">
        <v>7940</v>
      </c>
      <c r="H448" s="512" t="s">
        <v>7925</v>
      </c>
      <c r="L448" s="505" t="s">
        <v>1205</v>
      </c>
      <c r="M448" s="516">
        <v>488</v>
      </c>
      <c r="N448" s="505" t="s">
        <v>1205</v>
      </c>
    </row>
    <row r="449" spans="1:14" x14ac:dyDescent="0.25">
      <c r="A449" s="505" t="s">
        <v>2163</v>
      </c>
      <c r="B449" s="505" t="s">
        <v>2164</v>
      </c>
      <c r="C449" s="512" t="s">
        <v>7922</v>
      </c>
      <c r="D449" s="512" t="s">
        <v>238</v>
      </c>
      <c r="E449" s="512" t="s">
        <v>7853</v>
      </c>
      <c r="F449" s="512" t="s">
        <v>7941</v>
      </c>
      <c r="G449" s="512" t="s">
        <v>7445</v>
      </c>
      <c r="H449" s="512" t="s">
        <v>7923</v>
      </c>
      <c r="L449" s="505" t="s">
        <v>1205</v>
      </c>
      <c r="M449" s="516">
        <v>21.09</v>
      </c>
      <c r="N449" s="505" t="s">
        <v>1205</v>
      </c>
    </row>
    <row r="450" spans="1:14" x14ac:dyDescent="0.25">
      <c r="A450" s="505" t="s">
        <v>2165</v>
      </c>
      <c r="B450" s="505" t="s">
        <v>2166</v>
      </c>
      <c r="C450" s="512" t="s">
        <v>7922</v>
      </c>
      <c r="D450" s="512" t="s">
        <v>238</v>
      </c>
      <c r="E450" s="512" t="s">
        <v>7853</v>
      </c>
      <c r="F450" s="512" t="s">
        <v>7942</v>
      </c>
      <c r="G450" s="512" t="s">
        <v>7557</v>
      </c>
      <c r="H450" s="512" t="s">
        <v>7925</v>
      </c>
      <c r="L450" s="505" t="s">
        <v>1205</v>
      </c>
      <c r="M450" s="516">
        <v>488</v>
      </c>
      <c r="N450" s="505" t="s">
        <v>1205</v>
      </c>
    </row>
    <row r="451" spans="1:14" x14ac:dyDescent="0.25">
      <c r="A451" s="505" t="s">
        <v>2167</v>
      </c>
      <c r="B451" s="505" t="s">
        <v>2168</v>
      </c>
      <c r="C451" s="512" t="s">
        <v>7922</v>
      </c>
      <c r="D451" s="512" t="s">
        <v>238</v>
      </c>
      <c r="E451" s="512" t="s">
        <v>7853</v>
      </c>
      <c r="F451" s="512" t="s">
        <v>7489</v>
      </c>
      <c r="G451" s="512" t="s">
        <v>7441</v>
      </c>
      <c r="H451" s="512" t="s">
        <v>7923</v>
      </c>
      <c r="L451" s="505" t="s">
        <v>1205</v>
      </c>
      <c r="M451" s="516">
        <v>15.85</v>
      </c>
      <c r="N451" s="505" t="s">
        <v>1205</v>
      </c>
    </row>
    <row r="452" spans="1:14" x14ac:dyDescent="0.25">
      <c r="A452" s="505" t="s">
        <v>2169</v>
      </c>
      <c r="B452" s="505" t="s">
        <v>2170</v>
      </c>
      <c r="C452" s="512" t="s">
        <v>7922</v>
      </c>
      <c r="D452" s="512" t="s">
        <v>238</v>
      </c>
      <c r="E452" s="512" t="s">
        <v>7853</v>
      </c>
      <c r="F452" s="512" t="s">
        <v>7426</v>
      </c>
      <c r="G452" s="512" t="s">
        <v>578</v>
      </c>
      <c r="H452" s="512" t="s">
        <v>7925</v>
      </c>
      <c r="L452" s="505" t="s">
        <v>1205</v>
      </c>
      <c r="M452" s="516">
        <v>488</v>
      </c>
      <c r="N452" s="505" t="s">
        <v>1205</v>
      </c>
    </row>
    <row r="453" spans="1:14" x14ac:dyDescent="0.25">
      <c r="A453" s="505" t="s">
        <v>2171</v>
      </c>
      <c r="B453" s="505" t="s">
        <v>2172</v>
      </c>
      <c r="C453" s="512" t="s">
        <v>7922</v>
      </c>
      <c r="D453" s="512" t="s">
        <v>238</v>
      </c>
      <c r="E453" s="512" t="s">
        <v>7853</v>
      </c>
      <c r="F453" s="512" t="s">
        <v>7943</v>
      </c>
      <c r="G453" s="512" t="s">
        <v>7892</v>
      </c>
      <c r="H453" s="512" t="s">
        <v>7923</v>
      </c>
      <c r="L453" s="505" t="s">
        <v>1205</v>
      </c>
      <c r="M453" s="516">
        <v>13.38</v>
      </c>
      <c r="N453" s="505" t="s">
        <v>1205</v>
      </c>
    </row>
    <row r="454" spans="1:14" x14ac:dyDescent="0.25">
      <c r="A454" s="505" t="s">
        <v>2173</v>
      </c>
      <c r="B454" s="505" t="s">
        <v>2174</v>
      </c>
      <c r="C454" s="512" t="s">
        <v>7922</v>
      </c>
      <c r="D454" s="512" t="s">
        <v>238</v>
      </c>
      <c r="E454" s="512" t="s">
        <v>7853</v>
      </c>
      <c r="F454" s="512" t="s">
        <v>7944</v>
      </c>
      <c r="G454" s="512" t="s">
        <v>7945</v>
      </c>
      <c r="H454" s="512" t="s">
        <v>7925</v>
      </c>
      <c r="L454" s="505" t="s">
        <v>1205</v>
      </c>
      <c r="M454" s="516">
        <v>488</v>
      </c>
      <c r="N454" s="505" t="s">
        <v>1205</v>
      </c>
    </row>
    <row r="455" spans="1:14" x14ac:dyDescent="0.25">
      <c r="A455" s="505" t="s">
        <v>2175</v>
      </c>
      <c r="B455" s="505" t="s">
        <v>2176</v>
      </c>
      <c r="C455" s="512" t="s">
        <v>7922</v>
      </c>
      <c r="D455" s="512" t="s">
        <v>238</v>
      </c>
      <c r="E455" s="512" t="s">
        <v>7853</v>
      </c>
      <c r="F455" s="512" t="s">
        <v>7946</v>
      </c>
      <c r="G455" s="512" t="s">
        <v>7426</v>
      </c>
      <c r="H455" s="512" t="s">
        <v>7936</v>
      </c>
      <c r="L455" s="505" t="s">
        <v>1205</v>
      </c>
      <c r="M455" s="516">
        <v>20.99</v>
      </c>
      <c r="N455" s="505" t="s">
        <v>1205</v>
      </c>
    </row>
    <row r="456" spans="1:14" x14ac:dyDescent="0.25">
      <c r="A456" s="505" t="s">
        <v>2177</v>
      </c>
      <c r="B456" s="505" t="s">
        <v>2178</v>
      </c>
      <c r="C456" s="512" t="s">
        <v>7922</v>
      </c>
      <c r="D456" s="512" t="s">
        <v>238</v>
      </c>
      <c r="E456" s="512" t="s">
        <v>7853</v>
      </c>
      <c r="F456" s="512" t="s">
        <v>7946</v>
      </c>
      <c r="G456" s="512" t="s">
        <v>7426</v>
      </c>
      <c r="H456" s="512" t="s">
        <v>7925</v>
      </c>
      <c r="L456" s="505" t="s">
        <v>1205</v>
      </c>
      <c r="M456" s="516">
        <v>488</v>
      </c>
      <c r="N456" s="505" t="s">
        <v>1205</v>
      </c>
    </row>
    <row r="457" spans="1:14" x14ac:dyDescent="0.25">
      <c r="A457" s="505" t="s">
        <v>2179</v>
      </c>
      <c r="B457" s="505" t="s">
        <v>2180</v>
      </c>
      <c r="C457" s="512" t="s">
        <v>7922</v>
      </c>
      <c r="D457" s="512" t="s">
        <v>238</v>
      </c>
      <c r="E457" s="512" t="s">
        <v>7853</v>
      </c>
      <c r="F457" s="512" t="s">
        <v>7947</v>
      </c>
      <c r="G457" s="512" t="s">
        <v>7436</v>
      </c>
      <c r="H457" s="512" t="s">
        <v>7923</v>
      </c>
      <c r="L457" s="505" t="s">
        <v>1205</v>
      </c>
      <c r="M457" s="516">
        <v>21.14</v>
      </c>
      <c r="N457" s="505" t="s">
        <v>1205</v>
      </c>
    </row>
    <row r="458" spans="1:14" x14ac:dyDescent="0.25">
      <c r="A458" s="505" t="s">
        <v>2181</v>
      </c>
      <c r="B458" s="505" t="s">
        <v>2182</v>
      </c>
      <c r="C458" s="512" t="s">
        <v>7922</v>
      </c>
      <c r="D458" s="512" t="s">
        <v>238</v>
      </c>
      <c r="E458" s="512" t="s">
        <v>7853</v>
      </c>
      <c r="F458" s="512" t="s">
        <v>7948</v>
      </c>
      <c r="G458" s="512" t="s">
        <v>7925</v>
      </c>
      <c r="L458" s="505" t="s">
        <v>1205</v>
      </c>
      <c r="M458" s="516">
        <v>488</v>
      </c>
      <c r="N458" s="505" t="s">
        <v>1205</v>
      </c>
    </row>
    <row r="459" spans="1:14" x14ac:dyDescent="0.25">
      <c r="A459" s="505" t="s">
        <v>2183</v>
      </c>
      <c r="B459" s="505" t="s">
        <v>2184</v>
      </c>
      <c r="C459" s="512" t="s">
        <v>7922</v>
      </c>
      <c r="D459" s="512" t="s">
        <v>238</v>
      </c>
      <c r="E459" s="512" t="s">
        <v>7853</v>
      </c>
      <c r="F459" s="512" t="s">
        <v>7949</v>
      </c>
      <c r="G459" s="512" t="s">
        <v>7950</v>
      </c>
      <c r="H459" s="512" t="s">
        <v>7936</v>
      </c>
      <c r="L459" s="505" t="s">
        <v>1205</v>
      </c>
      <c r="M459" s="516">
        <v>21.09</v>
      </c>
      <c r="N459" s="505" t="s">
        <v>1205</v>
      </c>
    </row>
    <row r="460" spans="1:14" x14ac:dyDescent="0.25">
      <c r="A460" s="505" t="s">
        <v>2185</v>
      </c>
      <c r="B460" s="505" t="s">
        <v>2186</v>
      </c>
      <c r="C460" s="512" t="s">
        <v>7922</v>
      </c>
      <c r="D460" s="512" t="s">
        <v>238</v>
      </c>
      <c r="E460" s="512" t="s">
        <v>7853</v>
      </c>
      <c r="F460" s="512" t="s">
        <v>7949</v>
      </c>
      <c r="G460" s="512" t="s">
        <v>7950</v>
      </c>
      <c r="H460" s="512" t="s">
        <v>7925</v>
      </c>
      <c r="L460" s="505" t="s">
        <v>1205</v>
      </c>
      <c r="M460" s="516">
        <v>23.05</v>
      </c>
      <c r="N460" s="505" t="s">
        <v>1205</v>
      </c>
    </row>
    <row r="461" spans="1:14" x14ac:dyDescent="0.25">
      <c r="A461" s="505" t="s">
        <v>2187</v>
      </c>
      <c r="B461" s="505" t="s">
        <v>2188</v>
      </c>
      <c r="C461" s="512" t="s">
        <v>7922</v>
      </c>
      <c r="D461" s="512" t="s">
        <v>238</v>
      </c>
      <c r="E461" s="512" t="s">
        <v>7853</v>
      </c>
      <c r="F461" s="512" t="s">
        <v>7531</v>
      </c>
      <c r="G461" s="512" t="s">
        <v>148</v>
      </c>
      <c r="H461" s="512" t="s">
        <v>7936</v>
      </c>
      <c r="L461" s="505" t="s">
        <v>1205</v>
      </c>
      <c r="M461" s="516">
        <v>20.99</v>
      </c>
      <c r="N461" s="505" t="s">
        <v>1205</v>
      </c>
    </row>
    <row r="462" spans="1:14" x14ac:dyDescent="0.25">
      <c r="A462" s="505" t="s">
        <v>2189</v>
      </c>
      <c r="B462" s="505" t="s">
        <v>2190</v>
      </c>
      <c r="C462" s="512" t="s">
        <v>7922</v>
      </c>
      <c r="D462" s="512" t="s">
        <v>238</v>
      </c>
      <c r="E462" s="512" t="s">
        <v>7853</v>
      </c>
      <c r="F462" s="512" t="s">
        <v>7531</v>
      </c>
      <c r="G462" s="512" t="s">
        <v>148</v>
      </c>
      <c r="H462" s="512" t="s">
        <v>7925</v>
      </c>
      <c r="L462" s="505" t="s">
        <v>1205</v>
      </c>
      <c r="M462" s="516">
        <v>488</v>
      </c>
      <c r="N462" s="505" t="s">
        <v>1205</v>
      </c>
    </row>
    <row r="463" spans="1:14" x14ac:dyDescent="0.25">
      <c r="A463" s="505" t="s">
        <v>2191</v>
      </c>
      <c r="B463" s="505" t="s">
        <v>2192</v>
      </c>
      <c r="C463" s="512" t="s">
        <v>7922</v>
      </c>
      <c r="D463" s="512" t="s">
        <v>238</v>
      </c>
      <c r="E463" s="512" t="s">
        <v>7853</v>
      </c>
      <c r="F463" s="512" t="s">
        <v>7951</v>
      </c>
      <c r="G463" s="512" t="s">
        <v>7952</v>
      </c>
      <c r="H463" s="512" t="s">
        <v>7923</v>
      </c>
      <c r="L463" s="505" t="s">
        <v>1205</v>
      </c>
      <c r="M463" s="516">
        <v>21.14</v>
      </c>
      <c r="N463" s="505" t="s">
        <v>1205</v>
      </c>
    </row>
    <row r="464" spans="1:14" x14ac:dyDescent="0.25">
      <c r="A464" s="505" t="s">
        <v>2193</v>
      </c>
      <c r="B464" s="505" t="s">
        <v>2194</v>
      </c>
      <c r="C464" s="512" t="s">
        <v>7922</v>
      </c>
      <c r="D464" s="512" t="s">
        <v>238</v>
      </c>
      <c r="E464" s="512" t="s">
        <v>7853</v>
      </c>
      <c r="F464" s="512" t="s">
        <v>7953</v>
      </c>
      <c r="G464" s="512" t="s">
        <v>484</v>
      </c>
      <c r="H464" s="512" t="s">
        <v>7925</v>
      </c>
      <c r="L464" s="505" t="s">
        <v>1205</v>
      </c>
      <c r="M464" s="516">
        <v>488</v>
      </c>
      <c r="N464" s="505" t="s">
        <v>1205</v>
      </c>
    </row>
    <row r="465" spans="1:14" x14ac:dyDescent="0.25">
      <c r="A465" s="505" t="s">
        <v>2195</v>
      </c>
      <c r="B465" s="505" t="s">
        <v>2196</v>
      </c>
      <c r="C465" s="512" t="s">
        <v>7922</v>
      </c>
      <c r="D465" s="512" t="s">
        <v>238</v>
      </c>
      <c r="E465" s="512" t="s">
        <v>7853</v>
      </c>
      <c r="F465" s="512" t="s">
        <v>7954</v>
      </c>
      <c r="G465" s="512" t="s">
        <v>7955</v>
      </c>
      <c r="H465" s="512" t="s">
        <v>7923</v>
      </c>
      <c r="L465" s="505" t="s">
        <v>1205</v>
      </c>
      <c r="M465" s="516">
        <v>21.09</v>
      </c>
      <c r="N465" s="505" t="s">
        <v>1205</v>
      </c>
    </row>
    <row r="466" spans="1:14" x14ac:dyDescent="0.25">
      <c r="A466" s="505" t="s">
        <v>2197</v>
      </c>
      <c r="B466" s="505" t="s">
        <v>2198</v>
      </c>
      <c r="C466" s="512" t="s">
        <v>7922</v>
      </c>
      <c r="D466" s="512" t="s">
        <v>238</v>
      </c>
      <c r="E466" s="512" t="s">
        <v>7853</v>
      </c>
      <c r="F466" s="512" t="s">
        <v>7956</v>
      </c>
      <c r="G466" s="512" t="s">
        <v>7957</v>
      </c>
      <c r="H466" s="512" t="s">
        <v>7925</v>
      </c>
      <c r="L466" s="505" t="s">
        <v>1205</v>
      </c>
      <c r="M466" s="516">
        <v>488</v>
      </c>
      <c r="N466" s="505" t="s">
        <v>1205</v>
      </c>
    </row>
    <row r="467" spans="1:14" x14ac:dyDescent="0.25">
      <c r="A467" s="505" t="s">
        <v>2199</v>
      </c>
      <c r="B467" s="505" t="s">
        <v>2200</v>
      </c>
      <c r="C467" s="512" t="s">
        <v>7922</v>
      </c>
      <c r="D467" s="512" t="s">
        <v>238</v>
      </c>
      <c r="E467" s="512" t="s">
        <v>7853</v>
      </c>
      <c r="F467" s="512" t="s">
        <v>7958</v>
      </c>
      <c r="G467" s="512" t="s">
        <v>7878</v>
      </c>
      <c r="H467" s="512" t="s">
        <v>7923</v>
      </c>
      <c r="L467" s="505" t="s">
        <v>1205</v>
      </c>
      <c r="M467" s="516">
        <v>21.09</v>
      </c>
      <c r="N467" s="505" t="s">
        <v>1205</v>
      </c>
    </row>
    <row r="468" spans="1:14" x14ac:dyDescent="0.25">
      <c r="A468" s="505" t="s">
        <v>2201</v>
      </c>
      <c r="B468" s="505" t="s">
        <v>2202</v>
      </c>
      <c r="C468" s="512" t="s">
        <v>7922</v>
      </c>
      <c r="D468" s="512" t="s">
        <v>238</v>
      </c>
      <c r="E468" s="512" t="s">
        <v>7853</v>
      </c>
      <c r="F468" s="512" t="s">
        <v>7959</v>
      </c>
      <c r="G468" s="512" t="s">
        <v>7960</v>
      </c>
      <c r="H468" s="512" t="s">
        <v>7925</v>
      </c>
      <c r="L468" s="505" t="s">
        <v>1205</v>
      </c>
      <c r="M468" s="516">
        <v>488</v>
      </c>
      <c r="N468" s="505" t="s">
        <v>1205</v>
      </c>
    </row>
    <row r="469" spans="1:14" x14ac:dyDescent="0.25">
      <c r="A469" s="505" t="s">
        <v>2203</v>
      </c>
      <c r="B469" s="505" t="s">
        <v>2204</v>
      </c>
      <c r="C469" s="512" t="s">
        <v>7922</v>
      </c>
      <c r="D469" s="512" t="s">
        <v>238</v>
      </c>
      <c r="E469" s="512" t="s">
        <v>7853</v>
      </c>
      <c r="F469" s="512" t="s">
        <v>7961</v>
      </c>
      <c r="G469" s="512" t="s">
        <v>7489</v>
      </c>
      <c r="H469" s="512" t="s">
        <v>7923</v>
      </c>
      <c r="L469" s="505" t="s">
        <v>1205</v>
      </c>
      <c r="M469" s="516">
        <v>21.09</v>
      </c>
      <c r="N469" s="505" t="s">
        <v>1205</v>
      </c>
    </row>
    <row r="470" spans="1:14" x14ac:dyDescent="0.25">
      <c r="A470" s="505" t="s">
        <v>2205</v>
      </c>
      <c r="B470" s="505" t="s">
        <v>2206</v>
      </c>
      <c r="C470" s="512" t="s">
        <v>7922</v>
      </c>
      <c r="D470" s="512" t="s">
        <v>238</v>
      </c>
      <c r="E470" s="512" t="s">
        <v>7853</v>
      </c>
      <c r="F470" s="512" t="s">
        <v>7962</v>
      </c>
      <c r="G470" s="512" t="s">
        <v>7426</v>
      </c>
      <c r="H470" s="512" t="s">
        <v>7925</v>
      </c>
      <c r="L470" s="505" t="s">
        <v>1205</v>
      </c>
      <c r="M470" s="516">
        <v>488</v>
      </c>
      <c r="N470" s="505" t="s">
        <v>1205</v>
      </c>
    </row>
    <row r="471" spans="1:14" x14ac:dyDescent="0.25">
      <c r="A471" s="505" t="s">
        <v>2207</v>
      </c>
      <c r="B471" s="505" t="s">
        <v>2208</v>
      </c>
      <c r="C471" s="512" t="s">
        <v>7922</v>
      </c>
      <c r="D471" s="512" t="s">
        <v>238</v>
      </c>
      <c r="E471" s="512" t="s">
        <v>7853</v>
      </c>
      <c r="F471" s="512" t="s">
        <v>7963</v>
      </c>
      <c r="G471" s="512" t="s">
        <v>7489</v>
      </c>
      <c r="H471" s="512" t="s">
        <v>7923</v>
      </c>
      <c r="L471" s="505" t="s">
        <v>1205</v>
      </c>
      <c r="M471" s="516">
        <v>21.09</v>
      </c>
      <c r="N471" s="505" t="s">
        <v>1205</v>
      </c>
    </row>
    <row r="472" spans="1:14" x14ac:dyDescent="0.25">
      <c r="A472" s="505" t="s">
        <v>2209</v>
      </c>
      <c r="B472" s="505" t="s">
        <v>2210</v>
      </c>
      <c r="C472" s="512" t="s">
        <v>7922</v>
      </c>
      <c r="D472" s="512" t="s">
        <v>238</v>
      </c>
      <c r="E472" s="512" t="s">
        <v>7853</v>
      </c>
      <c r="F472" s="512" t="s">
        <v>560</v>
      </c>
      <c r="G472" s="512" t="s">
        <v>7426</v>
      </c>
      <c r="H472" s="512" t="s">
        <v>7925</v>
      </c>
      <c r="L472" s="505" t="s">
        <v>1205</v>
      </c>
      <c r="M472" s="516">
        <v>488</v>
      </c>
      <c r="N472" s="505" t="s">
        <v>1205</v>
      </c>
    </row>
    <row r="473" spans="1:14" x14ac:dyDescent="0.25">
      <c r="A473" s="505" t="s">
        <v>2211</v>
      </c>
      <c r="B473" s="505" t="s">
        <v>2212</v>
      </c>
      <c r="C473" s="512" t="s">
        <v>7922</v>
      </c>
      <c r="D473" s="512" t="s">
        <v>238</v>
      </c>
      <c r="E473" s="512" t="s">
        <v>7853</v>
      </c>
      <c r="F473" s="512" t="s">
        <v>7964</v>
      </c>
      <c r="G473" s="512" t="s">
        <v>7965</v>
      </c>
      <c r="H473" s="512" t="s">
        <v>7923</v>
      </c>
      <c r="L473" s="505" t="s">
        <v>1205</v>
      </c>
      <c r="M473" s="516">
        <v>21.09</v>
      </c>
      <c r="N473" s="505" t="s">
        <v>1205</v>
      </c>
    </row>
    <row r="474" spans="1:14" x14ac:dyDescent="0.25">
      <c r="A474" s="505" t="s">
        <v>2213</v>
      </c>
      <c r="B474" s="505" t="s">
        <v>2214</v>
      </c>
      <c r="C474" s="512" t="s">
        <v>7922</v>
      </c>
      <c r="D474" s="512" t="s">
        <v>238</v>
      </c>
      <c r="E474" s="512" t="s">
        <v>7853</v>
      </c>
      <c r="F474" s="512" t="s">
        <v>7966</v>
      </c>
      <c r="G474" s="512" t="s">
        <v>563</v>
      </c>
      <c r="H474" s="512" t="s">
        <v>7925</v>
      </c>
      <c r="L474" s="505" t="s">
        <v>1205</v>
      </c>
      <c r="M474" s="516">
        <v>488</v>
      </c>
      <c r="N474" s="505" t="s">
        <v>1205</v>
      </c>
    </row>
    <row r="475" spans="1:14" x14ac:dyDescent="0.25">
      <c r="A475" s="505" t="s">
        <v>2215</v>
      </c>
      <c r="B475" s="505" t="s">
        <v>2216</v>
      </c>
      <c r="C475" s="512" t="s">
        <v>7922</v>
      </c>
      <c r="D475" s="512" t="s">
        <v>238</v>
      </c>
      <c r="E475" s="512" t="s">
        <v>7853</v>
      </c>
      <c r="F475" s="512" t="s">
        <v>7967</v>
      </c>
      <c r="G475" s="512" t="s">
        <v>7755</v>
      </c>
      <c r="H475" s="512" t="s">
        <v>7923</v>
      </c>
      <c r="L475" s="505" t="s">
        <v>1205</v>
      </c>
      <c r="M475" s="516">
        <v>23.05</v>
      </c>
      <c r="N475" s="505" t="s">
        <v>1205</v>
      </c>
    </row>
    <row r="476" spans="1:14" x14ac:dyDescent="0.25">
      <c r="A476" s="505" t="s">
        <v>2217</v>
      </c>
      <c r="B476" s="505" t="s">
        <v>2218</v>
      </c>
      <c r="C476" s="512" t="s">
        <v>7922</v>
      </c>
      <c r="D476" s="512" t="s">
        <v>238</v>
      </c>
      <c r="E476" s="512" t="s">
        <v>7853</v>
      </c>
      <c r="F476" s="512" t="s">
        <v>556</v>
      </c>
      <c r="G476" s="512" t="s">
        <v>7968</v>
      </c>
      <c r="H476" s="512" t="s">
        <v>7925</v>
      </c>
      <c r="L476" s="505" t="s">
        <v>1205</v>
      </c>
      <c r="M476" s="516">
        <v>488</v>
      </c>
      <c r="N476" s="505" t="s">
        <v>1205</v>
      </c>
    </row>
    <row r="477" spans="1:14" x14ac:dyDescent="0.25">
      <c r="A477" s="505" t="s">
        <v>2219</v>
      </c>
      <c r="B477" s="505" t="s">
        <v>2220</v>
      </c>
      <c r="C477" s="512" t="s">
        <v>7922</v>
      </c>
      <c r="D477" s="512" t="s">
        <v>238</v>
      </c>
      <c r="E477" s="512" t="s">
        <v>7853</v>
      </c>
      <c r="F477" s="512" t="s">
        <v>7969</v>
      </c>
      <c r="G477" s="512" t="s">
        <v>7970</v>
      </c>
      <c r="H477" s="512" t="s">
        <v>7923</v>
      </c>
      <c r="L477" s="505" t="s">
        <v>1205</v>
      </c>
      <c r="M477" s="516">
        <v>21.03</v>
      </c>
      <c r="N477" s="505" t="s">
        <v>1205</v>
      </c>
    </row>
    <row r="478" spans="1:14" x14ac:dyDescent="0.25">
      <c r="A478" s="505" t="s">
        <v>2221</v>
      </c>
      <c r="B478" s="505" t="s">
        <v>2222</v>
      </c>
      <c r="C478" s="512" t="s">
        <v>7922</v>
      </c>
      <c r="D478" s="512" t="s">
        <v>238</v>
      </c>
      <c r="E478" s="512" t="s">
        <v>7853</v>
      </c>
      <c r="F478" s="512" t="s">
        <v>7971</v>
      </c>
      <c r="G478" s="512" t="s">
        <v>7972</v>
      </c>
      <c r="H478" s="512" t="s">
        <v>7925</v>
      </c>
      <c r="L478" s="505" t="s">
        <v>1205</v>
      </c>
      <c r="M478" s="516">
        <v>488</v>
      </c>
      <c r="N478" s="505" t="s">
        <v>1205</v>
      </c>
    </row>
    <row r="479" spans="1:14" x14ac:dyDescent="0.25">
      <c r="A479" s="505" t="s">
        <v>2223</v>
      </c>
      <c r="B479" s="505" t="s">
        <v>2224</v>
      </c>
      <c r="C479" s="512" t="s">
        <v>7922</v>
      </c>
      <c r="D479" s="512" t="s">
        <v>238</v>
      </c>
      <c r="E479" s="512" t="s">
        <v>7853</v>
      </c>
      <c r="F479" s="512" t="s">
        <v>7973</v>
      </c>
      <c r="G479" s="512" t="s">
        <v>7974</v>
      </c>
      <c r="H479" s="512" t="s">
        <v>7936</v>
      </c>
      <c r="L479" s="505" t="s">
        <v>1205</v>
      </c>
      <c r="M479" s="516">
        <v>20.87</v>
      </c>
      <c r="N479" s="505" t="s">
        <v>1205</v>
      </c>
    </row>
    <row r="480" spans="1:14" x14ac:dyDescent="0.25">
      <c r="A480" s="505" t="s">
        <v>2225</v>
      </c>
      <c r="B480" s="505" t="s">
        <v>2226</v>
      </c>
      <c r="C480" s="512" t="s">
        <v>7922</v>
      </c>
      <c r="D480" s="512" t="s">
        <v>238</v>
      </c>
      <c r="E480" s="512" t="s">
        <v>7853</v>
      </c>
      <c r="F480" s="512" t="s">
        <v>7973</v>
      </c>
      <c r="G480" s="512" t="s">
        <v>7934</v>
      </c>
      <c r="H480" s="512" t="s">
        <v>7925</v>
      </c>
      <c r="L480" s="505" t="s">
        <v>1205</v>
      </c>
      <c r="M480" s="516">
        <v>488</v>
      </c>
      <c r="N480" s="505" t="s">
        <v>1205</v>
      </c>
    </row>
    <row r="481" spans="1:14" x14ac:dyDescent="0.25">
      <c r="A481" s="505" t="s">
        <v>2227</v>
      </c>
      <c r="B481" s="505" t="s">
        <v>2228</v>
      </c>
      <c r="C481" s="512" t="s">
        <v>7922</v>
      </c>
      <c r="D481" s="512" t="s">
        <v>238</v>
      </c>
      <c r="E481" s="512" t="s">
        <v>7853</v>
      </c>
      <c r="F481" s="512" t="s">
        <v>7975</v>
      </c>
      <c r="G481" s="512" t="s">
        <v>7799</v>
      </c>
      <c r="H481" s="512" t="s">
        <v>7923</v>
      </c>
      <c r="L481" s="505" t="s">
        <v>1205</v>
      </c>
      <c r="M481" s="516">
        <v>20.87</v>
      </c>
      <c r="N481" s="505" t="s">
        <v>1205</v>
      </c>
    </row>
    <row r="482" spans="1:14" x14ac:dyDescent="0.25">
      <c r="A482" s="505" t="s">
        <v>2229</v>
      </c>
      <c r="B482" s="505" t="s">
        <v>2230</v>
      </c>
      <c r="C482" s="512" t="s">
        <v>7922</v>
      </c>
      <c r="D482" s="512" t="s">
        <v>238</v>
      </c>
      <c r="E482" s="512" t="s">
        <v>7853</v>
      </c>
      <c r="F482" s="512" t="s">
        <v>7976</v>
      </c>
      <c r="G482" s="512" t="s">
        <v>7783</v>
      </c>
      <c r="H482" s="512" t="s">
        <v>7925</v>
      </c>
      <c r="L482" s="505" t="s">
        <v>1205</v>
      </c>
      <c r="M482" s="516">
        <v>488</v>
      </c>
      <c r="N482" s="505" t="s">
        <v>1205</v>
      </c>
    </row>
    <row r="483" spans="1:14" x14ac:dyDescent="0.25">
      <c r="A483" s="505" t="s">
        <v>2231</v>
      </c>
      <c r="B483" s="505" t="s">
        <v>2232</v>
      </c>
      <c r="C483" s="512" t="s">
        <v>7977</v>
      </c>
      <c r="D483" s="512" t="s">
        <v>7978</v>
      </c>
      <c r="E483" s="512" t="s">
        <v>7979</v>
      </c>
      <c r="F483" s="512" t="s">
        <v>7816</v>
      </c>
      <c r="G483" s="512" t="s">
        <v>7817</v>
      </c>
      <c r="H483" s="512" t="s">
        <v>7814</v>
      </c>
      <c r="I483" s="512" t="s">
        <v>7811</v>
      </c>
      <c r="L483" s="505" t="s">
        <v>1205</v>
      </c>
      <c r="M483" s="516">
        <v>3.6</v>
      </c>
      <c r="N483" s="505" t="s">
        <v>1205</v>
      </c>
    </row>
    <row r="484" spans="1:14" x14ac:dyDescent="0.25">
      <c r="A484" s="505" t="s">
        <v>2233</v>
      </c>
      <c r="B484" s="505" t="s">
        <v>2234</v>
      </c>
      <c r="C484" s="512" t="s">
        <v>7977</v>
      </c>
      <c r="D484" s="512" t="s">
        <v>7978</v>
      </c>
      <c r="E484" s="512" t="s">
        <v>7820</v>
      </c>
      <c r="F484" s="512">
        <v>18</v>
      </c>
      <c r="G484" s="512" t="s">
        <v>7811</v>
      </c>
      <c r="H484" s="512" t="s">
        <v>7822</v>
      </c>
      <c r="I484" s="512" t="s">
        <v>7824</v>
      </c>
      <c r="L484" s="505" t="s">
        <v>1205</v>
      </c>
      <c r="M484" s="516">
        <v>15.15</v>
      </c>
      <c r="N484" s="505" t="s">
        <v>1205</v>
      </c>
    </row>
    <row r="485" spans="1:14" x14ac:dyDescent="0.25">
      <c r="A485" s="505" t="s">
        <v>2235</v>
      </c>
      <c r="B485" s="505" t="s">
        <v>2236</v>
      </c>
      <c r="C485" s="512" t="s">
        <v>7977</v>
      </c>
      <c r="D485" s="512" t="s">
        <v>7978</v>
      </c>
      <c r="E485" s="512" t="s">
        <v>7820</v>
      </c>
      <c r="F485" s="512">
        <v>18</v>
      </c>
      <c r="G485" s="512" t="s">
        <v>7980</v>
      </c>
      <c r="H485" s="512">
        <v>1</v>
      </c>
      <c r="I485" s="512" t="s">
        <v>7814</v>
      </c>
      <c r="J485" s="505" t="s">
        <v>7824</v>
      </c>
      <c r="L485" s="505" t="s">
        <v>1205</v>
      </c>
      <c r="M485" s="516">
        <v>20.059999999999999</v>
      </c>
      <c r="N485" s="505" t="s">
        <v>1205</v>
      </c>
    </row>
    <row r="486" spans="1:14" x14ac:dyDescent="0.25">
      <c r="A486" s="505" t="s">
        <v>2237</v>
      </c>
      <c r="B486" s="505" t="s">
        <v>2238</v>
      </c>
      <c r="C486" s="512" t="s">
        <v>7977</v>
      </c>
      <c r="D486" s="512" t="s">
        <v>7978</v>
      </c>
      <c r="E486" s="512" t="s">
        <v>7820</v>
      </c>
      <c r="F486" s="512">
        <v>18</v>
      </c>
      <c r="G486" s="512" t="s">
        <v>7811</v>
      </c>
      <c r="H486" s="512" t="s">
        <v>7825</v>
      </c>
      <c r="I486" s="512" t="s">
        <v>7824</v>
      </c>
      <c r="L486" s="505" t="s">
        <v>1205</v>
      </c>
      <c r="M486" s="516">
        <v>12.75</v>
      </c>
      <c r="N486" s="505" t="s">
        <v>1205</v>
      </c>
    </row>
    <row r="487" spans="1:14" x14ac:dyDescent="0.25">
      <c r="A487" s="505" t="s">
        <v>2239</v>
      </c>
      <c r="B487" s="505" t="s">
        <v>2240</v>
      </c>
      <c r="C487" s="512" t="s">
        <v>7981</v>
      </c>
      <c r="D487" s="512" t="s">
        <v>7982</v>
      </c>
      <c r="E487" s="512" t="s">
        <v>7808</v>
      </c>
      <c r="F487" s="512" t="s">
        <v>7491</v>
      </c>
      <c r="G487" s="512" t="s">
        <v>7983</v>
      </c>
      <c r="H487" s="512" t="s">
        <v>7984</v>
      </c>
      <c r="L487" s="505" t="s">
        <v>1924</v>
      </c>
      <c r="M487" s="516">
        <v>67.650000000000006</v>
      </c>
      <c r="N487" s="505" t="s">
        <v>1924</v>
      </c>
    </row>
    <row r="488" spans="1:14" x14ac:dyDescent="0.25">
      <c r="A488" s="505" t="s">
        <v>2241</v>
      </c>
      <c r="B488" s="505" t="s">
        <v>2242</v>
      </c>
      <c r="C488" s="512" t="s">
        <v>7981</v>
      </c>
      <c r="D488" s="512" t="s">
        <v>7982</v>
      </c>
      <c r="E488" s="512" t="s">
        <v>7808</v>
      </c>
      <c r="F488" s="512" t="s">
        <v>7437</v>
      </c>
      <c r="G488" s="512" t="s">
        <v>7984</v>
      </c>
      <c r="L488" s="505" t="s">
        <v>1924</v>
      </c>
      <c r="M488" s="516">
        <v>67.650000000000006</v>
      </c>
      <c r="N488" s="505" t="s">
        <v>1924</v>
      </c>
    </row>
    <row r="489" spans="1:14" x14ac:dyDescent="0.25">
      <c r="A489" s="505" t="s">
        <v>2243</v>
      </c>
      <c r="B489" s="505" t="s">
        <v>2244</v>
      </c>
      <c r="C489" s="512" t="s">
        <v>7981</v>
      </c>
      <c r="D489" s="512" t="s">
        <v>7982</v>
      </c>
      <c r="E489" s="512" t="s">
        <v>7808</v>
      </c>
      <c r="F489" s="512" t="s">
        <v>7985</v>
      </c>
      <c r="G489" s="512" t="s">
        <v>7986</v>
      </c>
      <c r="H489" s="512" t="s">
        <v>7984</v>
      </c>
      <c r="L489" s="505" t="s">
        <v>1924</v>
      </c>
      <c r="M489" s="516">
        <v>67.650000000000006</v>
      </c>
      <c r="N489" s="505" t="s">
        <v>1924</v>
      </c>
    </row>
    <row r="490" spans="1:14" x14ac:dyDescent="0.25">
      <c r="A490" s="505" t="s">
        <v>2245</v>
      </c>
      <c r="B490" s="505" t="s">
        <v>2246</v>
      </c>
      <c r="C490" s="512" t="s">
        <v>7981</v>
      </c>
      <c r="D490" s="512" t="s">
        <v>7982</v>
      </c>
      <c r="E490" s="512" t="s">
        <v>7808</v>
      </c>
      <c r="F490" s="512" t="s">
        <v>7987</v>
      </c>
      <c r="G490" s="512" t="s">
        <v>7988</v>
      </c>
      <c r="H490" s="512" t="s">
        <v>7984</v>
      </c>
      <c r="L490" s="505" t="s">
        <v>1924</v>
      </c>
      <c r="M490" s="516">
        <v>67.650000000000006</v>
      </c>
      <c r="N490" s="505" t="s">
        <v>1924</v>
      </c>
    </row>
    <row r="491" spans="1:14" x14ac:dyDescent="0.25">
      <c r="A491" s="505" t="s">
        <v>2247</v>
      </c>
      <c r="B491" s="505" t="s">
        <v>2248</v>
      </c>
      <c r="C491" s="512" t="s">
        <v>7981</v>
      </c>
      <c r="D491" s="512" t="s">
        <v>7982</v>
      </c>
      <c r="E491" s="512" t="s">
        <v>7808</v>
      </c>
      <c r="F491" s="512" t="s">
        <v>7987</v>
      </c>
      <c r="G491" s="512" t="s">
        <v>7989</v>
      </c>
      <c r="H491" s="512" t="s">
        <v>7984</v>
      </c>
      <c r="L491" s="505" t="s">
        <v>1924</v>
      </c>
      <c r="M491" s="516">
        <v>67.650000000000006</v>
      </c>
      <c r="N491" s="505" t="s">
        <v>1924</v>
      </c>
    </row>
    <row r="492" spans="1:14" x14ac:dyDescent="0.25">
      <c r="A492" s="505" t="s">
        <v>2249</v>
      </c>
      <c r="B492" s="505" t="s">
        <v>2250</v>
      </c>
      <c r="C492" s="512" t="s">
        <v>7981</v>
      </c>
      <c r="D492" s="512" t="s">
        <v>7982</v>
      </c>
      <c r="E492" s="512" t="s">
        <v>7808</v>
      </c>
      <c r="F492" s="512" t="s">
        <v>7432</v>
      </c>
      <c r="G492" s="512" t="s">
        <v>7984</v>
      </c>
      <c r="L492" s="505" t="s">
        <v>1924</v>
      </c>
      <c r="M492" s="516">
        <v>67.650000000000006</v>
      </c>
      <c r="N492" s="505" t="s">
        <v>1924</v>
      </c>
    </row>
    <row r="493" spans="1:14" x14ac:dyDescent="0.25">
      <c r="A493" s="505" t="s">
        <v>2251</v>
      </c>
      <c r="B493" s="505" t="s">
        <v>2252</v>
      </c>
      <c r="C493" s="512" t="s">
        <v>7981</v>
      </c>
      <c r="D493" s="512" t="s">
        <v>7982</v>
      </c>
      <c r="E493" s="512" t="s">
        <v>7808</v>
      </c>
      <c r="F493" s="512" t="s">
        <v>7990</v>
      </c>
      <c r="G493" s="512" t="s">
        <v>7436</v>
      </c>
      <c r="H493" s="512" t="s">
        <v>7984</v>
      </c>
      <c r="L493" s="505" t="s">
        <v>1924</v>
      </c>
      <c r="M493" s="516">
        <v>67.650000000000006</v>
      </c>
      <c r="N493" s="505" t="s">
        <v>1924</v>
      </c>
    </row>
    <row r="494" spans="1:14" x14ac:dyDescent="0.25">
      <c r="A494" s="505" t="s">
        <v>2253</v>
      </c>
      <c r="B494" s="505" t="s">
        <v>2254</v>
      </c>
      <c r="C494" s="512" t="s">
        <v>7981</v>
      </c>
      <c r="D494" s="512" t="s">
        <v>7982</v>
      </c>
      <c r="E494" s="512" t="s">
        <v>7808</v>
      </c>
      <c r="F494" s="512" t="s">
        <v>7991</v>
      </c>
      <c r="G494" s="512" t="s">
        <v>7457</v>
      </c>
      <c r="H494" s="512" t="s">
        <v>7984</v>
      </c>
      <c r="L494" s="505" t="s">
        <v>1924</v>
      </c>
      <c r="M494" s="516">
        <v>67.650000000000006</v>
      </c>
      <c r="N494" s="505" t="s">
        <v>1924</v>
      </c>
    </row>
    <row r="495" spans="1:14" x14ac:dyDescent="0.25">
      <c r="A495" s="505" t="s">
        <v>2255</v>
      </c>
      <c r="B495" s="505" t="s">
        <v>2256</v>
      </c>
      <c r="C495" s="512" t="s">
        <v>7981</v>
      </c>
      <c r="D495" s="512" t="s">
        <v>7982</v>
      </c>
      <c r="E495" s="512" t="s">
        <v>7808</v>
      </c>
      <c r="F495" s="512" t="s">
        <v>7992</v>
      </c>
      <c r="G495" s="512" t="s">
        <v>7984</v>
      </c>
      <c r="L495" s="505" t="s">
        <v>1924</v>
      </c>
      <c r="M495" s="516">
        <v>67.650000000000006</v>
      </c>
      <c r="N495" s="505" t="s">
        <v>1924</v>
      </c>
    </row>
    <row r="496" spans="1:14" x14ac:dyDescent="0.25">
      <c r="A496" s="505" t="s">
        <v>2257</v>
      </c>
      <c r="B496" s="505" t="s">
        <v>2258</v>
      </c>
      <c r="C496" s="512" t="s">
        <v>7981</v>
      </c>
      <c r="D496" s="512" t="s">
        <v>7982</v>
      </c>
      <c r="E496" s="512" t="s">
        <v>7808</v>
      </c>
      <c r="F496" s="512" t="s">
        <v>7993</v>
      </c>
      <c r="G496" s="512" t="s">
        <v>7578</v>
      </c>
      <c r="H496" s="512" t="s">
        <v>7984</v>
      </c>
      <c r="L496" s="505" t="s">
        <v>1924</v>
      </c>
      <c r="M496" s="516">
        <v>67.650000000000006</v>
      </c>
      <c r="N496" s="505" t="s">
        <v>1924</v>
      </c>
    </row>
    <row r="497" spans="1:14" x14ac:dyDescent="0.25">
      <c r="A497" s="505" t="s">
        <v>2259</v>
      </c>
      <c r="B497" s="505" t="s">
        <v>2260</v>
      </c>
      <c r="C497" s="512" t="s">
        <v>7981</v>
      </c>
      <c r="D497" s="512" t="s">
        <v>7982</v>
      </c>
      <c r="E497" s="512" t="s">
        <v>7808</v>
      </c>
      <c r="F497" s="512" t="s">
        <v>7994</v>
      </c>
      <c r="G497" s="512" t="s">
        <v>7984</v>
      </c>
      <c r="L497" s="505" t="s">
        <v>1924</v>
      </c>
      <c r="M497" s="516">
        <v>67.650000000000006</v>
      </c>
      <c r="N497" s="505" t="s">
        <v>1924</v>
      </c>
    </row>
    <row r="498" spans="1:14" x14ac:dyDescent="0.25">
      <c r="A498" s="505" t="s">
        <v>2261</v>
      </c>
      <c r="B498" s="505" t="s">
        <v>2262</v>
      </c>
      <c r="C498" s="512" t="s">
        <v>7981</v>
      </c>
      <c r="D498" s="512" t="s">
        <v>7982</v>
      </c>
      <c r="E498" s="512" t="s">
        <v>7808</v>
      </c>
      <c r="F498" s="512" t="s">
        <v>7995</v>
      </c>
      <c r="G498" s="512" t="s">
        <v>7996</v>
      </c>
      <c r="H498" s="512" t="s">
        <v>7984</v>
      </c>
      <c r="L498" s="505" t="s">
        <v>1924</v>
      </c>
      <c r="M498" s="516">
        <v>67.650000000000006</v>
      </c>
      <c r="N498" s="505" t="s">
        <v>1924</v>
      </c>
    </row>
    <row r="499" spans="1:14" x14ac:dyDescent="0.25">
      <c r="A499" s="505" t="s">
        <v>2263</v>
      </c>
      <c r="B499" s="505" t="s">
        <v>2264</v>
      </c>
      <c r="C499" s="512" t="s">
        <v>7981</v>
      </c>
      <c r="D499" s="512" t="s">
        <v>7982</v>
      </c>
      <c r="E499" s="512" t="s">
        <v>7808</v>
      </c>
      <c r="F499" s="512" t="s">
        <v>7997</v>
      </c>
      <c r="G499" s="512" t="s">
        <v>7984</v>
      </c>
      <c r="L499" s="505" t="s">
        <v>1924</v>
      </c>
      <c r="M499" s="516">
        <v>67.650000000000006</v>
      </c>
      <c r="N499" s="505" t="s">
        <v>1924</v>
      </c>
    </row>
    <row r="500" spans="1:14" x14ac:dyDescent="0.25">
      <c r="A500" s="505" t="s">
        <v>2265</v>
      </c>
      <c r="B500" s="505" t="s">
        <v>2266</v>
      </c>
      <c r="C500" s="512" t="s">
        <v>7981</v>
      </c>
      <c r="D500" s="512" t="s">
        <v>7982</v>
      </c>
      <c r="E500" s="512" t="s">
        <v>7808</v>
      </c>
      <c r="F500" s="512" t="s">
        <v>7595</v>
      </c>
      <c r="G500" s="512" t="s">
        <v>7984</v>
      </c>
      <c r="L500" s="505" t="s">
        <v>1924</v>
      </c>
      <c r="M500" s="516">
        <v>67.650000000000006</v>
      </c>
      <c r="N500" s="505" t="s">
        <v>1924</v>
      </c>
    </row>
    <row r="501" spans="1:14" x14ac:dyDescent="0.25">
      <c r="A501" s="505" t="s">
        <v>2267</v>
      </c>
      <c r="B501" s="505" t="s">
        <v>2268</v>
      </c>
      <c r="C501" s="512" t="s">
        <v>7981</v>
      </c>
      <c r="D501" s="512" t="s">
        <v>7982</v>
      </c>
      <c r="E501" s="512" t="s">
        <v>7808</v>
      </c>
      <c r="F501" s="512" t="s">
        <v>7721</v>
      </c>
      <c r="G501" s="512" t="s">
        <v>7984</v>
      </c>
      <c r="L501" s="505" t="s">
        <v>1924</v>
      </c>
      <c r="M501" s="516">
        <v>67.650000000000006</v>
      </c>
      <c r="N501" s="505" t="s">
        <v>1924</v>
      </c>
    </row>
    <row r="502" spans="1:14" x14ac:dyDescent="0.25">
      <c r="A502" s="505" t="s">
        <v>2269</v>
      </c>
      <c r="B502" s="505" t="s">
        <v>2270</v>
      </c>
      <c r="C502" s="512" t="s">
        <v>7981</v>
      </c>
      <c r="D502" s="512" t="s">
        <v>7998</v>
      </c>
      <c r="E502" s="512" t="s">
        <v>7814</v>
      </c>
      <c r="F502" s="512" t="s">
        <v>7437</v>
      </c>
      <c r="G502" s="512" t="s">
        <v>7984</v>
      </c>
      <c r="L502" s="505" t="s">
        <v>1924</v>
      </c>
      <c r="M502" s="516">
        <v>93.75</v>
      </c>
      <c r="N502" s="505" t="s">
        <v>1924</v>
      </c>
    </row>
    <row r="503" spans="1:14" x14ac:dyDescent="0.25">
      <c r="A503" s="505" t="s">
        <v>2271</v>
      </c>
      <c r="B503" s="505" t="s">
        <v>2272</v>
      </c>
      <c r="C503" s="512" t="s">
        <v>7981</v>
      </c>
      <c r="D503" s="512" t="s">
        <v>7998</v>
      </c>
      <c r="E503" s="512" t="s">
        <v>7814</v>
      </c>
      <c r="F503" s="512" t="s">
        <v>7985</v>
      </c>
      <c r="G503" s="512" t="s">
        <v>7986</v>
      </c>
      <c r="H503" s="512" t="s">
        <v>7984</v>
      </c>
      <c r="L503" s="505" t="s">
        <v>1924</v>
      </c>
      <c r="M503" s="516">
        <v>93.75</v>
      </c>
      <c r="N503" s="505" t="s">
        <v>1924</v>
      </c>
    </row>
    <row r="504" spans="1:14" x14ac:dyDescent="0.25">
      <c r="A504" s="505" t="s">
        <v>2273</v>
      </c>
      <c r="B504" s="505" t="s">
        <v>2274</v>
      </c>
      <c r="C504" s="512" t="s">
        <v>7981</v>
      </c>
      <c r="D504" s="512" t="s">
        <v>7998</v>
      </c>
      <c r="E504" s="512" t="s">
        <v>7814</v>
      </c>
      <c r="F504" s="512" t="s">
        <v>7987</v>
      </c>
      <c r="G504" s="512" t="s">
        <v>7988</v>
      </c>
      <c r="H504" s="512" t="s">
        <v>7984</v>
      </c>
      <c r="L504" s="505" t="s">
        <v>1924</v>
      </c>
      <c r="M504" s="516">
        <v>93.75</v>
      </c>
      <c r="N504" s="505" t="s">
        <v>1924</v>
      </c>
    </row>
    <row r="505" spans="1:14" x14ac:dyDescent="0.25">
      <c r="A505" s="505" t="s">
        <v>2275</v>
      </c>
      <c r="B505" s="505" t="s">
        <v>2276</v>
      </c>
      <c r="C505" s="512" t="s">
        <v>7981</v>
      </c>
      <c r="D505" s="512" t="s">
        <v>7998</v>
      </c>
      <c r="E505" s="512" t="s">
        <v>7814</v>
      </c>
      <c r="F505" s="512" t="s">
        <v>7987</v>
      </c>
      <c r="G505" s="512" t="s">
        <v>7989</v>
      </c>
      <c r="H505" s="512" t="s">
        <v>7984</v>
      </c>
      <c r="L505" s="505" t="s">
        <v>1924</v>
      </c>
      <c r="M505" s="516">
        <v>93.75</v>
      </c>
      <c r="N505" s="505" t="s">
        <v>1924</v>
      </c>
    </row>
    <row r="506" spans="1:14" x14ac:dyDescent="0.25">
      <c r="A506" s="505" t="s">
        <v>2277</v>
      </c>
      <c r="B506" s="505" t="s">
        <v>2278</v>
      </c>
      <c r="C506" s="512" t="s">
        <v>7981</v>
      </c>
      <c r="D506" s="512" t="s">
        <v>7998</v>
      </c>
      <c r="E506" s="512" t="s">
        <v>7814</v>
      </c>
      <c r="F506" s="512" t="s">
        <v>7983</v>
      </c>
      <c r="G506" s="512" t="s">
        <v>7999</v>
      </c>
      <c r="H506" s="512" t="s">
        <v>7984</v>
      </c>
      <c r="L506" s="505" t="s">
        <v>1924</v>
      </c>
      <c r="M506" s="516">
        <v>93.75</v>
      </c>
      <c r="N506" s="505" t="s">
        <v>1924</v>
      </c>
    </row>
    <row r="507" spans="1:14" x14ac:dyDescent="0.25">
      <c r="A507" s="505" t="s">
        <v>2279</v>
      </c>
      <c r="B507" s="505" t="s">
        <v>2280</v>
      </c>
      <c r="C507" s="512" t="s">
        <v>7981</v>
      </c>
      <c r="D507" s="512" t="s">
        <v>7998</v>
      </c>
      <c r="E507" s="512" t="s">
        <v>7814</v>
      </c>
      <c r="F507" s="512" t="s">
        <v>7990</v>
      </c>
      <c r="G507" s="512" t="s">
        <v>7436</v>
      </c>
      <c r="H507" s="512" t="s">
        <v>7984</v>
      </c>
      <c r="L507" s="505" t="s">
        <v>1924</v>
      </c>
      <c r="M507" s="516">
        <v>93.75</v>
      </c>
      <c r="N507" s="505" t="s">
        <v>1924</v>
      </c>
    </row>
    <row r="508" spans="1:14" x14ac:dyDescent="0.25">
      <c r="A508" s="505" t="s">
        <v>2281</v>
      </c>
      <c r="B508" s="505" t="s">
        <v>2282</v>
      </c>
      <c r="C508" s="512" t="s">
        <v>7981</v>
      </c>
      <c r="D508" s="512" t="s">
        <v>7998</v>
      </c>
      <c r="E508" s="512" t="s">
        <v>7814</v>
      </c>
      <c r="F508" s="512" t="s">
        <v>8000</v>
      </c>
      <c r="G508" s="512" t="s">
        <v>7984</v>
      </c>
      <c r="L508" s="505" t="s">
        <v>1924</v>
      </c>
      <c r="M508" s="516">
        <v>93.75</v>
      </c>
      <c r="N508" s="505" t="s">
        <v>1924</v>
      </c>
    </row>
    <row r="509" spans="1:14" x14ac:dyDescent="0.25">
      <c r="A509" s="505" t="s">
        <v>2283</v>
      </c>
      <c r="B509" s="505" t="s">
        <v>2284</v>
      </c>
      <c r="C509" s="512" t="s">
        <v>7981</v>
      </c>
      <c r="D509" s="512" t="s">
        <v>7998</v>
      </c>
      <c r="E509" s="512" t="s">
        <v>7814</v>
      </c>
      <c r="F509" s="512" t="s">
        <v>7993</v>
      </c>
      <c r="G509" s="512" t="s">
        <v>7578</v>
      </c>
      <c r="H509" s="512" t="s">
        <v>7984</v>
      </c>
      <c r="L509" s="505" t="s">
        <v>1924</v>
      </c>
      <c r="M509" s="516">
        <v>93.75</v>
      </c>
      <c r="N509" s="505" t="s">
        <v>1924</v>
      </c>
    </row>
    <row r="510" spans="1:14" x14ac:dyDescent="0.25">
      <c r="A510" s="505" t="s">
        <v>2285</v>
      </c>
      <c r="B510" s="505" t="s">
        <v>2286</v>
      </c>
      <c r="C510" s="512" t="s">
        <v>7981</v>
      </c>
      <c r="D510" s="512" t="s">
        <v>7998</v>
      </c>
      <c r="E510" s="512" t="s">
        <v>7814</v>
      </c>
      <c r="F510" s="512" t="s">
        <v>7994</v>
      </c>
      <c r="G510" s="512" t="s">
        <v>7984</v>
      </c>
      <c r="L510" s="505" t="s">
        <v>1924</v>
      </c>
      <c r="M510" s="516">
        <v>93.75</v>
      </c>
      <c r="N510" s="505" t="s">
        <v>1924</v>
      </c>
    </row>
    <row r="511" spans="1:14" x14ac:dyDescent="0.25">
      <c r="A511" s="505" t="s">
        <v>2287</v>
      </c>
      <c r="B511" s="505" t="s">
        <v>2288</v>
      </c>
      <c r="C511" s="512" t="s">
        <v>7981</v>
      </c>
      <c r="D511" s="512" t="s">
        <v>7998</v>
      </c>
      <c r="E511" s="512" t="s">
        <v>7814</v>
      </c>
      <c r="F511" s="512" t="s">
        <v>7997</v>
      </c>
      <c r="G511" s="512" t="s">
        <v>7984</v>
      </c>
      <c r="L511" s="505" t="s">
        <v>1924</v>
      </c>
      <c r="M511" s="516">
        <v>93.75</v>
      </c>
      <c r="N511" s="505" t="s">
        <v>1924</v>
      </c>
    </row>
    <row r="512" spans="1:14" x14ac:dyDescent="0.25">
      <c r="A512" s="505" t="s">
        <v>2289</v>
      </c>
      <c r="B512" s="505" t="s">
        <v>2290</v>
      </c>
      <c r="C512" s="512" t="s">
        <v>7981</v>
      </c>
      <c r="D512" s="512" t="s">
        <v>7998</v>
      </c>
      <c r="E512" s="512" t="s">
        <v>7814</v>
      </c>
      <c r="F512" s="512" t="s">
        <v>7721</v>
      </c>
      <c r="G512" s="512" t="s">
        <v>7984</v>
      </c>
      <c r="L512" s="505" t="s">
        <v>1924</v>
      </c>
      <c r="M512" s="516">
        <v>93.75</v>
      </c>
      <c r="N512" s="505" t="s">
        <v>1924</v>
      </c>
    </row>
    <row r="513" spans="1:14" x14ac:dyDescent="0.25">
      <c r="A513" s="505" t="s">
        <v>2291</v>
      </c>
      <c r="B513" s="505" t="s">
        <v>2292</v>
      </c>
      <c r="C513" s="512" t="s">
        <v>8001</v>
      </c>
      <c r="D513" s="512" t="s">
        <v>8002</v>
      </c>
      <c r="E513" s="512" t="s">
        <v>8003</v>
      </c>
      <c r="F513" s="512" t="s">
        <v>8004</v>
      </c>
      <c r="G513" s="512" t="s">
        <v>8005</v>
      </c>
      <c r="L513" s="505" t="s">
        <v>2293</v>
      </c>
      <c r="M513" s="516">
        <v>115.9</v>
      </c>
      <c r="N513" s="505" t="s">
        <v>2293</v>
      </c>
    </row>
    <row r="514" spans="1:14" x14ac:dyDescent="0.25">
      <c r="A514" s="505" t="s">
        <v>2294</v>
      </c>
      <c r="B514" s="505" t="s">
        <v>2295</v>
      </c>
      <c r="C514" s="512" t="s">
        <v>8006</v>
      </c>
      <c r="D514" s="512" t="s">
        <v>8007</v>
      </c>
      <c r="E514" s="512" t="s">
        <v>8008</v>
      </c>
      <c r="F514" s="512" t="s">
        <v>7814</v>
      </c>
      <c r="G514" s="512" t="s">
        <v>8009</v>
      </c>
      <c r="L514" s="505" t="s">
        <v>114</v>
      </c>
      <c r="M514" s="516">
        <v>195</v>
      </c>
      <c r="N514" s="505" t="s">
        <v>114</v>
      </c>
    </row>
    <row r="515" spans="1:14" x14ac:dyDescent="0.25">
      <c r="A515" s="505" t="s">
        <v>2296</v>
      </c>
      <c r="B515" s="505" t="s">
        <v>2297</v>
      </c>
      <c r="C515" s="512" t="s">
        <v>7911</v>
      </c>
      <c r="D515" s="512">
        <v>16</v>
      </c>
      <c r="E515" s="512" t="s">
        <v>8010</v>
      </c>
      <c r="F515" s="512" t="s">
        <v>8011</v>
      </c>
      <c r="G515" s="512" t="s">
        <v>8012</v>
      </c>
      <c r="H515" s="512" t="s">
        <v>8013</v>
      </c>
      <c r="L515" s="505" t="s">
        <v>114</v>
      </c>
      <c r="M515" s="516">
        <v>283.5</v>
      </c>
      <c r="N515" s="505" t="s">
        <v>114</v>
      </c>
    </row>
    <row r="516" spans="1:14" x14ac:dyDescent="0.25">
      <c r="A516" s="505" t="s">
        <v>2298</v>
      </c>
      <c r="B516" s="505" t="s">
        <v>2299</v>
      </c>
      <c r="C516" s="512" t="s">
        <v>7506</v>
      </c>
      <c r="D516" s="512" t="s">
        <v>774</v>
      </c>
      <c r="E516" s="512" t="s">
        <v>8012</v>
      </c>
      <c r="F516" s="512" t="s">
        <v>8014</v>
      </c>
      <c r="L516" s="505" t="s">
        <v>114</v>
      </c>
      <c r="M516" s="516">
        <v>481.95</v>
      </c>
      <c r="N516" s="505" t="s">
        <v>114</v>
      </c>
    </row>
    <row r="517" spans="1:14" s="530" customFormat="1" x14ac:dyDescent="0.25">
      <c r="A517" s="530" t="s">
        <v>2300</v>
      </c>
      <c r="B517" s="530" t="s">
        <v>2301</v>
      </c>
      <c r="C517" s="531" t="s">
        <v>8015</v>
      </c>
      <c r="D517" s="531" t="s">
        <v>8016</v>
      </c>
      <c r="E517" s="531" t="s">
        <v>8017</v>
      </c>
      <c r="F517" s="531" t="s">
        <v>8018</v>
      </c>
      <c r="G517" s="531"/>
      <c r="H517" s="531"/>
      <c r="I517" s="531"/>
      <c r="L517" s="530" t="s">
        <v>1233</v>
      </c>
      <c r="M517" s="532">
        <v>0</v>
      </c>
      <c r="N517" s="530" t="s">
        <v>1544</v>
      </c>
    </row>
    <row r="518" spans="1:14" s="530" customFormat="1" x14ac:dyDescent="0.25">
      <c r="A518" s="530" t="s">
        <v>2302</v>
      </c>
      <c r="B518" s="530" t="s">
        <v>2303</v>
      </c>
      <c r="C518" s="531" t="s">
        <v>8015</v>
      </c>
      <c r="D518" s="531" t="s">
        <v>8019</v>
      </c>
      <c r="E518" s="531" t="s">
        <v>8020</v>
      </c>
      <c r="F518" s="531" t="s">
        <v>7917</v>
      </c>
      <c r="G518" s="531" t="s">
        <v>8016</v>
      </c>
      <c r="H518" s="531" t="s">
        <v>8017</v>
      </c>
      <c r="I518" s="531" t="s">
        <v>8021</v>
      </c>
      <c r="L518" s="530" t="s">
        <v>1233</v>
      </c>
      <c r="M518" s="532">
        <v>0</v>
      </c>
      <c r="N518" s="530" t="s">
        <v>1544</v>
      </c>
    </row>
    <row r="519" spans="1:14" s="530" customFormat="1" x14ac:dyDescent="0.25">
      <c r="A519" s="530" t="s">
        <v>2304</v>
      </c>
      <c r="B519" s="530" t="s">
        <v>2305</v>
      </c>
      <c r="C519" s="531" t="s">
        <v>8015</v>
      </c>
      <c r="D519" s="531" t="s">
        <v>7613</v>
      </c>
      <c r="E519" s="531" t="s">
        <v>8020</v>
      </c>
      <c r="F519" s="531" t="s">
        <v>8022</v>
      </c>
      <c r="G519" s="531" t="s">
        <v>8017</v>
      </c>
      <c r="H519" s="531" t="s">
        <v>8023</v>
      </c>
      <c r="I519" s="531"/>
      <c r="L519" s="530" t="s">
        <v>1233</v>
      </c>
      <c r="M519" s="532">
        <v>0</v>
      </c>
      <c r="N519" s="530" t="s">
        <v>1544</v>
      </c>
    </row>
    <row r="520" spans="1:14" s="530" customFormat="1" x14ac:dyDescent="0.25">
      <c r="A520" s="530" t="s">
        <v>2306</v>
      </c>
      <c r="B520" s="530" t="s">
        <v>2307</v>
      </c>
      <c r="C520" s="531" t="s">
        <v>8015</v>
      </c>
      <c r="D520" s="531" t="s">
        <v>8024</v>
      </c>
      <c r="E520" s="531" t="s">
        <v>8025</v>
      </c>
      <c r="F520" s="531"/>
      <c r="G520" s="531"/>
      <c r="H520" s="531"/>
      <c r="I520" s="531"/>
      <c r="L520" s="530" t="s">
        <v>1233</v>
      </c>
      <c r="M520" s="532">
        <v>0</v>
      </c>
      <c r="N520" s="530" t="s">
        <v>1544</v>
      </c>
    </row>
    <row r="521" spans="1:14" s="518" customFormat="1" x14ac:dyDescent="0.25">
      <c r="A521" s="518" t="s">
        <v>2308</v>
      </c>
      <c r="B521" s="518" t="s">
        <v>2309</v>
      </c>
      <c r="C521" s="519" t="s">
        <v>8026</v>
      </c>
      <c r="D521" s="519" t="s">
        <v>7736</v>
      </c>
      <c r="E521" s="519" t="s">
        <v>8027</v>
      </c>
      <c r="F521" s="519" t="s">
        <v>8028</v>
      </c>
      <c r="G521" s="519" t="s">
        <v>8029</v>
      </c>
      <c r="H521" s="519"/>
      <c r="I521" s="519"/>
      <c r="L521" s="518" t="s">
        <v>1233</v>
      </c>
      <c r="M521" s="520">
        <v>17.649999999999999</v>
      </c>
      <c r="N521" s="518" t="s">
        <v>1233</v>
      </c>
    </row>
    <row r="522" spans="1:14" s="518" customFormat="1" x14ac:dyDescent="0.25">
      <c r="A522" s="518" t="s">
        <v>2310</v>
      </c>
      <c r="B522" s="518" t="s">
        <v>2311</v>
      </c>
      <c r="C522" s="519" t="s">
        <v>8026</v>
      </c>
      <c r="D522" s="519" t="s">
        <v>7736</v>
      </c>
      <c r="E522" s="519" t="s">
        <v>8027</v>
      </c>
      <c r="F522" s="519" t="s">
        <v>8030</v>
      </c>
      <c r="G522" s="519" t="s">
        <v>8031</v>
      </c>
      <c r="H522" s="519"/>
      <c r="I522" s="519"/>
      <c r="L522" s="518" t="s">
        <v>114</v>
      </c>
      <c r="M522" s="520">
        <v>3.65</v>
      </c>
      <c r="N522" s="518" t="s">
        <v>114</v>
      </c>
    </row>
    <row r="523" spans="1:14" s="518" customFormat="1" x14ac:dyDescent="0.25">
      <c r="A523" s="518" t="s">
        <v>2312</v>
      </c>
      <c r="B523" s="518" t="s">
        <v>2313</v>
      </c>
      <c r="C523" s="519" t="s">
        <v>8026</v>
      </c>
      <c r="D523" s="519" t="s">
        <v>7736</v>
      </c>
      <c r="E523" s="519" t="s">
        <v>8032</v>
      </c>
      <c r="F523" s="519" t="s">
        <v>7717</v>
      </c>
      <c r="G523" s="519" t="s">
        <v>8027</v>
      </c>
      <c r="H523" s="519" t="s">
        <v>8033</v>
      </c>
      <c r="I523" s="519"/>
      <c r="L523" s="518" t="s">
        <v>114</v>
      </c>
      <c r="M523" s="520">
        <v>14.85</v>
      </c>
      <c r="N523" s="518" t="s">
        <v>114</v>
      </c>
    </row>
    <row r="524" spans="1:14" s="518" customFormat="1" x14ac:dyDescent="0.25">
      <c r="A524" s="518" t="s">
        <v>2314</v>
      </c>
      <c r="B524" s="518" t="s">
        <v>2315</v>
      </c>
      <c r="C524" s="519" t="s">
        <v>8026</v>
      </c>
      <c r="D524" s="519" t="s">
        <v>8034</v>
      </c>
      <c r="E524" s="519" t="s">
        <v>8027</v>
      </c>
      <c r="F524" s="519" t="s">
        <v>8028</v>
      </c>
      <c r="G524" s="519" t="s">
        <v>8029</v>
      </c>
      <c r="H524" s="519"/>
      <c r="I524" s="519"/>
      <c r="L524" s="518" t="s">
        <v>1233</v>
      </c>
      <c r="M524" s="520">
        <v>19.88</v>
      </c>
      <c r="N524" s="518" t="s">
        <v>1233</v>
      </c>
    </row>
    <row r="525" spans="1:14" s="518" customFormat="1" x14ac:dyDescent="0.25">
      <c r="A525" s="518" t="s">
        <v>2316</v>
      </c>
      <c r="B525" s="518" t="s">
        <v>2317</v>
      </c>
      <c r="C525" s="519" t="s">
        <v>8026</v>
      </c>
      <c r="D525" s="519" t="s">
        <v>8034</v>
      </c>
      <c r="E525" s="519" t="s">
        <v>8027</v>
      </c>
      <c r="F525" s="519" t="s">
        <v>8030</v>
      </c>
      <c r="G525" s="519" t="s">
        <v>8031</v>
      </c>
      <c r="H525" s="519"/>
      <c r="I525" s="519"/>
      <c r="L525" s="518" t="s">
        <v>114</v>
      </c>
      <c r="M525" s="520">
        <v>3.95</v>
      </c>
      <c r="N525" s="518" t="s">
        <v>114</v>
      </c>
    </row>
    <row r="526" spans="1:14" s="518" customFormat="1" x14ac:dyDescent="0.25">
      <c r="A526" s="518" t="s">
        <v>2318</v>
      </c>
      <c r="B526" s="518" t="s">
        <v>2319</v>
      </c>
      <c r="C526" s="519" t="s">
        <v>8026</v>
      </c>
      <c r="D526" s="519" t="s">
        <v>8034</v>
      </c>
      <c r="E526" s="519" t="s">
        <v>8032</v>
      </c>
      <c r="F526" s="519" t="s">
        <v>7717</v>
      </c>
      <c r="G526" s="519" t="s">
        <v>8027</v>
      </c>
      <c r="H526" s="519" t="s">
        <v>8033</v>
      </c>
      <c r="I526" s="519"/>
      <c r="L526" s="518" t="s">
        <v>114</v>
      </c>
      <c r="M526" s="520">
        <v>16.25</v>
      </c>
      <c r="N526" s="518" t="s">
        <v>114</v>
      </c>
    </row>
    <row r="527" spans="1:14" s="518" customFormat="1" x14ac:dyDescent="0.25">
      <c r="A527" s="518" t="s">
        <v>2320</v>
      </c>
      <c r="B527" s="518" t="s">
        <v>2321</v>
      </c>
      <c r="C527" s="519" t="s">
        <v>8026</v>
      </c>
      <c r="D527" s="519" t="s">
        <v>8035</v>
      </c>
      <c r="E527" s="519" t="s">
        <v>8027</v>
      </c>
      <c r="F527" s="519" t="s">
        <v>8028</v>
      </c>
      <c r="G527" s="519" t="s">
        <v>8029</v>
      </c>
      <c r="H527" s="519"/>
      <c r="I527" s="519"/>
      <c r="L527" s="518" t="s">
        <v>1233</v>
      </c>
      <c r="M527" s="520">
        <v>23.8</v>
      </c>
      <c r="N527" s="518" t="s">
        <v>1233</v>
      </c>
    </row>
    <row r="528" spans="1:14" s="518" customFormat="1" x14ac:dyDescent="0.25">
      <c r="A528" s="518" t="s">
        <v>2322</v>
      </c>
      <c r="B528" s="518" t="s">
        <v>2323</v>
      </c>
      <c r="C528" s="519" t="s">
        <v>8026</v>
      </c>
      <c r="D528" s="519" t="s">
        <v>8035</v>
      </c>
      <c r="E528" s="519" t="s">
        <v>8027</v>
      </c>
      <c r="F528" s="519" t="s">
        <v>8030</v>
      </c>
      <c r="G528" s="519" t="s">
        <v>8031</v>
      </c>
      <c r="H528" s="519"/>
      <c r="I528" s="519"/>
      <c r="L528" s="518" t="s">
        <v>114</v>
      </c>
      <c r="M528" s="520">
        <v>4.2</v>
      </c>
      <c r="N528" s="518" t="s">
        <v>114</v>
      </c>
    </row>
    <row r="529" spans="1:14" s="518" customFormat="1" x14ac:dyDescent="0.25">
      <c r="A529" s="518" t="s">
        <v>2324</v>
      </c>
      <c r="B529" s="518" t="s">
        <v>2325</v>
      </c>
      <c r="C529" s="519" t="s">
        <v>8026</v>
      </c>
      <c r="D529" s="519" t="s">
        <v>8035</v>
      </c>
      <c r="E529" s="519" t="s">
        <v>8027</v>
      </c>
      <c r="F529" s="526">
        <v>37084</v>
      </c>
      <c r="G529" s="519"/>
      <c r="H529" s="519"/>
      <c r="I529" s="519"/>
      <c r="L529" s="518" t="s">
        <v>114</v>
      </c>
      <c r="M529" s="520">
        <v>16.75</v>
      </c>
      <c r="N529" s="518" t="s">
        <v>114</v>
      </c>
    </row>
    <row r="530" spans="1:14" s="518" customFormat="1" x14ac:dyDescent="0.25">
      <c r="A530" s="518" t="s">
        <v>2326</v>
      </c>
      <c r="B530" s="518" t="s">
        <v>2327</v>
      </c>
      <c r="C530" s="519" t="s">
        <v>8026</v>
      </c>
      <c r="D530" s="519" t="s">
        <v>8036</v>
      </c>
      <c r="E530" s="519" t="s">
        <v>8027</v>
      </c>
      <c r="F530" s="519" t="s">
        <v>8028</v>
      </c>
      <c r="G530" s="519" t="s">
        <v>8029</v>
      </c>
      <c r="H530" s="519"/>
      <c r="I530" s="519"/>
      <c r="L530" s="518" t="s">
        <v>1233</v>
      </c>
      <c r="M530" s="520">
        <v>28.3</v>
      </c>
      <c r="N530" s="518" t="s">
        <v>1233</v>
      </c>
    </row>
    <row r="531" spans="1:14" s="518" customFormat="1" x14ac:dyDescent="0.25">
      <c r="A531" s="518" t="s">
        <v>2328</v>
      </c>
      <c r="B531" s="518" t="s">
        <v>2329</v>
      </c>
      <c r="C531" s="519" t="s">
        <v>8026</v>
      </c>
      <c r="D531" s="519" t="s">
        <v>8036</v>
      </c>
      <c r="E531" s="519" t="s">
        <v>8027</v>
      </c>
      <c r="F531" s="519" t="s">
        <v>8030</v>
      </c>
      <c r="G531" s="519" t="s">
        <v>8031</v>
      </c>
      <c r="H531" s="519"/>
      <c r="I531" s="519"/>
      <c r="L531" s="518" t="s">
        <v>114</v>
      </c>
      <c r="M531" s="520">
        <v>4.45</v>
      </c>
      <c r="N531" s="518" t="s">
        <v>114</v>
      </c>
    </row>
    <row r="532" spans="1:14" s="518" customFormat="1" x14ac:dyDescent="0.25">
      <c r="A532" s="518" t="s">
        <v>2330</v>
      </c>
      <c r="B532" s="518" t="s">
        <v>2331</v>
      </c>
      <c r="C532" s="519" t="s">
        <v>8026</v>
      </c>
      <c r="D532" s="519" t="s">
        <v>8036</v>
      </c>
      <c r="E532" s="519" t="s">
        <v>8032</v>
      </c>
      <c r="F532" s="519" t="s">
        <v>7717</v>
      </c>
      <c r="G532" s="519" t="s">
        <v>8027</v>
      </c>
      <c r="H532" s="519" t="s">
        <v>8033</v>
      </c>
      <c r="I532" s="519"/>
      <c r="L532" s="518" t="s">
        <v>114</v>
      </c>
      <c r="M532" s="520">
        <v>22.35</v>
      </c>
      <c r="N532" s="518" t="s">
        <v>114</v>
      </c>
    </row>
    <row r="533" spans="1:14" s="518" customFormat="1" x14ac:dyDescent="0.25">
      <c r="A533" s="518" t="s">
        <v>2332</v>
      </c>
      <c r="B533" s="518" t="s">
        <v>2333</v>
      </c>
      <c r="C533" s="519" t="s">
        <v>8026</v>
      </c>
      <c r="D533" s="519" t="s">
        <v>8037</v>
      </c>
      <c r="E533" s="519" t="s">
        <v>8027</v>
      </c>
      <c r="F533" s="519" t="s">
        <v>8028</v>
      </c>
      <c r="G533" s="519" t="s">
        <v>8029</v>
      </c>
      <c r="H533" s="519"/>
      <c r="I533" s="519"/>
      <c r="L533" s="518" t="s">
        <v>1233</v>
      </c>
      <c r="M533" s="520">
        <v>30.05</v>
      </c>
      <c r="N533" s="518" t="s">
        <v>1233</v>
      </c>
    </row>
    <row r="534" spans="1:14" s="518" customFormat="1" x14ac:dyDescent="0.25">
      <c r="A534" s="518" t="s">
        <v>2334</v>
      </c>
      <c r="B534" s="518" t="s">
        <v>2335</v>
      </c>
      <c r="C534" s="519" t="s">
        <v>8026</v>
      </c>
      <c r="D534" s="519" t="s">
        <v>8037</v>
      </c>
      <c r="E534" s="519" t="s">
        <v>8027</v>
      </c>
      <c r="F534" s="519" t="s">
        <v>8030</v>
      </c>
      <c r="G534" s="519" t="s">
        <v>8031</v>
      </c>
      <c r="H534" s="519"/>
      <c r="I534" s="519"/>
      <c r="L534" s="518" t="s">
        <v>114</v>
      </c>
      <c r="M534" s="520">
        <v>5.35</v>
      </c>
      <c r="N534" s="518" t="s">
        <v>114</v>
      </c>
    </row>
    <row r="535" spans="1:14" s="518" customFormat="1" x14ac:dyDescent="0.25">
      <c r="A535" s="518" t="s">
        <v>2336</v>
      </c>
      <c r="B535" s="518" t="s">
        <v>2337</v>
      </c>
      <c r="C535" s="519" t="s">
        <v>8026</v>
      </c>
      <c r="D535" s="519" t="s">
        <v>8037</v>
      </c>
      <c r="E535" s="519" t="s">
        <v>8032</v>
      </c>
      <c r="F535" s="519" t="s">
        <v>7717</v>
      </c>
      <c r="G535" s="519" t="s">
        <v>8027</v>
      </c>
      <c r="H535" s="519" t="s">
        <v>8033</v>
      </c>
      <c r="I535" s="519"/>
      <c r="L535" s="518" t="s">
        <v>114</v>
      </c>
      <c r="M535" s="520">
        <v>24.05</v>
      </c>
      <c r="N535" s="518" t="s">
        <v>114</v>
      </c>
    </row>
    <row r="536" spans="1:14" s="518" customFormat="1" x14ac:dyDescent="0.25">
      <c r="A536" s="518" t="s">
        <v>2338</v>
      </c>
      <c r="B536" s="518" t="s">
        <v>2339</v>
      </c>
      <c r="C536" s="519" t="s">
        <v>8026</v>
      </c>
      <c r="D536" s="519" t="s">
        <v>7602</v>
      </c>
      <c r="E536" s="519" t="s">
        <v>8027</v>
      </c>
      <c r="F536" s="519" t="s">
        <v>8030</v>
      </c>
      <c r="G536" s="519" t="s">
        <v>8031</v>
      </c>
      <c r="H536" s="519"/>
      <c r="I536" s="519"/>
      <c r="L536" s="518" t="s">
        <v>114</v>
      </c>
      <c r="M536" s="520">
        <v>9.25</v>
      </c>
      <c r="N536" s="518" t="s">
        <v>114</v>
      </c>
    </row>
    <row r="537" spans="1:14" s="518" customFormat="1" x14ac:dyDescent="0.25">
      <c r="A537" s="518" t="s">
        <v>2340</v>
      </c>
      <c r="B537" s="518" t="s">
        <v>2341</v>
      </c>
      <c r="C537" s="519" t="s">
        <v>8026</v>
      </c>
      <c r="D537" s="519" t="s">
        <v>7602</v>
      </c>
      <c r="E537" s="519" t="s">
        <v>8032</v>
      </c>
      <c r="F537" s="519" t="s">
        <v>7717</v>
      </c>
      <c r="G537" s="519" t="s">
        <v>8027</v>
      </c>
      <c r="H537" s="519" t="s">
        <v>8033</v>
      </c>
      <c r="I537" s="519"/>
      <c r="L537" s="518" t="s">
        <v>114</v>
      </c>
      <c r="M537" s="520">
        <v>36.4</v>
      </c>
      <c r="N537" s="518" t="s">
        <v>114</v>
      </c>
    </row>
    <row r="538" spans="1:14" s="518" customFormat="1" x14ac:dyDescent="0.25">
      <c r="A538" s="518" t="s">
        <v>2342</v>
      </c>
      <c r="B538" s="518" t="s">
        <v>2343</v>
      </c>
      <c r="C538" s="519" t="s">
        <v>8026</v>
      </c>
      <c r="D538" s="519" t="s">
        <v>7602</v>
      </c>
      <c r="E538" s="519" t="s">
        <v>8027</v>
      </c>
      <c r="F538" s="519" t="s">
        <v>8028</v>
      </c>
      <c r="G538" s="519" t="s">
        <v>8029</v>
      </c>
      <c r="H538" s="519"/>
      <c r="I538" s="519"/>
      <c r="L538" s="518" t="s">
        <v>114</v>
      </c>
      <c r="M538" s="520">
        <v>66.349999999999994</v>
      </c>
      <c r="N538" s="518" t="s">
        <v>114</v>
      </c>
    </row>
    <row r="539" spans="1:14" x14ac:dyDescent="0.25">
      <c r="A539" s="505" t="s">
        <v>2344</v>
      </c>
      <c r="B539" s="505" t="s">
        <v>2345</v>
      </c>
      <c r="C539" s="512" t="s">
        <v>7417</v>
      </c>
      <c r="D539" s="512" t="s">
        <v>7581</v>
      </c>
      <c r="E539" s="512" t="s">
        <v>8038</v>
      </c>
      <c r="F539" s="512" t="s">
        <v>8039</v>
      </c>
      <c r="G539" s="512" t="s">
        <v>8040</v>
      </c>
      <c r="H539" s="512" t="s">
        <v>8041</v>
      </c>
      <c r="I539" s="512" t="s">
        <v>8042</v>
      </c>
      <c r="L539" s="505" t="s">
        <v>114</v>
      </c>
      <c r="M539" s="516">
        <v>18.25</v>
      </c>
      <c r="N539" s="505" t="s">
        <v>114</v>
      </c>
    </row>
    <row r="540" spans="1:14" x14ac:dyDescent="0.25">
      <c r="A540" s="505" t="s">
        <v>2346</v>
      </c>
      <c r="B540" s="505" t="s">
        <v>2347</v>
      </c>
      <c r="C540" s="512" t="s">
        <v>7417</v>
      </c>
      <c r="D540" s="512" t="s">
        <v>8043</v>
      </c>
      <c r="E540" s="512" t="s">
        <v>8044</v>
      </c>
      <c r="F540" s="512" t="s">
        <v>8045</v>
      </c>
      <c r="G540" s="512" t="s">
        <v>8046</v>
      </c>
      <c r="H540" s="512" t="s">
        <v>8041</v>
      </c>
      <c r="I540" s="512" t="s">
        <v>8047</v>
      </c>
      <c r="L540" s="505" t="s">
        <v>1233</v>
      </c>
      <c r="M540" s="516">
        <v>20.350000000000001</v>
      </c>
      <c r="N540" s="505" t="s">
        <v>1233</v>
      </c>
    </row>
    <row r="541" spans="1:14" x14ac:dyDescent="0.25">
      <c r="A541" s="505" t="s">
        <v>2348</v>
      </c>
      <c r="B541" s="505" t="s">
        <v>2349</v>
      </c>
      <c r="C541" s="512" t="s">
        <v>7417</v>
      </c>
      <c r="D541" s="512" t="s">
        <v>8048</v>
      </c>
      <c r="E541" s="512" t="s">
        <v>7613</v>
      </c>
      <c r="F541" s="512" t="s">
        <v>8049</v>
      </c>
      <c r="G541" s="512" t="s">
        <v>148</v>
      </c>
      <c r="L541" s="505" t="s">
        <v>1233</v>
      </c>
      <c r="M541" s="516">
        <v>13.8</v>
      </c>
      <c r="N541" s="505" t="s">
        <v>1233</v>
      </c>
    </row>
    <row r="542" spans="1:14" x14ac:dyDescent="0.25">
      <c r="A542" s="505" t="s">
        <v>2350</v>
      </c>
      <c r="B542" s="505" t="s">
        <v>2351</v>
      </c>
      <c r="C542" s="512" t="s">
        <v>7417</v>
      </c>
      <c r="D542" s="512" t="s">
        <v>8048</v>
      </c>
      <c r="E542" s="512" t="s">
        <v>7613</v>
      </c>
      <c r="F542" s="512" t="s">
        <v>8049</v>
      </c>
      <c r="G542" s="512" t="s">
        <v>361</v>
      </c>
      <c r="L542" s="505" t="s">
        <v>1233</v>
      </c>
      <c r="M542" s="516">
        <v>13.8</v>
      </c>
      <c r="N542" s="505" t="s">
        <v>1233</v>
      </c>
    </row>
    <row r="543" spans="1:14" x14ac:dyDescent="0.25">
      <c r="A543" s="505" t="s">
        <v>2352</v>
      </c>
      <c r="B543" s="505" t="s">
        <v>2353</v>
      </c>
      <c r="C543" s="512" t="s">
        <v>7417</v>
      </c>
      <c r="D543" s="512" t="s">
        <v>8048</v>
      </c>
      <c r="E543" s="512" t="s">
        <v>7613</v>
      </c>
      <c r="F543" s="512" t="s">
        <v>8049</v>
      </c>
      <c r="G543" s="512" t="s">
        <v>7426</v>
      </c>
      <c r="L543" s="505" t="s">
        <v>1233</v>
      </c>
      <c r="M543" s="516">
        <v>13.8</v>
      </c>
      <c r="N543" s="505" t="s">
        <v>1233</v>
      </c>
    </row>
    <row r="544" spans="1:14" s="518" customFormat="1" x14ac:dyDescent="0.25">
      <c r="A544" s="518" t="s">
        <v>2354</v>
      </c>
      <c r="B544" s="518" t="s">
        <v>2355</v>
      </c>
      <c r="C544" s="519" t="s">
        <v>8050</v>
      </c>
      <c r="D544" s="519">
        <v>105</v>
      </c>
      <c r="E544" s="519" t="s">
        <v>8051</v>
      </c>
      <c r="F544" s="519" t="s">
        <v>8052</v>
      </c>
      <c r="G544" s="519" t="s">
        <v>8053</v>
      </c>
      <c r="H544" s="519" t="s">
        <v>7437</v>
      </c>
      <c r="I544" s="519"/>
      <c r="L544" s="518" t="s">
        <v>114</v>
      </c>
      <c r="M544" s="520">
        <v>11.35</v>
      </c>
      <c r="N544" s="518" t="s">
        <v>114</v>
      </c>
    </row>
    <row r="545" spans="1:14" s="518" customFormat="1" x14ac:dyDescent="0.25">
      <c r="A545" s="518" t="s">
        <v>2356</v>
      </c>
      <c r="B545" s="518" t="s">
        <v>2357</v>
      </c>
      <c r="C545" s="519" t="s">
        <v>8050</v>
      </c>
      <c r="D545" s="519">
        <v>105</v>
      </c>
      <c r="E545" s="519" t="s">
        <v>8051</v>
      </c>
      <c r="F545" s="519" t="s">
        <v>8052</v>
      </c>
      <c r="G545" s="519" t="s">
        <v>8053</v>
      </c>
      <c r="H545" s="519" t="s">
        <v>7436</v>
      </c>
      <c r="I545" s="519"/>
      <c r="L545" s="518" t="s">
        <v>114</v>
      </c>
      <c r="M545" s="520">
        <v>11.35</v>
      </c>
      <c r="N545" s="518" t="s">
        <v>114</v>
      </c>
    </row>
    <row r="546" spans="1:14" s="518" customFormat="1" x14ac:dyDescent="0.25">
      <c r="A546" s="518" t="s">
        <v>2358</v>
      </c>
      <c r="B546" s="518" t="s">
        <v>2359</v>
      </c>
      <c r="C546" s="519" t="s">
        <v>8050</v>
      </c>
      <c r="D546" s="519">
        <v>105</v>
      </c>
      <c r="E546" s="519" t="s">
        <v>8051</v>
      </c>
      <c r="F546" s="519" t="s">
        <v>8052</v>
      </c>
      <c r="G546" s="519" t="s">
        <v>8053</v>
      </c>
      <c r="H546" s="519" t="s">
        <v>7712</v>
      </c>
      <c r="I546" s="519"/>
      <c r="L546" s="518" t="s">
        <v>114</v>
      </c>
      <c r="M546" s="520">
        <v>11.35</v>
      </c>
      <c r="N546" s="518" t="s">
        <v>114</v>
      </c>
    </row>
    <row r="547" spans="1:14" s="518" customFormat="1" x14ac:dyDescent="0.25">
      <c r="A547" s="518" t="s">
        <v>2360</v>
      </c>
      <c r="B547" s="518" t="s">
        <v>2361</v>
      </c>
      <c r="C547" s="519" t="s">
        <v>8050</v>
      </c>
      <c r="D547" s="519">
        <v>105</v>
      </c>
      <c r="E547" s="519" t="s">
        <v>8051</v>
      </c>
      <c r="F547" s="519" t="s">
        <v>8052</v>
      </c>
      <c r="G547" s="519" t="s">
        <v>8053</v>
      </c>
      <c r="H547" s="519" t="s">
        <v>7721</v>
      </c>
      <c r="I547" s="519"/>
      <c r="L547" s="518" t="s">
        <v>114</v>
      </c>
      <c r="M547" s="520">
        <v>11.35</v>
      </c>
      <c r="N547" s="518" t="s">
        <v>114</v>
      </c>
    </row>
    <row r="548" spans="1:14" s="518" customFormat="1" x14ac:dyDescent="0.25">
      <c r="A548" s="518" t="s">
        <v>2362</v>
      </c>
      <c r="B548" s="518" t="s">
        <v>2363</v>
      </c>
      <c r="C548" s="519" t="s">
        <v>8050</v>
      </c>
      <c r="D548" s="519" t="s">
        <v>8054</v>
      </c>
      <c r="E548" s="519" t="s">
        <v>8055</v>
      </c>
      <c r="F548" s="519" t="s">
        <v>8056</v>
      </c>
      <c r="G548" s="519" t="s">
        <v>8053</v>
      </c>
      <c r="H548" s="519"/>
      <c r="I548" s="519"/>
      <c r="L548" s="518" t="s">
        <v>1233</v>
      </c>
      <c r="M548" s="520">
        <v>36.5</v>
      </c>
      <c r="N548" s="518" t="s">
        <v>1233</v>
      </c>
    </row>
    <row r="549" spans="1:14" s="518" customFormat="1" x14ac:dyDescent="0.25">
      <c r="A549" s="518" t="s">
        <v>2364</v>
      </c>
      <c r="B549" s="518" t="s">
        <v>2365</v>
      </c>
      <c r="C549" s="519" t="s">
        <v>8050</v>
      </c>
      <c r="D549" s="519" t="s">
        <v>8057</v>
      </c>
      <c r="E549" s="519" t="s">
        <v>8058</v>
      </c>
      <c r="F549" s="519" t="s">
        <v>8059</v>
      </c>
      <c r="G549" s="519" t="s">
        <v>8060</v>
      </c>
      <c r="H549" s="519" t="s">
        <v>8061</v>
      </c>
      <c r="I549" s="519"/>
      <c r="L549" s="518" t="s">
        <v>1233</v>
      </c>
      <c r="M549" s="520">
        <v>138.6</v>
      </c>
      <c r="N549" s="518" t="s">
        <v>1233</v>
      </c>
    </row>
    <row r="550" spans="1:14" s="518" customFormat="1" x14ac:dyDescent="0.25">
      <c r="A550" s="518" t="s">
        <v>2366</v>
      </c>
      <c r="B550" s="518" t="s">
        <v>2367</v>
      </c>
      <c r="C550" s="519" t="s">
        <v>8050</v>
      </c>
      <c r="D550" s="519" t="s">
        <v>8062</v>
      </c>
      <c r="E550" s="519" t="s">
        <v>8043</v>
      </c>
      <c r="F550" s="519" t="s">
        <v>8059</v>
      </c>
      <c r="G550" s="519" t="s">
        <v>8063</v>
      </c>
      <c r="H550" s="519" t="s">
        <v>8053</v>
      </c>
      <c r="I550" s="519" t="s">
        <v>8041</v>
      </c>
      <c r="L550" s="518" t="s">
        <v>1233</v>
      </c>
      <c r="M550" s="520">
        <v>20.350000000000001</v>
      </c>
      <c r="N550" s="518" t="s">
        <v>1233</v>
      </c>
    </row>
    <row r="551" spans="1:14" x14ac:dyDescent="0.25">
      <c r="A551" s="505" t="s">
        <v>2368</v>
      </c>
      <c r="B551" s="505" t="s">
        <v>2369</v>
      </c>
      <c r="C551" s="512" t="s">
        <v>7736</v>
      </c>
      <c r="D551" s="512" t="s">
        <v>8064</v>
      </c>
      <c r="E551" s="512" t="s">
        <v>8065</v>
      </c>
      <c r="L551" s="505" t="s">
        <v>114</v>
      </c>
      <c r="M551" s="516">
        <v>12.95</v>
      </c>
      <c r="N551" s="505" t="s">
        <v>114</v>
      </c>
    </row>
    <row r="552" spans="1:14" x14ac:dyDescent="0.25">
      <c r="A552" s="505" t="s">
        <v>2370</v>
      </c>
      <c r="B552" s="505" t="s">
        <v>2371</v>
      </c>
      <c r="C552" s="512" t="s">
        <v>8066</v>
      </c>
      <c r="D552" s="512" t="s">
        <v>8067</v>
      </c>
      <c r="E552" s="512" t="s">
        <v>7606</v>
      </c>
      <c r="F552" s="512" t="s">
        <v>8053</v>
      </c>
      <c r="L552" s="505" t="s">
        <v>1233</v>
      </c>
      <c r="M552" s="516">
        <v>90</v>
      </c>
      <c r="N552" s="505" t="s">
        <v>1233</v>
      </c>
    </row>
    <row r="553" spans="1:14" s="530" customFormat="1" x14ac:dyDescent="0.25">
      <c r="A553" s="530" t="s">
        <v>2372</v>
      </c>
      <c r="B553" s="530" t="s">
        <v>2373</v>
      </c>
      <c r="C553" s="531" t="s">
        <v>8068</v>
      </c>
      <c r="D553" s="531" t="s">
        <v>8069</v>
      </c>
      <c r="E553" s="531" t="s">
        <v>8070</v>
      </c>
      <c r="F553" s="531" t="s">
        <v>173</v>
      </c>
      <c r="G553" s="531" t="s">
        <v>7740</v>
      </c>
      <c r="H553" s="531" t="s">
        <v>8071</v>
      </c>
      <c r="I553" s="531"/>
      <c r="L553" s="530" t="s">
        <v>1233</v>
      </c>
      <c r="M553" s="532">
        <v>0</v>
      </c>
      <c r="N553" s="530" t="s">
        <v>1544</v>
      </c>
    </row>
    <row r="554" spans="1:14" s="518" customFormat="1" x14ac:dyDescent="0.25">
      <c r="A554" s="518" t="s">
        <v>2374</v>
      </c>
      <c r="B554" s="518" t="s">
        <v>2375</v>
      </c>
      <c r="C554" s="519" t="s">
        <v>7731</v>
      </c>
      <c r="D554" s="519">
        <v>6050</v>
      </c>
      <c r="E554" s="519" t="s">
        <v>8072</v>
      </c>
      <c r="F554" s="519" t="s">
        <v>8073</v>
      </c>
      <c r="G554" s="519" t="s">
        <v>8053</v>
      </c>
      <c r="H554" s="519" t="s">
        <v>7437</v>
      </c>
      <c r="I554" s="519"/>
      <c r="L554" s="518" t="s">
        <v>1233</v>
      </c>
      <c r="M554" s="520">
        <v>11.75</v>
      </c>
      <c r="N554" s="518" t="s">
        <v>1233</v>
      </c>
    </row>
    <row r="555" spans="1:14" s="518" customFormat="1" x14ac:dyDescent="0.25">
      <c r="A555" s="518" t="s">
        <v>2376</v>
      </c>
      <c r="B555" s="518" t="s">
        <v>2377</v>
      </c>
      <c r="C555" s="519" t="s">
        <v>7702</v>
      </c>
      <c r="D555" s="519">
        <v>6050</v>
      </c>
      <c r="E555" s="519" t="s">
        <v>8074</v>
      </c>
      <c r="F555" s="519" t="s">
        <v>8075</v>
      </c>
      <c r="G555" s="519" t="s">
        <v>1098</v>
      </c>
      <c r="H555" s="519" t="s">
        <v>363</v>
      </c>
      <c r="I555" s="519"/>
      <c r="L555" s="518" t="s">
        <v>1233</v>
      </c>
      <c r="M555" s="520">
        <v>11.75</v>
      </c>
      <c r="N555" s="518" t="s">
        <v>1233</v>
      </c>
    </row>
    <row r="556" spans="1:14" s="518" customFormat="1" x14ac:dyDescent="0.25">
      <c r="A556" s="518" t="s">
        <v>2378</v>
      </c>
      <c r="B556" s="518" t="s">
        <v>2379</v>
      </c>
      <c r="C556" s="519" t="s">
        <v>7731</v>
      </c>
      <c r="D556" s="519">
        <v>6050</v>
      </c>
      <c r="E556" s="519" t="s">
        <v>8072</v>
      </c>
      <c r="F556" s="519" t="s">
        <v>8073</v>
      </c>
      <c r="G556" s="519" t="s">
        <v>8053</v>
      </c>
      <c r="H556" s="519" t="s">
        <v>7436</v>
      </c>
      <c r="I556" s="519"/>
      <c r="L556" s="518" t="s">
        <v>1233</v>
      </c>
      <c r="M556" s="520">
        <v>11.75</v>
      </c>
      <c r="N556" s="518" t="s">
        <v>1233</v>
      </c>
    </row>
    <row r="557" spans="1:14" s="518" customFormat="1" x14ac:dyDescent="0.25">
      <c r="A557" s="518" t="s">
        <v>2380</v>
      </c>
      <c r="B557" s="518" t="s">
        <v>2381</v>
      </c>
      <c r="C557" s="519" t="s">
        <v>7731</v>
      </c>
      <c r="D557" s="519">
        <v>6050</v>
      </c>
      <c r="E557" s="519" t="s">
        <v>8072</v>
      </c>
      <c r="F557" s="519" t="s">
        <v>8073</v>
      </c>
      <c r="G557" s="519" t="s">
        <v>8053</v>
      </c>
      <c r="H557" s="519" t="s">
        <v>8076</v>
      </c>
      <c r="I557" s="519"/>
      <c r="L557" s="518" t="s">
        <v>1233</v>
      </c>
      <c r="M557" s="520">
        <v>11.75</v>
      </c>
      <c r="N557" s="518" t="s">
        <v>1233</v>
      </c>
    </row>
    <row r="558" spans="1:14" s="518" customFormat="1" x14ac:dyDescent="0.25">
      <c r="A558" s="518" t="s">
        <v>2382</v>
      </c>
      <c r="B558" s="518" t="s">
        <v>2383</v>
      </c>
      <c r="C558" s="519" t="s">
        <v>7731</v>
      </c>
      <c r="D558" s="519" t="s">
        <v>8077</v>
      </c>
      <c r="E558" s="519" t="s">
        <v>8078</v>
      </c>
      <c r="F558" s="519" t="s">
        <v>8079</v>
      </c>
      <c r="G558" s="519" t="s">
        <v>7491</v>
      </c>
      <c r="H558" s="519"/>
      <c r="I558" s="519"/>
      <c r="L558" s="518" t="s">
        <v>114</v>
      </c>
      <c r="M558" s="520">
        <v>107.83</v>
      </c>
      <c r="N558" s="518" t="s">
        <v>114</v>
      </c>
    </row>
    <row r="559" spans="1:14" s="518" customFormat="1" x14ac:dyDescent="0.25">
      <c r="A559" s="518" t="s">
        <v>2384</v>
      </c>
      <c r="B559" s="518" t="s">
        <v>2385</v>
      </c>
      <c r="C559" s="519" t="s">
        <v>7731</v>
      </c>
      <c r="D559" s="519" t="s">
        <v>8077</v>
      </c>
      <c r="E559" s="519" t="s">
        <v>8078</v>
      </c>
      <c r="F559" s="519" t="s">
        <v>8079</v>
      </c>
      <c r="G559" s="519" t="s">
        <v>7999</v>
      </c>
      <c r="H559" s="519"/>
      <c r="I559" s="519"/>
      <c r="L559" s="518" t="s">
        <v>114</v>
      </c>
      <c r="M559" s="520">
        <v>107.83</v>
      </c>
      <c r="N559" s="518" t="s">
        <v>114</v>
      </c>
    </row>
    <row r="560" spans="1:14" x14ac:dyDescent="0.25">
      <c r="A560" s="505" t="s">
        <v>2386</v>
      </c>
      <c r="B560" s="505" t="s">
        <v>2387</v>
      </c>
      <c r="C560" s="512" t="s">
        <v>8080</v>
      </c>
      <c r="D560" s="512" t="s">
        <v>8081</v>
      </c>
      <c r="E560" s="512" t="s">
        <v>8082</v>
      </c>
      <c r="F560" s="512" t="s">
        <v>8083</v>
      </c>
      <c r="L560" s="505" t="s">
        <v>1178</v>
      </c>
      <c r="M560" s="516">
        <v>165</v>
      </c>
      <c r="N560" s="505" t="s">
        <v>1178</v>
      </c>
    </row>
    <row r="561" spans="1:14" s="518" customFormat="1" x14ac:dyDescent="0.25">
      <c r="A561" s="518" t="s">
        <v>2388</v>
      </c>
      <c r="B561" s="518" t="s">
        <v>2389</v>
      </c>
      <c r="C561" s="519" t="s">
        <v>7731</v>
      </c>
      <c r="D561" s="519" t="s">
        <v>8084</v>
      </c>
      <c r="E561" s="519">
        <v>50</v>
      </c>
      <c r="F561" s="519" t="s">
        <v>7437</v>
      </c>
      <c r="G561" s="519"/>
      <c r="H561" s="519"/>
      <c r="I561" s="519"/>
      <c r="L561" s="518" t="s">
        <v>1233</v>
      </c>
      <c r="M561" s="520">
        <v>11.75</v>
      </c>
      <c r="N561" s="518" t="s">
        <v>1233</v>
      </c>
    </row>
    <row r="562" spans="1:14" s="518" customFormat="1" x14ac:dyDescent="0.25">
      <c r="A562" s="518" t="s">
        <v>2390</v>
      </c>
      <c r="B562" s="518" t="s">
        <v>2391</v>
      </c>
      <c r="C562" s="519" t="s">
        <v>7731</v>
      </c>
      <c r="D562" s="519" t="s">
        <v>8084</v>
      </c>
      <c r="E562" s="519">
        <v>50</v>
      </c>
      <c r="F562" s="519" t="s">
        <v>7436</v>
      </c>
      <c r="G562" s="519"/>
      <c r="H562" s="519"/>
      <c r="I562" s="519"/>
      <c r="L562" s="518" t="s">
        <v>1233</v>
      </c>
      <c r="M562" s="520">
        <v>11.75</v>
      </c>
      <c r="N562" s="518" t="s">
        <v>1233</v>
      </c>
    </row>
    <row r="563" spans="1:14" s="518" customFormat="1" x14ac:dyDescent="0.25">
      <c r="A563" s="518" t="s">
        <v>2392</v>
      </c>
      <c r="B563" s="518" t="s">
        <v>2393</v>
      </c>
      <c r="C563" s="519" t="s">
        <v>7731</v>
      </c>
      <c r="D563" s="519" t="s">
        <v>8084</v>
      </c>
      <c r="E563" s="519">
        <v>50</v>
      </c>
      <c r="F563" s="519" t="s">
        <v>7433</v>
      </c>
      <c r="G563" s="519"/>
      <c r="H563" s="519"/>
      <c r="I563" s="519"/>
      <c r="L563" s="518" t="s">
        <v>1233</v>
      </c>
      <c r="M563" s="520">
        <v>11.75</v>
      </c>
      <c r="N563" s="518" t="s">
        <v>1233</v>
      </c>
    </row>
    <row r="564" spans="1:14" s="518" customFormat="1" x14ac:dyDescent="0.25">
      <c r="A564" s="518" t="s">
        <v>2394</v>
      </c>
      <c r="B564" s="518" t="s">
        <v>2395</v>
      </c>
      <c r="C564" s="519" t="s">
        <v>7731</v>
      </c>
      <c r="D564" s="519" t="s">
        <v>8084</v>
      </c>
      <c r="E564" s="519">
        <v>50</v>
      </c>
      <c r="F564" s="519" t="s">
        <v>7442</v>
      </c>
      <c r="G564" s="519"/>
      <c r="H564" s="519"/>
      <c r="I564" s="519"/>
      <c r="L564" s="518" t="s">
        <v>1233</v>
      </c>
      <c r="M564" s="520">
        <v>11.75</v>
      </c>
      <c r="N564" s="518" t="s">
        <v>1233</v>
      </c>
    </row>
    <row r="565" spans="1:14" s="518" customFormat="1" x14ac:dyDescent="0.25">
      <c r="A565" s="518" t="s">
        <v>2396</v>
      </c>
      <c r="B565" s="518" t="s">
        <v>2397</v>
      </c>
      <c r="C565" s="519" t="s">
        <v>7702</v>
      </c>
      <c r="D565" s="519" t="s">
        <v>8085</v>
      </c>
      <c r="E565" s="519">
        <v>75</v>
      </c>
      <c r="F565" s="519" t="s">
        <v>362</v>
      </c>
      <c r="G565" s="519"/>
      <c r="H565" s="519"/>
      <c r="I565" s="519"/>
      <c r="L565" s="518" t="s">
        <v>114</v>
      </c>
      <c r="M565" s="520">
        <v>17.25</v>
      </c>
      <c r="N565" s="518" t="s">
        <v>114</v>
      </c>
    </row>
    <row r="566" spans="1:14" s="518" customFormat="1" x14ac:dyDescent="0.25">
      <c r="A566" s="518" t="s">
        <v>2398</v>
      </c>
      <c r="B566" s="518" t="s">
        <v>2399</v>
      </c>
      <c r="C566" s="519" t="s">
        <v>7702</v>
      </c>
      <c r="D566" s="519" t="s">
        <v>8085</v>
      </c>
      <c r="E566" s="519" t="s">
        <v>8086</v>
      </c>
      <c r="F566" s="519" t="s">
        <v>148</v>
      </c>
      <c r="G566" s="519"/>
      <c r="H566" s="519"/>
      <c r="I566" s="519"/>
      <c r="L566" s="518" t="s">
        <v>1233</v>
      </c>
      <c r="M566" s="520">
        <v>82.1</v>
      </c>
      <c r="N566" s="518" t="s">
        <v>1233</v>
      </c>
    </row>
    <row r="567" spans="1:14" s="518" customFormat="1" x14ac:dyDescent="0.25">
      <c r="A567" s="518" t="s">
        <v>2400</v>
      </c>
      <c r="B567" s="518" t="s">
        <v>2401</v>
      </c>
      <c r="C567" s="519" t="s">
        <v>7702</v>
      </c>
      <c r="D567" s="519" t="s">
        <v>8085</v>
      </c>
      <c r="E567" s="519" t="s">
        <v>8086</v>
      </c>
      <c r="F567" s="519" t="s">
        <v>361</v>
      </c>
      <c r="G567" s="519"/>
      <c r="H567" s="519"/>
      <c r="I567" s="519"/>
      <c r="L567" s="518" t="s">
        <v>1233</v>
      </c>
      <c r="M567" s="520">
        <v>82.1</v>
      </c>
      <c r="N567" s="518" t="s">
        <v>1233</v>
      </c>
    </row>
    <row r="568" spans="1:14" s="518" customFormat="1" x14ac:dyDescent="0.25">
      <c r="A568" s="518" t="s">
        <v>2402</v>
      </c>
      <c r="B568" s="518" t="s">
        <v>2403</v>
      </c>
      <c r="C568" s="519" t="s">
        <v>7702</v>
      </c>
      <c r="D568" s="519" t="s">
        <v>8085</v>
      </c>
      <c r="E568" s="519" t="s">
        <v>8086</v>
      </c>
      <c r="F568" s="519" t="s">
        <v>363</v>
      </c>
      <c r="G568" s="519"/>
      <c r="H568" s="519"/>
      <c r="I568" s="519"/>
      <c r="L568" s="518" t="s">
        <v>1233</v>
      </c>
      <c r="M568" s="520">
        <v>82.1</v>
      </c>
      <c r="N568" s="518" t="s">
        <v>1233</v>
      </c>
    </row>
    <row r="569" spans="1:14" s="518" customFormat="1" x14ac:dyDescent="0.25">
      <c r="A569" s="518" t="s">
        <v>2404</v>
      </c>
      <c r="B569" s="518" t="s">
        <v>2405</v>
      </c>
      <c r="C569" s="519" t="s">
        <v>7702</v>
      </c>
      <c r="D569" s="519" t="s">
        <v>8085</v>
      </c>
      <c r="E569" s="519" t="s">
        <v>8086</v>
      </c>
      <c r="F569" s="519" t="s">
        <v>8087</v>
      </c>
      <c r="G569" s="519"/>
      <c r="H569" s="519"/>
      <c r="I569" s="519"/>
      <c r="L569" s="518" t="s">
        <v>1233</v>
      </c>
      <c r="M569" s="520">
        <v>82.1</v>
      </c>
      <c r="N569" s="518" t="s">
        <v>1233</v>
      </c>
    </row>
    <row r="570" spans="1:14" s="518" customFormat="1" x14ac:dyDescent="0.25">
      <c r="A570" s="518" t="s">
        <v>2406</v>
      </c>
      <c r="B570" s="518" t="s">
        <v>2407</v>
      </c>
      <c r="C570" s="519" t="s">
        <v>7702</v>
      </c>
      <c r="D570" s="519" t="s">
        <v>8085</v>
      </c>
      <c r="E570" s="519" t="s">
        <v>7573</v>
      </c>
      <c r="F570" s="519" t="s">
        <v>8088</v>
      </c>
      <c r="G570" s="519" t="s">
        <v>148</v>
      </c>
      <c r="H570" s="519"/>
      <c r="I570" s="519"/>
      <c r="L570" s="518" t="s">
        <v>1233</v>
      </c>
      <c r="M570" s="520">
        <v>13.65</v>
      </c>
      <c r="N570" s="518" t="s">
        <v>1233</v>
      </c>
    </row>
    <row r="571" spans="1:14" s="518" customFormat="1" x14ac:dyDescent="0.25">
      <c r="A571" s="518" t="s">
        <v>2408</v>
      </c>
      <c r="B571" s="518" t="s">
        <v>2409</v>
      </c>
      <c r="C571" s="519" t="s">
        <v>7702</v>
      </c>
      <c r="D571" s="519" t="s">
        <v>8085</v>
      </c>
      <c r="E571" s="519" t="s">
        <v>8089</v>
      </c>
      <c r="F571" s="519" t="s">
        <v>148</v>
      </c>
      <c r="G571" s="519"/>
      <c r="H571" s="519"/>
      <c r="I571" s="519"/>
      <c r="L571" s="518" t="s">
        <v>1233</v>
      </c>
      <c r="M571" s="520">
        <v>14.25</v>
      </c>
      <c r="N571" s="518" t="s">
        <v>1233</v>
      </c>
    </row>
    <row r="572" spans="1:14" s="518" customFormat="1" x14ac:dyDescent="0.25">
      <c r="A572" s="518" t="s">
        <v>2410</v>
      </c>
      <c r="B572" s="518" t="s">
        <v>2411</v>
      </c>
      <c r="C572" s="519" t="s">
        <v>7702</v>
      </c>
      <c r="D572" s="519" t="s">
        <v>8085</v>
      </c>
      <c r="E572" s="519" t="s">
        <v>8089</v>
      </c>
      <c r="F572" s="519" t="s">
        <v>361</v>
      </c>
      <c r="G572" s="519"/>
      <c r="H572" s="519"/>
      <c r="I572" s="519"/>
      <c r="L572" s="518" t="s">
        <v>1233</v>
      </c>
      <c r="M572" s="520">
        <v>14.25</v>
      </c>
      <c r="N572" s="518" t="s">
        <v>1233</v>
      </c>
    </row>
    <row r="573" spans="1:14" s="518" customFormat="1" x14ac:dyDescent="0.25">
      <c r="A573" s="518" t="s">
        <v>2412</v>
      </c>
      <c r="B573" s="518" t="s">
        <v>2413</v>
      </c>
      <c r="C573" s="519" t="s">
        <v>7702</v>
      </c>
      <c r="D573" s="519" t="s">
        <v>8085</v>
      </c>
      <c r="E573" s="519" t="s">
        <v>8089</v>
      </c>
      <c r="F573" s="519" t="s">
        <v>7426</v>
      </c>
      <c r="G573" s="519"/>
      <c r="H573" s="519"/>
      <c r="I573" s="519"/>
      <c r="L573" s="518" t="s">
        <v>1233</v>
      </c>
      <c r="M573" s="520">
        <v>14.25</v>
      </c>
      <c r="N573" s="518" t="s">
        <v>1233</v>
      </c>
    </row>
    <row r="574" spans="1:14" s="518" customFormat="1" x14ac:dyDescent="0.25">
      <c r="A574" s="518" t="s">
        <v>2414</v>
      </c>
      <c r="B574" s="518" t="s">
        <v>2415</v>
      </c>
      <c r="C574" s="519" t="s">
        <v>7702</v>
      </c>
      <c r="D574" s="519" t="s">
        <v>8085</v>
      </c>
      <c r="E574" s="519" t="s">
        <v>8089</v>
      </c>
      <c r="F574" s="519" t="s">
        <v>8090</v>
      </c>
      <c r="G574" s="519"/>
      <c r="H574" s="519"/>
      <c r="I574" s="519"/>
      <c r="L574" s="518" t="s">
        <v>1233</v>
      </c>
      <c r="M574" s="520">
        <v>14.25</v>
      </c>
      <c r="N574" s="518" t="s">
        <v>1233</v>
      </c>
    </row>
    <row r="575" spans="1:14" s="530" customFormat="1" x14ac:dyDescent="0.25">
      <c r="A575" s="530" t="s">
        <v>2416</v>
      </c>
      <c r="B575" s="530" t="s">
        <v>2417</v>
      </c>
      <c r="C575" s="531" t="s">
        <v>8091</v>
      </c>
      <c r="D575" s="531" t="s">
        <v>8092</v>
      </c>
      <c r="E575" s="531" t="s">
        <v>8093</v>
      </c>
      <c r="F575" s="531" t="s">
        <v>8094</v>
      </c>
      <c r="G575" s="531" t="s">
        <v>8095</v>
      </c>
      <c r="H575" s="531" t="s">
        <v>148</v>
      </c>
      <c r="I575" s="531" t="s">
        <v>8096</v>
      </c>
      <c r="L575" s="530" t="s">
        <v>1233</v>
      </c>
      <c r="M575" s="532">
        <v>0</v>
      </c>
      <c r="N575" s="530" t="s">
        <v>1544</v>
      </c>
    </row>
    <row r="576" spans="1:14" x14ac:dyDescent="0.25">
      <c r="A576" s="505" t="s">
        <v>2418</v>
      </c>
      <c r="B576" s="505" t="s">
        <v>2419</v>
      </c>
      <c r="C576" s="512" t="s">
        <v>8065</v>
      </c>
      <c r="D576" s="512" t="s">
        <v>8031</v>
      </c>
      <c r="E576" s="512" t="s">
        <v>7736</v>
      </c>
      <c r="F576" s="512" t="s">
        <v>8097</v>
      </c>
      <c r="G576" s="512" t="s">
        <v>7733</v>
      </c>
      <c r="L576" s="505" t="s">
        <v>114</v>
      </c>
      <c r="M576" s="516">
        <v>235</v>
      </c>
      <c r="N576" s="505" t="s">
        <v>114</v>
      </c>
    </row>
    <row r="577" spans="1:14" s="518" customFormat="1" x14ac:dyDescent="0.25">
      <c r="A577" s="518" t="s">
        <v>2420</v>
      </c>
      <c r="B577" s="518" t="s">
        <v>2421</v>
      </c>
      <c r="C577" s="519" t="s">
        <v>1098</v>
      </c>
      <c r="D577" s="519" t="s">
        <v>8098</v>
      </c>
      <c r="E577" s="519" t="s">
        <v>8099</v>
      </c>
      <c r="F577" s="519" t="s">
        <v>7613</v>
      </c>
      <c r="G577" s="519" t="s">
        <v>1098</v>
      </c>
      <c r="H577" s="519" t="s">
        <v>148</v>
      </c>
      <c r="I577" s="519" t="s">
        <v>8100</v>
      </c>
      <c r="L577" s="518" t="s">
        <v>1233</v>
      </c>
      <c r="M577" s="520">
        <v>164.5</v>
      </c>
      <c r="N577" s="518" t="s">
        <v>1233</v>
      </c>
    </row>
    <row r="578" spans="1:14" s="518" customFormat="1" x14ac:dyDescent="0.25">
      <c r="A578" s="518" t="s">
        <v>2422</v>
      </c>
      <c r="B578" s="518" t="s">
        <v>2423</v>
      </c>
      <c r="C578" s="519" t="s">
        <v>1098</v>
      </c>
      <c r="D578" s="519" t="s">
        <v>8098</v>
      </c>
      <c r="E578" s="519" t="s">
        <v>8099</v>
      </c>
      <c r="F578" s="519" t="s">
        <v>7613</v>
      </c>
      <c r="G578" s="519" t="s">
        <v>1098</v>
      </c>
      <c r="H578" s="519" t="s">
        <v>148</v>
      </c>
      <c r="I578" s="519" t="s">
        <v>8101</v>
      </c>
      <c r="L578" s="518" t="s">
        <v>1233</v>
      </c>
      <c r="M578" s="520">
        <v>230.15</v>
      </c>
      <c r="N578" s="518" t="s">
        <v>1233</v>
      </c>
    </row>
    <row r="579" spans="1:14" s="518" customFormat="1" x14ac:dyDescent="0.25">
      <c r="A579" s="518" t="s">
        <v>2424</v>
      </c>
      <c r="B579" s="518" t="s">
        <v>2425</v>
      </c>
      <c r="C579" s="519" t="s">
        <v>1098</v>
      </c>
      <c r="D579" s="519" t="s">
        <v>8098</v>
      </c>
      <c r="E579" s="519" t="s">
        <v>8102</v>
      </c>
      <c r="F579" s="519" t="s">
        <v>7613</v>
      </c>
      <c r="G579" s="519" t="s">
        <v>1098</v>
      </c>
      <c r="H579" s="519" t="s">
        <v>148</v>
      </c>
      <c r="I579" s="519" t="s">
        <v>8103</v>
      </c>
      <c r="L579" s="518" t="s">
        <v>1233</v>
      </c>
      <c r="M579" s="520">
        <v>210</v>
      </c>
      <c r="N579" s="518" t="s">
        <v>1233</v>
      </c>
    </row>
    <row r="580" spans="1:14" s="518" customFormat="1" x14ac:dyDescent="0.25">
      <c r="A580" s="518" t="s">
        <v>2426</v>
      </c>
      <c r="B580" s="518" t="s">
        <v>2427</v>
      </c>
      <c r="C580" s="519" t="s">
        <v>1098</v>
      </c>
      <c r="D580" s="519" t="s">
        <v>8098</v>
      </c>
      <c r="E580" s="519" t="s">
        <v>8102</v>
      </c>
      <c r="F580" s="519" t="s">
        <v>7613</v>
      </c>
      <c r="G580" s="519" t="s">
        <v>1098</v>
      </c>
      <c r="H580" s="519" t="s">
        <v>361</v>
      </c>
      <c r="I580" s="519" t="s">
        <v>8103</v>
      </c>
      <c r="L580" s="518" t="s">
        <v>1233</v>
      </c>
      <c r="M580" s="520">
        <v>210</v>
      </c>
      <c r="N580" s="518" t="s">
        <v>1233</v>
      </c>
    </row>
    <row r="581" spans="1:14" s="518" customFormat="1" x14ac:dyDescent="0.25">
      <c r="A581" s="518" t="s">
        <v>2428</v>
      </c>
      <c r="B581" s="518" t="s">
        <v>2429</v>
      </c>
      <c r="C581" s="519" t="s">
        <v>1098</v>
      </c>
      <c r="D581" s="519" t="s">
        <v>8098</v>
      </c>
      <c r="E581" s="519" t="s">
        <v>8102</v>
      </c>
      <c r="F581" s="519" t="s">
        <v>7613</v>
      </c>
      <c r="G581" s="519" t="s">
        <v>1098</v>
      </c>
      <c r="H581" s="519" t="s">
        <v>363</v>
      </c>
      <c r="I581" s="519" t="s">
        <v>8103</v>
      </c>
      <c r="L581" s="518" t="s">
        <v>1233</v>
      </c>
      <c r="M581" s="520">
        <v>210</v>
      </c>
      <c r="N581" s="518" t="s">
        <v>1233</v>
      </c>
    </row>
    <row r="582" spans="1:14" s="518" customFormat="1" x14ac:dyDescent="0.25">
      <c r="A582" s="518" t="s">
        <v>2430</v>
      </c>
      <c r="B582" s="518" t="s">
        <v>2431</v>
      </c>
      <c r="C582" s="519" t="s">
        <v>1098</v>
      </c>
      <c r="D582" s="519" t="s">
        <v>8098</v>
      </c>
      <c r="E582" s="519" t="s">
        <v>8102</v>
      </c>
      <c r="F582" s="519" t="s">
        <v>7613</v>
      </c>
      <c r="G582" s="519" t="s">
        <v>1098</v>
      </c>
      <c r="H582" s="519" t="s">
        <v>148</v>
      </c>
      <c r="I582" s="519" t="s">
        <v>8104</v>
      </c>
      <c r="L582" s="518" t="s">
        <v>1233</v>
      </c>
      <c r="M582" s="520">
        <v>185</v>
      </c>
      <c r="N582" s="518" t="s">
        <v>1233</v>
      </c>
    </row>
    <row r="583" spans="1:14" s="518" customFormat="1" x14ac:dyDescent="0.25">
      <c r="A583" s="518" t="s">
        <v>2432</v>
      </c>
      <c r="B583" s="518" t="s">
        <v>2433</v>
      </c>
      <c r="C583" s="519" t="s">
        <v>1098</v>
      </c>
      <c r="D583" s="519" t="s">
        <v>8098</v>
      </c>
      <c r="E583" s="519" t="s">
        <v>8102</v>
      </c>
      <c r="F583" s="519" t="s">
        <v>7613</v>
      </c>
      <c r="G583" s="519" t="s">
        <v>1098</v>
      </c>
      <c r="H583" s="519" t="s">
        <v>8105</v>
      </c>
      <c r="I583" s="519" t="s">
        <v>8104</v>
      </c>
      <c r="L583" s="518" t="s">
        <v>1233</v>
      </c>
      <c r="M583" s="520">
        <v>185</v>
      </c>
      <c r="N583" s="518" t="s">
        <v>1233</v>
      </c>
    </row>
    <row r="584" spans="1:14" s="518" customFormat="1" x14ac:dyDescent="0.25">
      <c r="A584" s="518" t="s">
        <v>2434</v>
      </c>
      <c r="B584" s="518" t="s">
        <v>2435</v>
      </c>
      <c r="C584" s="519" t="s">
        <v>1098</v>
      </c>
      <c r="D584" s="519" t="s">
        <v>8098</v>
      </c>
      <c r="E584" s="519" t="s">
        <v>8102</v>
      </c>
      <c r="F584" s="519" t="s">
        <v>7613</v>
      </c>
      <c r="G584" s="519" t="s">
        <v>1098</v>
      </c>
      <c r="H584" s="519" t="s">
        <v>361</v>
      </c>
      <c r="I584" s="519" t="s">
        <v>8104</v>
      </c>
      <c r="L584" s="518" t="s">
        <v>1233</v>
      </c>
      <c r="M584" s="520">
        <v>185</v>
      </c>
      <c r="N584" s="518" t="s">
        <v>1233</v>
      </c>
    </row>
    <row r="585" spans="1:14" s="518" customFormat="1" x14ac:dyDescent="0.25">
      <c r="A585" s="518" t="s">
        <v>2436</v>
      </c>
      <c r="B585" s="518" t="s">
        <v>2437</v>
      </c>
      <c r="C585" s="519" t="s">
        <v>1098</v>
      </c>
      <c r="D585" s="519" t="s">
        <v>8098</v>
      </c>
      <c r="E585" s="519" t="s">
        <v>8102</v>
      </c>
      <c r="F585" s="519" t="s">
        <v>7613</v>
      </c>
      <c r="G585" s="519" t="s">
        <v>1098</v>
      </c>
      <c r="H585" s="519" t="s">
        <v>363</v>
      </c>
      <c r="I585" s="519" t="s">
        <v>8104</v>
      </c>
      <c r="L585" s="518" t="s">
        <v>1233</v>
      </c>
      <c r="M585" s="520">
        <v>185</v>
      </c>
      <c r="N585" s="518" t="s">
        <v>1233</v>
      </c>
    </row>
    <row r="586" spans="1:14" x14ac:dyDescent="0.25">
      <c r="A586" s="505" t="s">
        <v>2438</v>
      </c>
      <c r="B586" s="505" t="s">
        <v>2439</v>
      </c>
      <c r="C586" s="512" t="s">
        <v>8106</v>
      </c>
      <c r="D586" s="512" t="s">
        <v>8107</v>
      </c>
      <c r="E586" s="512" t="s">
        <v>8108</v>
      </c>
      <c r="F586" s="512" t="s">
        <v>7736</v>
      </c>
      <c r="G586" s="512" t="s">
        <v>8109</v>
      </c>
      <c r="L586" s="505" t="s">
        <v>1233</v>
      </c>
      <c r="M586" s="516">
        <v>9</v>
      </c>
      <c r="N586" s="505" t="s">
        <v>1233</v>
      </c>
    </row>
    <row r="587" spans="1:14" x14ac:dyDescent="0.25">
      <c r="A587" s="505" t="s">
        <v>2440</v>
      </c>
      <c r="B587" s="505" t="s">
        <v>2441</v>
      </c>
      <c r="C587" s="512" t="s">
        <v>8106</v>
      </c>
      <c r="D587" s="512" t="s">
        <v>8107</v>
      </c>
      <c r="E587" s="512" t="s">
        <v>8108</v>
      </c>
      <c r="F587" s="512" t="s">
        <v>8035</v>
      </c>
      <c r="G587" s="512" t="s">
        <v>8110</v>
      </c>
      <c r="L587" s="505" t="s">
        <v>1233</v>
      </c>
      <c r="M587" s="516">
        <v>9</v>
      </c>
      <c r="N587" s="505" t="s">
        <v>1233</v>
      </c>
    </row>
    <row r="588" spans="1:14" x14ac:dyDescent="0.25">
      <c r="A588" s="505" t="s">
        <v>2442</v>
      </c>
      <c r="B588" s="505" t="s">
        <v>2443</v>
      </c>
      <c r="C588" s="512" t="s">
        <v>8106</v>
      </c>
      <c r="D588" s="512" t="s">
        <v>8107</v>
      </c>
      <c r="E588" s="512" t="s">
        <v>8108</v>
      </c>
      <c r="F588" s="512" t="s">
        <v>8037</v>
      </c>
      <c r="G588" s="512" t="s">
        <v>8111</v>
      </c>
      <c r="L588" s="505" t="s">
        <v>1233</v>
      </c>
      <c r="M588" s="516">
        <v>9</v>
      </c>
      <c r="N588" s="505" t="s">
        <v>1233</v>
      </c>
    </row>
    <row r="589" spans="1:14" s="518" customFormat="1" x14ac:dyDescent="0.25">
      <c r="A589" s="518" t="s">
        <v>2444</v>
      </c>
      <c r="B589" s="518" t="s">
        <v>2445</v>
      </c>
      <c r="C589" s="519" t="s">
        <v>8106</v>
      </c>
      <c r="D589" s="519" t="s">
        <v>8107</v>
      </c>
      <c r="E589" s="519" t="s">
        <v>8053</v>
      </c>
      <c r="F589" s="519" t="s">
        <v>7437</v>
      </c>
      <c r="G589" s="519" t="s">
        <v>8112</v>
      </c>
      <c r="H589" s="519"/>
      <c r="I589" s="519"/>
      <c r="L589" s="518" t="s">
        <v>1233</v>
      </c>
      <c r="M589" s="520">
        <v>17.75</v>
      </c>
      <c r="N589" s="518" t="s">
        <v>1233</v>
      </c>
    </row>
    <row r="590" spans="1:14" s="518" customFormat="1" x14ac:dyDescent="0.25">
      <c r="A590" s="518" t="s">
        <v>2446</v>
      </c>
      <c r="B590" s="518" t="s">
        <v>2447</v>
      </c>
      <c r="C590" s="519" t="s">
        <v>8106</v>
      </c>
      <c r="D590" s="519" t="s">
        <v>8107</v>
      </c>
      <c r="E590" s="519" t="s">
        <v>8053</v>
      </c>
      <c r="F590" s="519" t="s">
        <v>8113</v>
      </c>
      <c r="G590" s="519" t="s">
        <v>8114</v>
      </c>
      <c r="H590" s="519"/>
      <c r="I590" s="519"/>
      <c r="L590" s="518" t="s">
        <v>1233</v>
      </c>
      <c r="M590" s="520">
        <v>17.75</v>
      </c>
      <c r="N590" s="518" t="s">
        <v>1233</v>
      </c>
    </row>
    <row r="591" spans="1:14" s="518" customFormat="1" x14ac:dyDescent="0.25">
      <c r="A591" s="518" t="s">
        <v>2448</v>
      </c>
      <c r="B591" s="518" t="s">
        <v>2449</v>
      </c>
      <c r="C591" s="519" t="s">
        <v>8106</v>
      </c>
      <c r="D591" s="519" t="s">
        <v>8107</v>
      </c>
      <c r="E591" s="519" t="s">
        <v>8053</v>
      </c>
      <c r="F591" s="519" t="s">
        <v>8115</v>
      </c>
      <c r="G591" s="519" t="s">
        <v>8116</v>
      </c>
      <c r="H591" s="519"/>
      <c r="I591" s="519"/>
      <c r="L591" s="518" t="s">
        <v>1233</v>
      </c>
      <c r="M591" s="520">
        <v>17.75</v>
      </c>
      <c r="N591" s="518" t="s">
        <v>1233</v>
      </c>
    </row>
    <row r="592" spans="1:14" s="518" customFormat="1" x14ac:dyDescent="0.25">
      <c r="A592" s="518" t="s">
        <v>2450</v>
      </c>
      <c r="B592" s="518" t="s">
        <v>2451</v>
      </c>
      <c r="C592" s="519" t="s">
        <v>8106</v>
      </c>
      <c r="D592" s="519" t="s">
        <v>8107</v>
      </c>
      <c r="E592" s="519" t="s">
        <v>8053</v>
      </c>
      <c r="F592" s="519" t="s">
        <v>8117</v>
      </c>
      <c r="G592" s="519" t="s">
        <v>8118</v>
      </c>
      <c r="H592" s="519"/>
      <c r="I592" s="519"/>
      <c r="L592" s="518" t="s">
        <v>1233</v>
      </c>
      <c r="M592" s="520">
        <v>17.75</v>
      </c>
      <c r="N592" s="518" t="s">
        <v>1233</v>
      </c>
    </row>
    <row r="593" spans="1:14" s="518" customFormat="1" x14ac:dyDescent="0.25">
      <c r="A593" s="518" t="s">
        <v>2452</v>
      </c>
      <c r="B593" s="518" t="s">
        <v>2453</v>
      </c>
      <c r="C593" s="519" t="s">
        <v>8053</v>
      </c>
      <c r="D593" s="519" t="s">
        <v>8119</v>
      </c>
      <c r="E593" s="519" t="s">
        <v>8120</v>
      </c>
      <c r="F593" s="519" t="s">
        <v>8121</v>
      </c>
      <c r="G593" s="519" t="s">
        <v>740</v>
      </c>
      <c r="H593" s="519" t="s">
        <v>8056</v>
      </c>
      <c r="I593" s="519" t="s">
        <v>7437</v>
      </c>
      <c r="L593" s="518" t="s">
        <v>114</v>
      </c>
      <c r="M593" s="520">
        <v>228.35</v>
      </c>
      <c r="N593" s="518" t="s">
        <v>114</v>
      </c>
    </row>
    <row r="594" spans="1:14" s="518" customFormat="1" x14ac:dyDescent="0.25">
      <c r="A594" s="518" t="s">
        <v>2454</v>
      </c>
      <c r="B594" s="518" t="s">
        <v>2455</v>
      </c>
      <c r="C594" s="519" t="s">
        <v>8053</v>
      </c>
      <c r="D594" s="519" t="s">
        <v>8119</v>
      </c>
      <c r="E594" s="519" t="s">
        <v>8120</v>
      </c>
      <c r="F594" s="519" t="s">
        <v>8121</v>
      </c>
      <c r="G594" s="519" t="s">
        <v>740</v>
      </c>
      <c r="H594" s="519" t="s">
        <v>8056</v>
      </c>
      <c r="I594" s="519" t="s">
        <v>7436</v>
      </c>
      <c r="L594" s="518" t="s">
        <v>114</v>
      </c>
      <c r="M594" s="520">
        <v>228.35</v>
      </c>
      <c r="N594" s="518" t="s">
        <v>114</v>
      </c>
    </row>
    <row r="595" spans="1:14" s="518" customFormat="1" x14ac:dyDescent="0.25">
      <c r="A595" s="518" t="s">
        <v>2456</v>
      </c>
      <c r="B595" s="518" t="s">
        <v>2457</v>
      </c>
      <c r="C595" s="519" t="s">
        <v>8053</v>
      </c>
      <c r="D595" s="519" t="s">
        <v>8119</v>
      </c>
      <c r="E595" s="519" t="s">
        <v>8122</v>
      </c>
      <c r="F595" s="519" t="s">
        <v>8123</v>
      </c>
      <c r="G595" s="519" t="s">
        <v>8053</v>
      </c>
      <c r="H595" s="519" t="s">
        <v>8029</v>
      </c>
      <c r="I595" s="519" t="s">
        <v>8124</v>
      </c>
      <c r="J595" s="518" t="s">
        <v>7491</v>
      </c>
      <c r="L595" s="518" t="s">
        <v>114</v>
      </c>
      <c r="M595" s="520">
        <v>97.69</v>
      </c>
      <c r="N595" s="518" t="s">
        <v>114</v>
      </c>
    </row>
    <row r="596" spans="1:14" s="530" customFormat="1" x14ac:dyDescent="0.25">
      <c r="A596" s="530" t="s">
        <v>2458</v>
      </c>
      <c r="B596" s="530" t="s">
        <v>2459</v>
      </c>
      <c r="C596" s="531" t="s">
        <v>1098</v>
      </c>
      <c r="D596" s="531" t="s">
        <v>8098</v>
      </c>
      <c r="E596" s="531" t="s">
        <v>8125</v>
      </c>
      <c r="F596" s="531" t="s">
        <v>8126</v>
      </c>
      <c r="G596" s="531" t="s">
        <v>1098</v>
      </c>
      <c r="H596" s="531" t="s">
        <v>7918</v>
      </c>
      <c r="I596" s="531" t="s">
        <v>8124</v>
      </c>
      <c r="J596" s="530" t="s">
        <v>8127</v>
      </c>
      <c r="L596" s="530" t="s">
        <v>114</v>
      </c>
      <c r="M596" s="532">
        <v>0</v>
      </c>
      <c r="N596" s="530" t="s">
        <v>1544</v>
      </c>
    </row>
    <row r="597" spans="1:14" x14ac:dyDescent="0.25">
      <c r="A597" s="505" t="s">
        <v>2460</v>
      </c>
      <c r="B597" s="505" t="s">
        <v>2461</v>
      </c>
      <c r="C597" s="512" t="s">
        <v>8128</v>
      </c>
      <c r="D597" s="512" t="s">
        <v>8129</v>
      </c>
      <c r="E597" s="512" t="s">
        <v>8130</v>
      </c>
      <c r="F597" s="512" t="s">
        <v>8131</v>
      </c>
      <c r="G597" s="512" t="s">
        <v>8132</v>
      </c>
      <c r="L597" s="505" t="s">
        <v>1205</v>
      </c>
      <c r="M597" s="516">
        <v>259.39999999999998</v>
      </c>
      <c r="N597" s="505" t="s">
        <v>1205</v>
      </c>
    </row>
    <row r="598" spans="1:14" x14ac:dyDescent="0.25">
      <c r="A598" s="505" t="s">
        <v>2462</v>
      </c>
      <c r="B598" s="505" t="s">
        <v>2463</v>
      </c>
      <c r="C598" s="512" t="s">
        <v>8128</v>
      </c>
      <c r="D598" s="512" t="s">
        <v>8133</v>
      </c>
      <c r="E598" s="512" t="s">
        <v>8130</v>
      </c>
      <c r="F598" s="512" t="s">
        <v>8134</v>
      </c>
      <c r="G598" s="512" t="s">
        <v>8132</v>
      </c>
      <c r="L598" s="505" t="s">
        <v>1205</v>
      </c>
      <c r="M598" s="516">
        <v>259.39999999999998</v>
      </c>
      <c r="N598" s="505" t="s">
        <v>1205</v>
      </c>
    </row>
    <row r="599" spans="1:14" x14ac:dyDescent="0.25">
      <c r="A599" s="505" t="s">
        <v>2464</v>
      </c>
      <c r="B599" s="505" t="s">
        <v>2465</v>
      </c>
      <c r="C599" s="512" t="s">
        <v>7762</v>
      </c>
      <c r="D599" s="512" t="s">
        <v>8135</v>
      </c>
      <c r="E599" s="512" t="s">
        <v>8136</v>
      </c>
      <c r="F599" s="512" t="s">
        <v>8137</v>
      </c>
      <c r="G599" s="512" t="s">
        <v>511</v>
      </c>
      <c r="H599" s="512" t="s">
        <v>8138</v>
      </c>
      <c r="L599" s="505" t="s">
        <v>2466</v>
      </c>
      <c r="M599" s="516">
        <v>10.11</v>
      </c>
      <c r="N599" s="505" t="s">
        <v>2466</v>
      </c>
    </row>
    <row r="600" spans="1:14" x14ac:dyDescent="0.25">
      <c r="A600" s="505" t="s">
        <v>2467</v>
      </c>
      <c r="B600" s="505" t="s">
        <v>2468</v>
      </c>
      <c r="C600" s="512" t="s">
        <v>7762</v>
      </c>
      <c r="D600" s="512" t="s">
        <v>7596</v>
      </c>
      <c r="E600" s="512" t="s">
        <v>8139</v>
      </c>
      <c r="F600" s="512" t="s">
        <v>8137</v>
      </c>
      <c r="G600" s="512" t="s">
        <v>8140</v>
      </c>
      <c r="H600" s="512" t="s">
        <v>8141</v>
      </c>
      <c r="L600" s="505" t="s">
        <v>2466</v>
      </c>
      <c r="M600" s="516">
        <v>269.27999999999997</v>
      </c>
      <c r="N600" s="505" t="s">
        <v>1204</v>
      </c>
    </row>
    <row r="601" spans="1:14" x14ac:dyDescent="0.25">
      <c r="A601" s="505" t="s">
        <v>2469</v>
      </c>
      <c r="B601" s="505" t="s">
        <v>2470</v>
      </c>
      <c r="C601" s="512" t="s">
        <v>7762</v>
      </c>
      <c r="D601" s="512" t="s">
        <v>7596</v>
      </c>
      <c r="E601" s="512" t="s">
        <v>8139</v>
      </c>
      <c r="F601" s="512" t="s">
        <v>8137</v>
      </c>
      <c r="G601" s="512" t="s">
        <v>7454</v>
      </c>
      <c r="H601" s="512" t="s">
        <v>8141</v>
      </c>
      <c r="L601" s="505" t="s">
        <v>2466</v>
      </c>
      <c r="M601" s="516">
        <v>269.27999999999997</v>
      </c>
      <c r="N601" s="505" t="s">
        <v>1204</v>
      </c>
    </row>
    <row r="602" spans="1:14" x14ac:dyDescent="0.25">
      <c r="A602" s="505" t="s">
        <v>2471</v>
      </c>
      <c r="B602" s="505" t="s">
        <v>2472</v>
      </c>
      <c r="C602" s="512" t="s">
        <v>7762</v>
      </c>
      <c r="D602" s="512" t="s">
        <v>7596</v>
      </c>
      <c r="E602" s="512" t="s">
        <v>8139</v>
      </c>
      <c r="F602" s="512" t="s">
        <v>8137</v>
      </c>
      <c r="G602" s="512" t="s">
        <v>8142</v>
      </c>
      <c r="H602" s="512" t="s">
        <v>7445</v>
      </c>
      <c r="I602" s="512" t="s">
        <v>8141</v>
      </c>
      <c r="L602" s="505" t="s">
        <v>2466</v>
      </c>
      <c r="M602" s="516">
        <v>269.27999999999997</v>
      </c>
      <c r="N602" s="505" t="s">
        <v>1204</v>
      </c>
    </row>
    <row r="603" spans="1:14" x14ac:dyDescent="0.25">
      <c r="A603" s="505" t="s">
        <v>2473</v>
      </c>
      <c r="B603" s="505" t="s">
        <v>2474</v>
      </c>
      <c r="C603" s="512" t="s">
        <v>7762</v>
      </c>
      <c r="D603" s="512" t="s">
        <v>7596</v>
      </c>
      <c r="E603" s="512" t="s">
        <v>8139</v>
      </c>
      <c r="F603" s="512" t="s">
        <v>8137</v>
      </c>
      <c r="G603" s="512" t="s">
        <v>8143</v>
      </c>
      <c r="H603" s="512" t="s">
        <v>8141</v>
      </c>
      <c r="L603" s="505" t="s">
        <v>2466</v>
      </c>
      <c r="M603" s="516">
        <v>269.27999999999997</v>
      </c>
      <c r="N603" s="505" t="s">
        <v>1204</v>
      </c>
    </row>
    <row r="604" spans="1:14" x14ac:dyDescent="0.25">
      <c r="A604" s="505" t="s">
        <v>2475</v>
      </c>
      <c r="B604" s="505" t="s">
        <v>2476</v>
      </c>
      <c r="C604" s="512" t="s">
        <v>7762</v>
      </c>
      <c r="D604" s="512" t="s">
        <v>7596</v>
      </c>
      <c r="E604" s="512" t="s">
        <v>8139</v>
      </c>
      <c r="F604" s="512" t="s">
        <v>8137</v>
      </c>
      <c r="G604" s="512" t="s">
        <v>8144</v>
      </c>
      <c r="H604" s="512" t="s">
        <v>7578</v>
      </c>
      <c r="I604" s="512" t="s">
        <v>8141</v>
      </c>
      <c r="L604" s="505" t="s">
        <v>2466</v>
      </c>
      <c r="M604" s="516">
        <v>269.27999999999997</v>
      </c>
      <c r="N604" s="505" t="s">
        <v>1204</v>
      </c>
    </row>
    <row r="605" spans="1:14" x14ac:dyDescent="0.25">
      <c r="A605" s="505" t="s">
        <v>2477</v>
      </c>
      <c r="B605" s="505" t="s">
        <v>2478</v>
      </c>
      <c r="C605" s="512" t="s">
        <v>7762</v>
      </c>
      <c r="D605" s="512" t="s">
        <v>7596</v>
      </c>
      <c r="E605" s="512" t="s">
        <v>8139</v>
      </c>
      <c r="F605" s="512" t="s">
        <v>8137</v>
      </c>
      <c r="G605" s="512" t="s">
        <v>8145</v>
      </c>
      <c r="H605" s="512" t="s">
        <v>8146</v>
      </c>
      <c r="I605" s="512" t="s">
        <v>8141</v>
      </c>
      <c r="L605" s="505" t="s">
        <v>2466</v>
      </c>
      <c r="M605" s="516">
        <v>269.27999999999997</v>
      </c>
      <c r="N605" s="505" t="s">
        <v>1204</v>
      </c>
    </row>
    <row r="606" spans="1:14" x14ac:dyDescent="0.25">
      <c r="A606" s="505" t="s">
        <v>2479</v>
      </c>
      <c r="B606" s="505" t="s">
        <v>2480</v>
      </c>
      <c r="C606" s="512" t="s">
        <v>7762</v>
      </c>
      <c r="D606" s="512" t="s">
        <v>7596</v>
      </c>
      <c r="E606" s="512" t="s">
        <v>8139</v>
      </c>
      <c r="F606" s="512" t="s">
        <v>8137</v>
      </c>
      <c r="G606" s="512" t="s">
        <v>8147</v>
      </c>
      <c r="H606" s="512" t="s">
        <v>8141</v>
      </c>
      <c r="L606" s="505" t="s">
        <v>2466</v>
      </c>
      <c r="M606" s="516">
        <v>269.27999999999997</v>
      </c>
      <c r="N606" s="505" t="s">
        <v>1204</v>
      </c>
    </row>
    <row r="607" spans="1:14" x14ac:dyDescent="0.25">
      <c r="A607" s="505" t="s">
        <v>2481</v>
      </c>
      <c r="B607" s="505" t="s">
        <v>2482</v>
      </c>
      <c r="C607" s="512" t="s">
        <v>7762</v>
      </c>
      <c r="D607" s="512" t="s">
        <v>7596</v>
      </c>
      <c r="E607" s="512" t="s">
        <v>8139</v>
      </c>
      <c r="F607" s="512" t="s">
        <v>8137</v>
      </c>
      <c r="G607" s="512" t="s">
        <v>8148</v>
      </c>
      <c r="H607" s="512" t="s">
        <v>8141</v>
      </c>
      <c r="L607" s="505" t="s">
        <v>2466</v>
      </c>
      <c r="M607" s="516">
        <v>245.52</v>
      </c>
      <c r="N607" s="505" t="s">
        <v>1204</v>
      </c>
    </row>
    <row r="608" spans="1:14" x14ac:dyDescent="0.25">
      <c r="A608" s="505" t="s">
        <v>2483</v>
      </c>
      <c r="B608" s="505" t="s">
        <v>2484</v>
      </c>
      <c r="C608" s="512" t="s">
        <v>7762</v>
      </c>
      <c r="D608" s="512" t="s">
        <v>7596</v>
      </c>
      <c r="E608" s="512" t="s">
        <v>8139</v>
      </c>
      <c r="F608" s="512" t="s">
        <v>8137</v>
      </c>
      <c r="G608" s="512" t="s">
        <v>7568</v>
      </c>
      <c r="H608" s="512" t="s">
        <v>8141</v>
      </c>
      <c r="L608" s="505" t="s">
        <v>2466</v>
      </c>
      <c r="M608" s="516">
        <v>269.27999999999997</v>
      </c>
      <c r="N608" s="505" t="s">
        <v>1204</v>
      </c>
    </row>
    <row r="609" spans="1:14" x14ac:dyDescent="0.25">
      <c r="A609" s="505" t="s">
        <v>2485</v>
      </c>
      <c r="B609" s="505" t="s">
        <v>2486</v>
      </c>
      <c r="C609" s="512" t="s">
        <v>7762</v>
      </c>
      <c r="D609" s="512" t="s">
        <v>7596</v>
      </c>
      <c r="E609" s="512" t="s">
        <v>8139</v>
      </c>
      <c r="F609" s="512" t="s">
        <v>8137</v>
      </c>
      <c r="G609" s="512" t="s">
        <v>8149</v>
      </c>
      <c r="H609" s="512" t="s">
        <v>8141</v>
      </c>
      <c r="L609" s="505" t="s">
        <v>2466</v>
      </c>
      <c r="M609" s="516">
        <v>245.52</v>
      </c>
      <c r="N609" s="505" t="s">
        <v>1204</v>
      </c>
    </row>
    <row r="610" spans="1:14" x14ac:dyDescent="0.25">
      <c r="A610" s="505" t="s">
        <v>2487</v>
      </c>
      <c r="B610" s="505" t="s">
        <v>2488</v>
      </c>
      <c r="C610" s="512" t="s">
        <v>7762</v>
      </c>
      <c r="D610" s="512" t="s">
        <v>7596</v>
      </c>
      <c r="E610" s="512" t="s">
        <v>8139</v>
      </c>
      <c r="F610" s="512" t="s">
        <v>8137</v>
      </c>
      <c r="G610" s="512" t="s">
        <v>8150</v>
      </c>
      <c r="H610" s="512" t="s">
        <v>8141</v>
      </c>
      <c r="L610" s="505" t="s">
        <v>2466</v>
      </c>
      <c r="M610" s="516">
        <v>269.27999999999997</v>
      </c>
      <c r="N610" s="505" t="s">
        <v>1204</v>
      </c>
    </row>
    <row r="611" spans="1:14" x14ac:dyDescent="0.25">
      <c r="A611" s="505" t="s">
        <v>2489</v>
      </c>
      <c r="B611" s="505" t="s">
        <v>2490</v>
      </c>
      <c r="C611" s="512" t="s">
        <v>7762</v>
      </c>
      <c r="D611" s="512" t="s">
        <v>7596</v>
      </c>
      <c r="E611" s="512" t="s">
        <v>8139</v>
      </c>
      <c r="F611" s="512" t="s">
        <v>8137</v>
      </c>
      <c r="G611" s="512" t="s">
        <v>8151</v>
      </c>
      <c r="H611" s="512" t="s">
        <v>8152</v>
      </c>
      <c r="I611" s="512" t="s">
        <v>8141</v>
      </c>
      <c r="L611" s="505" t="s">
        <v>2466</v>
      </c>
      <c r="M611" s="516">
        <v>245.52</v>
      </c>
      <c r="N611" s="505" t="s">
        <v>1204</v>
      </c>
    </row>
    <row r="612" spans="1:14" x14ac:dyDescent="0.25">
      <c r="A612" s="505" t="s">
        <v>2491</v>
      </c>
      <c r="B612" s="505" t="s">
        <v>2492</v>
      </c>
      <c r="C612" s="512" t="s">
        <v>7762</v>
      </c>
      <c r="D612" s="512" t="s">
        <v>7596</v>
      </c>
      <c r="E612" s="512" t="s">
        <v>8139</v>
      </c>
      <c r="F612" s="512" t="s">
        <v>8137</v>
      </c>
      <c r="G612" s="512" t="s">
        <v>8030</v>
      </c>
      <c r="H612" s="512" t="s">
        <v>8141</v>
      </c>
      <c r="L612" s="505" t="s">
        <v>2466</v>
      </c>
      <c r="M612" s="516">
        <v>245.52</v>
      </c>
      <c r="N612" s="505" t="s">
        <v>1204</v>
      </c>
    </row>
    <row r="613" spans="1:14" x14ac:dyDescent="0.25">
      <c r="A613" s="505" t="s">
        <v>2493</v>
      </c>
      <c r="B613" s="505" t="s">
        <v>2494</v>
      </c>
      <c r="C613" s="512" t="s">
        <v>7762</v>
      </c>
      <c r="D613" s="512" t="s">
        <v>7596</v>
      </c>
      <c r="E613" s="512" t="s">
        <v>8139</v>
      </c>
      <c r="F613" s="512" t="s">
        <v>8137</v>
      </c>
      <c r="G613" s="512" t="s">
        <v>8153</v>
      </c>
      <c r="H613" s="512" t="s">
        <v>8154</v>
      </c>
      <c r="I613" s="512" t="s">
        <v>8141</v>
      </c>
      <c r="L613" s="505" t="s">
        <v>2466</v>
      </c>
      <c r="M613" s="516">
        <v>245.52</v>
      </c>
      <c r="N613" s="505" t="s">
        <v>1204</v>
      </c>
    </row>
    <row r="614" spans="1:14" x14ac:dyDescent="0.25">
      <c r="A614" s="505" t="s">
        <v>2495</v>
      </c>
      <c r="B614" s="505" t="s">
        <v>2496</v>
      </c>
      <c r="C614" s="512" t="s">
        <v>7762</v>
      </c>
      <c r="D614" s="512" t="s">
        <v>7596</v>
      </c>
      <c r="E614" s="512" t="s">
        <v>8139</v>
      </c>
      <c r="F614" s="512" t="s">
        <v>8137</v>
      </c>
      <c r="G614" s="512" t="s">
        <v>8155</v>
      </c>
      <c r="H614" s="512" t="s">
        <v>7892</v>
      </c>
      <c r="I614" s="512" t="s">
        <v>8141</v>
      </c>
      <c r="L614" s="505" t="s">
        <v>2466</v>
      </c>
      <c r="M614" s="516">
        <v>245.52</v>
      </c>
      <c r="N614" s="505" t="s">
        <v>1204</v>
      </c>
    </row>
    <row r="615" spans="1:14" x14ac:dyDescent="0.25">
      <c r="A615" s="505" t="s">
        <v>2497</v>
      </c>
      <c r="B615" s="505" t="s">
        <v>2498</v>
      </c>
      <c r="C615" s="512" t="s">
        <v>7762</v>
      </c>
      <c r="D615" s="512" t="s">
        <v>7596</v>
      </c>
      <c r="E615" s="512" t="s">
        <v>8139</v>
      </c>
      <c r="F615" s="512" t="s">
        <v>8137</v>
      </c>
      <c r="G615" s="512" t="s">
        <v>8156</v>
      </c>
      <c r="H615" s="512" t="s">
        <v>8157</v>
      </c>
      <c r="I615" s="512" t="s">
        <v>8141</v>
      </c>
      <c r="L615" s="505" t="s">
        <v>2466</v>
      </c>
      <c r="M615" s="516">
        <v>269.27999999999997</v>
      </c>
      <c r="N615" s="505" t="s">
        <v>1204</v>
      </c>
    </row>
    <row r="616" spans="1:14" x14ac:dyDescent="0.25">
      <c r="A616" s="505" t="s">
        <v>2499</v>
      </c>
      <c r="B616" s="505" t="s">
        <v>2500</v>
      </c>
      <c r="C616" s="512" t="s">
        <v>7762</v>
      </c>
      <c r="D616" s="512" t="s">
        <v>7596</v>
      </c>
      <c r="E616" s="512" t="s">
        <v>8139</v>
      </c>
      <c r="F616" s="512" t="s">
        <v>8137</v>
      </c>
      <c r="G616" s="512" t="s">
        <v>8158</v>
      </c>
      <c r="H616" s="512" t="s">
        <v>8141</v>
      </c>
      <c r="L616" s="505" t="s">
        <v>2466</v>
      </c>
      <c r="M616" s="516">
        <v>245.52</v>
      </c>
      <c r="N616" s="505" t="s">
        <v>1204</v>
      </c>
    </row>
    <row r="617" spans="1:14" x14ac:dyDescent="0.25">
      <c r="A617" s="505" t="s">
        <v>2501</v>
      </c>
      <c r="B617" s="505" t="s">
        <v>2502</v>
      </c>
      <c r="C617" s="512" t="s">
        <v>7762</v>
      </c>
      <c r="D617" s="512" t="s">
        <v>7596</v>
      </c>
      <c r="E617" s="512" t="s">
        <v>8139</v>
      </c>
      <c r="F617" s="512" t="s">
        <v>8137</v>
      </c>
      <c r="G617" s="512" t="s">
        <v>8159</v>
      </c>
      <c r="H617" s="512" t="s">
        <v>7549</v>
      </c>
      <c r="I617" s="512" t="s">
        <v>8141</v>
      </c>
      <c r="L617" s="505" t="s">
        <v>2466</v>
      </c>
      <c r="M617" s="516">
        <v>269.27999999999997</v>
      </c>
      <c r="N617" s="505" t="s">
        <v>1204</v>
      </c>
    </row>
    <row r="618" spans="1:14" x14ac:dyDescent="0.25">
      <c r="A618" s="505" t="s">
        <v>2503</v>
      </c>
      <c r="B618" s="505" t="s">
        <v>2504</v>
      </c>
      <c r="C618" s="512" t="s">
        <v>7762</v>
      </c>
      <c r="D618" s="512" t="s">
        <v>7596</v>
      </c>
      <c r="E618" s="512" t="s">
        <v>8139</v>
      </c>
      <c r="F618" s="512" t="s">
        <v>8137</v>
      </c>
      <c r="G618" s="512" t="s">
        <v>8160</v>
      </c>
      <c r="H618" s="512" t="s">
        <v>8141</v>
      </c>
      <c r="L618" s="505" t="s">
        <v>2466</v>
      </c>
      <c r="M618" s="516">
        <v>269.27999999999997</v>
      </c>
      <c r="N618" s="505" t="s">
        <v>1204</v>
      </c>
    </row>
    <row r="619" spans="1:14" x14ac:dyDescent="0.25">
      <c r="A619" s="505" t="s">
        <v>2505</v>
      </c>
      <c r="B619" s="505" t="s">
        <v>2506</v>
      </c>
      <c r="C619" s="512" t="s">
        <v>7762</v>
      </c>
      <c r="D619" s="512" t="s">
        <v>7596</v>
      </c>
      <c r="E619" s="512" t="s">
        <v>8136</v>
      </c>
      <c r="F619" s="512" t="s">
        <v>8140</v>
      </c>
      <c r="G619" s="512" t="s">
        <v>8161</v>
      </c>
      <c r="L619" s="505" t="s">
        <v>2466</v>
      </c>
      <c r="M619" s="516">
        <v>269.27999999999997</v>
      </c>
      <c r="N619" s="505" t="s">
        <v>1204</v>
      </c>
    </row>
    <row r="620" spans="1:14" x14ac:dyDescent="0.25">
      <c r="A620" s="505" t="s">
        <v>2507</v>
      </c>
      <c r="B620" s="505" t="s">
        <v>2508</v>
      </c>
      <c r="C620" s="512" t="s">
        <v>7762</v>
      </c>
      <c r="D620" s="512" t="s">
        <v>7596</v>
      </c>
      <c r="E620" s="512" t="s">
        <v>8136</v>
      </c>
      <c r="F620" s="512" t="s">
        <v>7454</v>
      </c>
      <c r="G620" s="512" t="s">
        <v>8161</v>
      </c>
      <c r="L620" s="505" t="s">
        <v>2466</v>
      </c>
      <c r="M620" s="516">
        <v>269.27999999999997</v>
      </c>
      <c r="N620" s="505" t="s">
        <v>1204</v>
      </c>
    </row>
    <row r="621" spans="1:14" x14ac:dyDescent="0.25">
      <c r="A621" s="505" t="s">
        <v>2509</v>
      </c>
      <c r="B621" s="505" t="s">
        <v>2510</v>
      </c>
      <c r="C621" s="512" t="s">
        <v>7762</v>
      </c>
      <c r="D621" s="512" t="s">
        <v>7596</v>
      </c>
      <c r="E621" s="512" t="s">
        <v>8136</v>
      </c>
      <c r="F621" s="512" t="s">
        <v>8162</v>
      </c>
      <c r="G621" s="512" t="s">
        <v>7445</v>
      </c>
      <c r="H621" s="512" t="s">
        <v>8161</v>
      </c>
      <c r="L621" s="505" t="s">
        <v>2466</v>
      </c>
      <c r="M621" s="516">
        <v>269.27999999999997</v>
      </c>
      <c r="N621" s="505" t="s">
        <v>1204</v>
      </c>
    </row>
    <row r="622" spans="1:14" x14ac:dyDescent="0.25">
      <c r="A622" s="505" t="s">
        <v>2511</v>
      </c>
      <c r="B622" s="505" t="s">
        <v>2512</v>
      </c>
      <c r="C622" s="512" t="s">
        <v>7762</v>
      </c>
      <c r="D622" s="512" t="s">
        <v>7596</v>
      </c>
      <c r="E622" s="512" t="s">
        <v>8136</v>
      </c>
      <c r="F622" s="512" t="s">
        <v>7888</v>
      </c>
      <c r="G622" s="512" t="s">
        <v>8161</v>
      </c>
      <c r="L622" s="505" t="s">
        <v>2466</v>
      </c>
      <c r="M622" s="516">
        <v>269.27999999999997</v>
      </c>
      <c r="N622" s="505" t="s">
        <v>1204</v>
      </c>
    </row>
    <row r="623" spans="1:14" x14ac:dyDescent="0.25">
      <c r="A623" s="505" t="s">
        <v>2513</v>
      </c>
      <c r="B623" s="505" t="s">
        <v>2514</v>
      </c>
      <c r="C623" s="512" t="s">
        <v>7762</v>
      </c>
      <c r="D623" s="512" t="s">
        <v>7596</v>
      </c>
      <c r="E623" s="512" t="s">
        <v>8136</v>
      </c>
      <c r="F623" s="512" t="s">
        <v>8144</v>
      </c>
      <c r="G623" s="512" t="s">
        <v>7445</v>
      </c>
      <c r="H623" s="512" t="s">
        <v>8161</v>
      </c>
      <c r="L623" s="505" t="s">
        <v>2466</v>
      </c>
      <c r="M623" s="516">
        <v>269.27999999999997</v>
      </c>
      <c r="N623" s="505" t="s">
        <v>1204</v>
      </c>
    </row>
    <row r="624" spans="1:14" x14ac:dyDescent="0.25">
      <c r="A624" s="505" t="s">
        <v>2515</v>
      </c>
      <c r="B624" s="505" t="s">
        <v>2516</v>
      </c>
      <c r="C624" s="512" t="s">
        <v>7762</v>
      </c>
      <c r="D624" s="512" t="s">
        <v>7596</v>
      </c>
      <c r="E624" s="512" t="s">
        <v>8136</v>
      </c>
      <c r="F624" s="512" t="s">
        <v>8163</v>
      </c>
      <c r="G624" s="512" t="s">
        <v>8164</v>
      </c>
      <c r="H624" s="512" t="s">
        <v>8161</v>
      </c>
      <c r="L624" s="505" t="s">
        <v>2466</v>
      </c>
      <c r="M624" s="516">
        <v>269.27999999999997</v>
      </c>
      <c r="N624" s="505" t="s">
        <v>1204</v>
      </c>
    </row>
    <row r="625" spans="1:14" x14ac:dyDescent="0.25">
      <c r="A625" s="505" t="s">
        <v>2517</v>
      </c>
      <c r="B625" s="505" t="s">
        <v>2518</v>
      </c>
      <c r="C625" s="512" t="s">
        <v>7762</v>
      </c>
      <c r="D625" s="512" t="s">
        <v>7596</v>
      </c>
      <c r="E625" s="512" t="s">
        <v>8136</v>
      </c>
      <c r="F625" s="512" t="s">
        <v>8147</v>
      </c>
      <c r="G625" s="512" t="s">
        <v>8161</v>
      </c>
      <c r="L625" s="505" t="s">
        <v>2466</v>
      </c>
      <c r="M625" s="516">
        <v>269.27999999999997</v>
      </c>
      <c r="N625" s="505" t="s">
        <v>1204</v>
      </c>
    </row>
    <row r="626" spans="1:14" x14ac:dyDescent="0.25">
      <c r="A626" s="505" t="s">
        <v>2519</v>
      </c>
      <c r="B626" s="505" t="s">
        <v>2520</v>
      </c>
      <c r="C626" s="512" t="s">
        <v>7762</v>
      </c>
      <c r="D626" s="512" t="s">
        <v>7596</v>
      </c>
      <c r="E626" s="512" t="s">
        <v>8136</v>
      </c>
      <c r="F626" s="512" t="s">
        <v>8148</v>
      </c>
      <c r="G626" s="512" t="s">
        <v>8161</v>
      </c>
      <c r="L626" s="505" t="s">
        <v>2466</v>
      </c>
      <c r="M626" s="516">
        <v>245.52</v>
      </c>
      <c r="N626" s="505" t="s">
        <v>1204</v>
      </c>
    </row>
    <row r="627" spans="1:14" x14ac:dyDescent="0.25">
      <c r="A627" s="505" t="s">
        <v>2521</v>
      </c>
      <c r="B627" s="505" t="s">
        <v>2522</v>
      </c>
      <c r="C627" s="512" t="s">
        <v>7762</v>
      </c>
      <c r="D627" s="512" t="s">
        <v>7596</v>
      </c>
      <c r="E627" s="512" t="s">
        <v>8136</v>
      </c>
      <c r="F627" s="512" t="s">
        <v>7568</v>
      </c>
      <c r="G627" s="512" t="s">
        <v>8161</v>
      </c>
      <c r="L627" s="505" t="s">
        <v>2466</v>
      </c>
      <c r="M627" s="516">
        <v>269.27999999999997</v>
      </c>
      <c r="N627" s="505" t="s">
        <v>1204</v>
      </c>
    </row>
    <row r="628" spans="1:14" x14ac:dyDescent="0.25">
      <c r="A628" s="505" t="s">
        <v>2523</v>
      </c>
      <c r="B628" s="505" t="s">
        <v>2524</v>
      </c>
      <c r="C628" s="512" t="s">
        <v>7762</v>
      </c>
      <c r="D628" s="512" t="s">
        <v>7596</v>
      </c>
      <c r="E628" s="512" t="s">
        <v>8136</v>
      </c>
      <c r="F628" s="512" t="s">
        <v>8149</v>
      </c>
      <c r="G628" s="512" t="s">
        <v>8161</v>
      </c>
      <c r="L628" s="505" t="s">
        <v>2466</v>
      </c>
      <c r="M628" s="516">
        <v>245.52</v>
      </c>
      <c r="N628" s="505" t="s">
        <v>1204</v>
      </c>
    </row>
    <row r="629" spans="1:14" x14ac:dyDescent="0.25">
      <c r="A629" s="505" t="s">
        <v>2525</v>
      </c>
      <c r="B629" s="505" t="s">
        <v>2526</v>
      </c>
      <c r="C629" s="512" t="s">
        <v>7762</v>
      </c>
      <c r="D629" s="512" t="s">
        <v>7596</v>
      </c>
      <c r="E629" s="512" t="s">
        <v>8136</v>
      </c>
      <c r="F629" s="512" t="s">
        <v>8150</v>
      </c>
      <c r="G629" s="512" t="s">
        <v>8161</v>
      </c>
      <c r="L629" s="505" t="s">
        <v>2466</v>
      </c>
      <c r="M629" s="516">
        <v>269.27999999999997</v>
      </c>
      <c r="N629" s="505" t="s">
        <v>1204</v>
      </c>
    </row>
    <row r="630" spans="1:14" x14ac:dyDescent="0.25">
      <c r="A630" s="505" t="s">
        <v>2527</v>
      </c>
      <c r="B630" s="505" t="s">
        <v>2528</v>
      </c>
      <c r="C630" s="512" t="s">
        <v>7762</v>
      </c>
      <c r="D630" s="512" t="s">
        <v>7596</v>
      </c>
      <c r="E630" s="512" t="s">
        <v>8136</v>
      </c>
      <c r="F630" s="512" t="s">
        <v>8165</v>
      </c>
      <c r="G630" s="512" t="s">
        <v>8152</v>
      </c>
      <c r="H630" s="512" t="s">
        <v>8161</v>
      </c>
      <c r="L630" s="505" t="s">
        <v>2466</v>
      </c>
      <c r="M630" s="516">
        <v>245.52</v>
      </c>
      <c r="N630" s="505" t="s">
        <v>1204</v>
      </c>
    </row>
    <row r="631" spans="1:14" x14ac:dyDescent="0.25">
      <c r="A631" s="505" t="s">
        <v>2529</v>
      </c>
      <c r="B631" s="505" t="s">
        <v>2530</v>
      </c>
      <c r="C631" s="512" t="s">
        <v>7762</v>
      </c>
      <c r="D631" s="512" t="s">
        <v>7596</v>
      </c>
      <c r="E631" s="512" t="s">
        <v>8136</v>
      </c>
      <c r="F631" s="512" t="s">
        <v>8030</v>
      </c>
      <c r="G631" s="512" t="s">
        <v>8161</v>
      </c>
      <c r="L631" s="505" t="s">
        <v>2466</v>
      </c>
      <c r="M631" s="516">
        <v>245.52</v>
      </c>
      <c r="N631" s="505" t="s">
        <v>1204</v>
      </c>
    </row>
    <row r="632" spans="1:14" x14ac:dyDescent="0.25">
      <c r="A632" s="505" t="s">
        <v>2531</v>
      </c>
      <c r="B632" s="505" t="s">
        <v>2532</v>
      </c>
      <c r="C632" s="512" t="s">
        <v>7762</v>
      </c>
      <c r="D632" s="512" t="s">
        <v>7596</v>
      </c>
      <c r="E632" s="512" t="s">
        <v>8136</v>
      </c>
      <c r="F632" s="512" t="s">
        <v>8166</v>
      </c>
      <c r="G632" s="512" t="s">
        <v>8167</v>
      </c>
      <c r="H632" s="512" t="s">
        <v>8161</v>
      </c>
      <c r="L632" s="505" t="s">
        <v>2466</v>
      </c>
      <c r="M632" s="516">
        <v>245.52</v>
      </c>
      <c r="N632" s="505" t="s">
        <v>1204</v>
      </c>
    </row>
    <row r="633" spans="1:14" x14ac:dyDescent="0.25">
      <c r="A633" s="505" t="s">
        <v>2533</v>
      </c>
      <c r="B633" s="505" t="s">
        <v>2534</v>
      </c>
      <c r="C633" s="512" t="s">
        <v>7762</v>
      </c>
      <c r="D633" s="512" t="s">
        <v>7596</v>
      </c>
      <c r="E633" s="512" t="s">
        <v>8136</v>
      </c>
      <c r="F633" s="512" t="s">
        <v>8155</v>
      </c>
      <c r="G633" s="512" t="s">
        <v>7892</v>
      </c>
      <c r="H633" s="512" t="s">
        <v>8161</v>
      </c>
      <c r="L633" s="505" t="s">
        <v>2466</v>
      </c>
      <c r="M633" s="516">
        <v>245.52</v>
      </c>
      <c r="N633" s="505" t="s">
        <v>1204</v>
      </c>
    </row>
    <row r="634" spans="1:14" x14ac:dyDescent="0.25">
      <c r="A634" s="505" t="s">
        <v>2535</v>
      </c>
      <c r="B634" s="505" t="s">
        <v>2536</v>
      </c>
      <c r="C634" s="512" t="s">
        <v>7762</v>
      </c>
      <c r="D634" s="512" t="s">
        <v>7596</v>
      </c>
      <c r="E634" s="512" t="s">
        <v>8136</v>
      </c>
      <c r="F634" s="512" t="s">
        <v>8156</v>
      </c>
      <c r="G634" s="512" t="s">
        <v>8168</v>
      </c>
      <c r="H634" s="512" t="s">
        <v>8161</v>
      </c>
      <c r="L634" s="505" t="s">
        <v>2466</v>
      </c>
      <c r="M634" s="516">
        <v>269.27999999999997</v>
      </c>
      <c r="N634" s="505" t="s">
        <v>1204</v>
      </c>
    </row>
    <row r="635" spans="1:14" x14ac:dyDescent="0.25">
      <c r="A635" s="505" t="s">
        <v>2537</v>
      </c>
      <c r="B635" s="505" t="s">
        <v>2538</v>
      </c>
      <c r="C635" s="512" t="s">
        <v>7762</v>
      </c>
      <c r="D635" s="512" t="s">
        <v>7596</v>
      </c>
      <c r="E635" s="512" t="s">
        <v>8136</v>
      </c>
      <c r="F635" s="512" t="s">
        <v>8158</v>
      </c>
      <c r="G635" s="512" t="s">
        <v>8161</v>
      </c>
      <c r="L635" s="505" t="s">
        <v>2466</v>
      </c>
      <c r="M635" s="516">
        <v>245.52</v>
      </c>
      <c r="N635" s="505" t="s">
        <v>1204</v>
      </c>
    </row>
    <row r="636" spans="1:14" x14ac:dyDescent="0.25">
      <c r="A636" s="505" t="s">
        <v>2539</v>
      </c>
      <c r="B636" s="505" t="s">
        <v>2540</v>
      </c>
      <c r="C636" s="512" t="s">
        <v>7762</v>
      </c>
      <c r="D636" s="512" t="s">
        <v>7596</v>
      </c>
      <c r="E636" s="512" t="s">
        <v>8136</v>
      </c>
      <c r="F636" s="512" t="s">
        <v>8169</v>
      </c>
      <c r="G636" s="512" t="s">
        <v>7489</v>
      </c>
      <c r="H636" s="512" t="s">
        <v>8161</v>
      </c>
      <c r="L636" s="505" t="s">
        <v>2466</v>
      </c>
      <c r="M636" s="516">
        <v>269.27999999999997</v>
      </c>
      <c r="N636" s="505" t="s">
        <v>1204</v>
      </c>
    </row>
    <row r="637" spans="1:14" x14ac:dyDescent="0.25">
      <c r="A637" s="505" t="s">
        <v>2541</v>
      </c>
      <c r="B637" s="505" t="s">
        <v>2542</v>
      </c>
      <c r="C637" s="512" t="s">
        <v>7762</v>
      </c>
      <c r="D637" s="512" t="s">
        <v>7596</v>
      </c>
      <c r="E637" s="512" t="s">
        <v>8136</v>
      </c>
      <c r="F637" s="512" t="s">
        <v>8170</v>
      </c>
      <c r="G637" s="512" t="s">
        <v>8161</v>
      </c>
      <c r="L637" s="505" t="s">
        <v>2466</v>
      </c>
      <c r="M637" s="516">
        <v>269.27999999999997</v>
      </c>
      <c r="N637" s="505" t="s">
        <v>1204</v>
      </c>
    </row>
    <row r="638" spans="1:14" x14ac:dyDescent="0.25">
      <c r="A638" s="505" t="s">
        <v>2543</v>
      </c>
      <c r="B638" s="505" t="s">
        <v>2544</v>
      </c>
      <c r="C638" s="512" t="s">
        <v>7762</v>
      </c>
      <c r="D638" s="512" t="s">
        <v>8171</v>
      </c>
      <c r="E638" s="512" t="s">
        <v>8139</v>
      </c>
      <c r="F638" s="512" t="s">
        <v>8137</v>
      </c>
      <c r="G638" s="512" t="s">
        <v>7445</v>
      </c>
      <c r="H638" s="512" t="s">
        <v>7549</v>
      </c>
      <c r="I638" s="512" t="s">
        <v>8172</v>
      </c>
      <c r="L638" s="505" t="s">
        <v>2466</v>
      </c>
      <c r="M638" s="516">
        <v>181.72</v>
      </c>
      <c r="N638" s="505" t="s">
        <v>1204</v>
      </c>
    </row>
    <row r="639" spans="1:14" x14ac:dyDescent="0.25">
      <c r="A639" s="505" t="s">
        <v>2545</v>
      </c>
      <c r="B639" s="505" t="s">
        <v>2546</v>
      </c>
      <c r="C639" s="512" t="s">
        <v>7762</v>
      </c>
      <c r="D639" s="512" t="s">
        <v>8171</v>
      </c>
      <c r="E639" s="512" t="s">
        <v>8139</v>
      </c>
      <c r="F639" s="512" t="s">
        <v>8137</v>
      </c>
      <c r="G639" s="512" t="s">
        <v>7899</v>
      </c>
      <c r="H639" s="512" t="s">
        <v>8172</v>
      </c>
      <c r="L639" s="505" t="s">
        <v>2466</v>
      </c>
      <c r="M639" s="516">
        <v>181.72</v>
      </c>
      <c r="N639" s="505" t="s">
        <v>1204</v>
      </c>
    </row>
    <row r="640" spans="1:14" x14ac:dyDescent="0.25">
      <c r="A640" s="505" t="s">
        <v>2547</v>
      </c>
      <c r="B640" s="505" t="s">
        <v>2548</v>
      </c>
      <c r="C640" s="512" t="s">
        <v>7762</v>
      </c>
      <c r="D640" s="512" t="s">
        <v>8171</v>
      </c>
      <c r="E640" s="512" t="s">
        <v>8139</v>
      </c>
      <c r="F640" s="512" t="s">
        <v>8137</v>
      </c>
      <c r="G640" s="512" t="s">
        <v>8173</v>
      </c>
      <c r="H640" s="512" t="s">
        <v>8172</v>
      </c>
      <c r="L640" s="505" t="s">
        <v>2466</v>
      </c>
      <c r="M640" s="516">
        <v>8.6999999999999993</v>
      </c>
      <c r="N640" s="505" t="s">
        <v>2466</v>
      </c>
    </row>
    <row r="641" spans="1:14" x14ac:dyDescent="0.25">
      <c r="A641" s="505" t="s">
        <v>2549</v>
      </c>
      <c r="B641" s="505" t="s">
        <v>2550</v>
      </c>
      <c r="C641" s="512" t="s">
        <v>7762</v>
      </c>
      <c r="D641" s="512" t="s">
        <v>8174</v>
      </c>
      <c r="E641" s="512" t="s">
        <v>8139</v>
      </c>
      <c r="F641" s="512" t="s">
        <v>8137</v>
      </c>
      <c r="G641" s="512" t="s">
        <v>7496</v>
      </c>
      <c r="H641" s="512" t="s">
        <v>7426</v>
      </c>
      <c r="I641" s="512" t="s">
        <v>8172</v>
      </c>
      <c r="L641" s="505" t="s">
        <v>2466</v>
      </c>
      <c r="M641" s="516">
        <v>181.72</v>
      </c>
      <c r="N641" s="505" t="s">
        <v>1204</v>
      </c>
    </row>
    <row r="642" spans="1:14" x14ac:dyDescent="0.25">
      <c r="A642" s="505" t="s">
        <v>2551</v>
      </c>
      <c r="B642" s="505" t="s">
        <v>2552</v>
      </c>
      <c r="C642" s="512" t="s">
        <v>7762</v>
      </c>
      <c r="D642" s="512" t="s">
        <v>8171</v>
      </c>
      <c r="E642" s="512" t="s">
        <v>8139</v>
      </c>
      <c r="F642" s="512" t="s">
        <v>8137</v>
      </c>
      <c r="G642" s="512" t="s">
        <v>8175</v>
      </c>
      <c r="H642" s="512" t="s">
        <v>8172</v>
      </c>
      <c r="L642" s="505" t="s">
        <v>2466</v>
      </c>
      <c r="M642" s="516">
        <v>181.72</v>
      </c>
      <c r="N642" s="505" t="s">
        <v>1204</v>
      </c>
    </row>
    <row r="643" spans="1:14" x14ac:dyDescent="0.25">
      <c r="A643" s="505" t="s">
        <v>2553</v>
      </c>
      <c r="B643" s="505" t="s">
        <v>2554</v>
      </c>
      <c r="C643" s="512" t="s">
        <v>7762</v>
      </c>
      <c r="D643" s="512" t="s">
        <v>8171</v>
      </c>
      <c r="E643" s="512" t="s">
        <v>8139</v>
      </c>
      <c r="F643" s="512" t="s">
        <v>8137</v>
      </c>
      <c r="G643" s="512" t="s">
        <v>7489</v>
      </c>
      <c r="H643" s="512" t="s">
        <v>8172</v>
      </c>
      <c r="L643" s="505" t="s">
        <v>2466</v>
      </c>
      <c r="M643" s="516">
        <v>181.72</v>
      </c>
      <c r="N643" s="505" t="s">
        <v>1204</v>
      </c>
    </row>
    <row r="644" spans="1:14" x14ac:dyDescent="0.25">
      <c r="A644" s="505" t="s">
        <v>2555</v>
      </c>
      <c r="B644" s="505" t="s">
        <v>2556</v>
      </c>
      <c r="C644" s="512" t="s">
        <v>7762</v>
      </c>
      <c r="D644" s="512" t="s">
        <v>8171</v>
      </c>
      <c r="E644" s="512" t="s">
        <v>8139</v>
      </c>
      <c r="F644" s="512" t="s">
        <v>8137</v>
      </c>
      <c r="G644" s="512" t="s">
        <v>8176</v>
      </c>
      <c r="H644" s="512" t="s">
        <v>8172</v>
      </c>
      <c r="L644" s="505" t="s">
        <v>2466</v>
      </c>
      <c r="M644" s="516">
        <v>181.72</v>
      </c>
      <c r="N644" s="505" t="s">
        <v>1204</v>
      </c>
    </row>
    <row r="645" spans="1:14" x14ac:dyDescent="0.25">
      <c r="A645" s="505" t="s">
        <v>2557</v>
      </c>
      <c r="B645" s="505" t="s">
        <v>2558</v>
      </c>
      <c r="C645" s="512" t="s">
        <v>7762</v>
      </c>
      <c r="D645" s="512" t="s">
        <v>8171</v>
      </c>
      <c r="E645" s="512" t="s">
        <v>8139</v>
      </c>
      <c r="F645" s="512" t="s">
        <v>8137</v>
      </c>
      <c r="G645" s="512" t="s">
        <v>7440</v>
      </c>
      <c r="H645" s="512" t="s">
        <v>8172</v>
      </c>
      <c r="L645" s="505" t="s">
        <v>2466</v>
      </c>
      <c r="M645" s="516">
        <v>181.72</v>
      </c>
      <c r="N645" s="505" t="s">
        <v>1204</v>
      </c>
    </row>
    <row r="646" spans="1:14" x14ac:dyDescent="0.25">
      <c r="A646" s="505" t="s">
        <v>2559</v>
      </c>
      <c r="B646" s="505" t="s">
        <v>2560</v>
      </c>
      <c r="C646" s="512" t="s">
        <v>7762</v>
      </c>
      <c r="D646" s="512" t="s">
        <v>8171</v>
      </c>
      <c r="E646" s="512" t="s">
        <v>8139</v>
      </c>
      <c r="F646" s="512" t="s">
        <v>8137</v>
      </c>
      <c r="G646" s="512" t="s">
        <v>7889</v>
      </c>
      <c r="H646" s="512" t="s">
        <v>8172</v>
      </c>
      <c r="L646" s="505" t="s">
        <v>2466</v>
      </c>
      <c r="M646" s="516">
        <v>181.72</v>
      </c>
      <c r="N646" s="505" t="s">
        <v>1204</v>
      </c>
    </row>
    <row r="647" spans="1:14" x14ac:dyDescent="0.25">
      <c r="A647" s="505" t="s">
        <v>2561</v>
      </c>
      <c r="B647" s="505" t="s">
        <v>2562</v>
      </c>
      <c r="C647" s="512" t="s">
        <v>7762</v>
      </c>
      <c r="D647" s="512" t="s">
        <v>8171</v>
      </c>
      <c r="E647" s="512" t="s">
        <v>8139</v>
      </c>
      <c r="F647" s="512" t="s">
        <v>8137</v>
      </c>
      <c r="G647" s="512" t="s">
        <v>7890</v>
      </c>
      <c r="H647" s="512" t="s">
        <v>7881</v>
      </c>
      <c r="I647" s="512" t="s">
        <v>8172</v>
      </c>
      <c r="L647" s="505" t="s">
        <v>2466</v>
      </c>
      <c r="M647" s="516">
        <v>9.2799999999999994</v>
      </c>
      <c r="N647" s="505" t="s">
        <v>2466</v>
      </c>
    </row>
    <row r="648" spans="1:14" x14ac:dyDescent="0.25">
      <c r="A648" s="505" t="s">
        <v>2563</v>
      </c>
      <c r="B648" s="505" t="s">
        <v>2564</v>
      </c>
      <c r="C648" s="512" t="s">
        <v>7762</v>
      </c>
      <c r="D648" s="512" t="s">
        <v>8171</v>
      </c>
      <c r="E648" s="512" t="s">
        <v>8139</v>
      </c>
      <c r="F648" s="512" t="s">
        <v>8137</v>
      </c>
      <c r="G648" s="512" t="s">
        <v>7803</v>
      </c>
      <c r="H648" s="512" t="s">
        <v>8172</v>
      </c>
      <c r="L648" s="505" t="s">
        <v>2466</v>
      </c>
      <c r="M648" s="516">
        <v>181.72</v>
      </c>
      <c r="N648" s="505" t="s">
        <v>1204</v>
      </c>
    </row>
    <row r="649" spans="1:14" x14ac:dyDescent="0.25">
      <c r="A649" s="505" t="s">
        <v>2565</v>
      </c>
      <c r="B649" s="505" t="s">
        <v>2566</v>
      </c>
      <c r="C649" s="512" t="s">
        <v>7762</v>
      </c>
      <c r="D649" s="512" t="s">
        <v>8171</v>
      </c>
      <c r="E649" s="512" t="s">
        <v>8139</v>
      </c>
      <c r="F649" s="512" t="s">
        <v>8137</v>
      </c>
      <c r="G649" s="512" t="s">
        <v>8177</v>
      </c>
      <c r="H649" s="512" t="s">
        <v>8172</v>
      </c>
      <c r="L649" s="505" t="s">
        <v>2466</v>
      </c>
      <c r="M649" s="516">
        <v>181.72</v>
      </c>
      <c r="N649" s="505" t="s">
        <v>1204</v>
      </c>
    </row>
    <row r="650" spans="1:14" x14ac:dyDescent="0.25">
      <c r="A650" s="505" t="s">
        <v>2567</v>
      </c>
      <c r="B650" s="505" t="s">
        <v>2568</v>
      </c>
      <c r="C650" s="512" t="s">
        <v>7762</v>
      </c>
      <c r="D650" s="512" t="s">
        <v>8171</v>
      </c>
      <c r="E650" s="512" t="s">
        <v>8139</v>
      </c>
      <c r="F650" s="512" t="s">
        <v>8137</v>
      </c>
      <c r="G650" s="512" t="s">
        <v>8178</v>
      </c>
      <c r="H650" s="512" t="s">
        <v>8179</v>
      </c>
      <c r="I650" s="512" t="s">
        <v>8172</v>
      </c>
      <c r="L650" s="505" t="s">
        <v>2466</v>
      </c>
      <c r="M650" s="516">
        <v>181.72</v>
      </c>
      <c r="N650" s="505" t="s">
        <v>1204</v>
      </c>
    </row>
    <row r="651" spans="1:14" x14ac:dyDescent="0.25">
      <c r="A651" s="505" t="s">
        <v>2569</v>
      </c>
      <c r="B651" s="505" t="s">
        <v>2570</v>
      </c>
      <c r="C651" s="512" t="s">
        <v>7762</v>
      </c>
      <c r="D651" s="512" t="s">
        <v>8171</v>
      </c>
      <c r="E651" s="512" t="s">
        <v>8139</v>
      </c>
      <c r="F651" s="512" t="s">
        <v>8137</v>
      </c>
      <c r="G651" s="512" t="s">
        <v>7721</v>
      </c>
      <c r="H651" s="512" t="s">
        <v>8172</v>
      </c>
      <c r="L651" s="505" t="s">
        <v>2466</v>
      </c>
      <c r="M651" s="516">
        <v>181.72</v>
      </c>
      <c r="N651" s="505" t="s">
        <v>1204</v>
      </c>
    </row>
    <row r="652" spans="1:14" x14ac:dyDescent="0.25">
      <c r="A652" s="505" t="s">
        <v>2571</v>
      </c>
      <c r="B652" s="505" t="s">
        <v>2572</v>
      </c>
      <c r="C652" s="512" t="s">
        <v>7762</v>
      </c>
      <c r="D652" s="512" t="s">
        <v>8171</v>
      </c>
      <c r="E652" s="512" t="s">
        <v>8139</v>
      </c>
      <c r="F652" s="512" t="s">
        <v>8137</v>
      </c>
      <c r="G652" s="512" t="s">
        <v>7804</v>
      </c>
      <c r="H652" s="512" t="s">
        <v>8172</v>
      </c>
      <c r="L652" s="505" t="s">
        <v>2466</v>
      </c>
      <c r="M652" s="516">
        <v>181.72</v>
      </c>
      <c r="N652" s="505" t="s">
        <v>1204</v>
      </c>
    </row>
    <row r="653" spans="1:14" s="530" customFormat="1" x14ac:dyDescent="0.25">
      <c r="A653" s="530" t="s">
        <v>2573</v>
      </c>
      <c r="B653" s="530" t="s">
        <v>2574</v>
      </c>
      <c r="C653" s="531" t="s">
        <v>7762</v>
      </c>
      <c r="D653" s="531" t="s">
        <v>8174</v>
      </c>
      <c r="E653" s="531" t="s">
        <v>8139</v>
      </c>
      <c r="F653" s="531" t="s">
        <v>8180</v>
      </c>
      <c r="G653" s="531" t="s">
        <v>7557</v>
      </c>
      <c r="H653" s="531" t="s">
        <v>7426</v>
      </c>
      <c r="I653" s="531" t="s">
        <v>8181</v>
      </c>
      <c r="L653" s="530" t="s">
        <v>2466</v>
      </c>
      <c r="M653" s="532">
        <v>0</v>
      </c>
      <c r="N653" s="530" t="s">
        <v>1544</v>
      </c>
    </row>
    <row r="654" spans="1:14" x14ac:dyDescent="0.25">
      <c r="A654" s="505" t="s">
        <v>2575</v>
      </c>
      <c r="B654" s="505" t="s">
        <v>2574</v>
      </c>
      <c r="C654" s="512" t="s">
        <v>7762</v>
      </c>
      <c r="D654" s="512" t="s">
        <v>8174</v>
      </c>
      <c r="E654" s="512" t="s">
        <v>8139</v>
      </c>
      <c r="F654" s="512" t="s">
        <v>8180</v>
      </c>
      <c r="G654" s="512" t="s">
        <v>7557</v>
      </c>
      <c r="H654" s="512" t="s">
        <v>7426</v>
      </c>
      <c r="I654" s="512" t="s">
        <v>8181</v>
      </c>
      <c r="L654" s="505" t="s">
        <v>2466</v>
      </c>
      <c r="M654" s="516">
        <v>10</v>
      </c>
      <c r="N654" s="505" t="s">
        <v>2466</v>
      </c>
    </row>
    <row r="655" spans="1:14" s="530" customFormat="1" x14ac:dyDescent="0.25">
      <c r="A655" s="530" t="s">
        <v>2576</v>
      </c>
      <c r="B655" s="530" t="s">
        <v>2577</v>
      </c>
      <c r="C655" s="531" t="s">
        <v>7762</v>
      </c>
      <c r="D655" s="531" t="s">
        <v>8174</v>
      </c>
      <c r="E655" s="531" t="s">
        <v>8139</v>
      </c>
      <c r="F655" s="531" t="s">
        <v>8180</v>
      </c>
      <c r="G655" s="531" t="s">
        <v>8182</v>
      </c>
      <c r="H655" s="531" t="s">
        <v>8181</v>
      </c>
      <c r="I655" s="531"/>
      <c r="L655" s="530" t="s">
        <v>2466</v>
      </c>
      <c r="M655" s="532">
        <v>0</v>
      </c>
      <c r="N655" s="530" t="s">
        <v>1544</v>
      </c>
    </row>
    <row r="656" spans="1:14" s="530" customFormat="1" x14ac:dyDescent="0.25">
      <c r="A656" s="530" t="s">
        <v>2578</v>
      </c>
      <c r="B656" s="530" t="s">
        <v>2579</v>
      </c>
      <c r="C656" s="531" t="s">
        <v>7762</v>
      </c>
      <c r="D656" s="531" t="s">
        <v>8174</v>
      </c>
      <c r="E656" s="531" t="s">
        <v>8139</v>
      </c>
      <c r="F656" s="531" t="s">
        <v>8180</v>
      </c>
      <c r="G656" s="531" t="s">
        <v>472</v>
      </c>
      <c r="H656" s="531" t="s">
        <v>8181</v>
      </c>
      <c r="I656" s="531"/>
      <c r="L656" s="530" t="s">
        <v>2466</v>
      </c>
      <c r="M656" s="532">
        <v>0</v>
      </c>
      <c r="N656" s="530" t="s">
        <v>1544</v>
      </c>
    </row>
    <row r="657" spans="1:14" x14ac:dyDescent="0.25">
      <c r="A657" s="505" t="s">
        <v>2580</v>
      </c>
      <c r="B657" s="505" t="s">
        <v>2579</v>
      </c>
      <c r="C657" s="512" t="s">
        <v>7762</v>
      </c>
      <c r="D657" s="512" t="s">
        <v>8174</v>
      </c>
      <c r="E657" s="512" t="s">
        <v>8139</v>
      </c>
      <c r="F657" s="512" t="s">
        <v>8180</v>
      </c>
      <c r="G657" s="512" t="s">
        <v>472</v>
      </c>
      <c r="H657" s="512" t="s">
        <v>8181</v>
      </c>
      <c r="L657" s="505" t="s">
        <v>2466</v>
      </c>
      <c r="M657" s="516">
        <v>10.25</v>
      </c>
      <c r="N657" s="505" t="s">
        <v>2466</v>
      </c>
    </row>
    <row r="658" spans="1:14" x14ac:dyDescent="0.25">
      <c r="A658" s="505" t="s">
        <v>2581</v>
      </c>
      <c r="B658" s="505" t="s">
        <v>2582</v>
      </c>
      <c r="C658" s="512" t="s">
        <v>7762</v>
      </c>
      <c r="D658" s="512" t="s">
        <v>8174</v>
      </c>
      <c r="E658" s="512" t="s">
        <v>8139</v>
      </c>
      <c r="F658" s="512" t="s">
        <v>8180</v>
      </c>
      <c r="G658" s="512" t="s">
        <v>7496</v>
      </c>
      <c r="H658" s="512" t="s">
        <v>363</v>
      </c>
      <c r="I658" s="512" t="s">
        <v>8181</v>
      </c>
      <c r="L658" s="505" t="s">
        <v>2466</v>
      </c>
      <c r="M658" s="516">
        <v>10</v>
      </c>
      <c r="N658" s="505" t="s">
        <v>2466</v>
      </c>
    </row>
    <row r="659" spans="1:14" x14ac:dyDescent="0.25">
      <c r="A659" s="505" t="s">
        <v>2583</v>
      </c>
      <c r="B659" s="505" t="s">
        <v>2584</v>
      </c>
      <c r="C659" s="512" t="s">
        <v>7762</v>
      </c>
      <c r="D659" s="512" t="s">
        <v>8171</v>
      </c>
      <c r="E659" s="512" t="s">
        <v>8139</v>
      </c>
      <c r="F659" s="512" t="s">
        <v>8180</v>
      </c>
      <c r="G659" s="512" t="s">
        <v>8183</v>
      </c>
      <c r="H659" s="512" t="s">
        <v>8181</v>
      </c>
      <c r="L659" s="505" t="s">
        <v>2466</v>
      </c>
      <c r="M659" s="516">
        <v>181.72</v>
      </c>
      <c r="N659" s="505" t="s">
        <v>1204</v>
      </c>
    </row>
    <row r="660" spans="1:14" x14ac:dyDescent="0.25">
      <c r="A660" s="505" t="s">
        <v>2585</v>
      </c>
      <c r="B660" s="505" t="s">
        <v>2586</v>
      </c>
      <c r="C660" s="512" t="s">
        <v>7762</v>
      </c>
      <c r="D660" s="512" t="s">
        <v>8171</v>
      </c>
      <c r="E660" s="512" t="s">
        <v>8139</v>
      </c>
      <c r="F660" s="512" t="s">
        <v>8180</v>
      </c>
      <c r="G660" s="512" t="s">
        <v>7489</v>
      </c>
      <c r="H660" s="512" t="s">
        <v>8181</v>
      </c>
      <c r="L660" s="505" t="s">
        <v>2466</v>
      </c>
      <c r="M660" s="516">
        <v>181.72</v>
      </c>
      <c r="N660" s="505" t="s">
        <v>1204</v>
      </c>
    </row>
    <row r="661" spans="1:14" x14ac:dyDescent="0.25">
      <c r="A661" s="505" t="s">
        <v>2587</v>
      </c>
      <c r="B661" s="505" t="s">
        <v>2588</v>
      </c>
      <c r="C661" s="512" t="s">
        <v>7762</v>
      </c>
      <c r="D661" s="512" t="s">
        <v>8171</v>
      </c>
      <c r="E661" s="512" t="s">
        <v>8139</v>
      </c>
      <c r="F661" s="512" t="s">
        <v>8180</v>
      </c>
      <c r="G661" s="512" t="s">
        <v>8176</v>
      </c>
      <c r="H661" s="512" t="s">
        <v>8181</v>
      </c>
      <c r="L661" s="505" t="s">
        <v>2466</v>
      </c>
      <c r="M661" s="516">
        <v>181.72</v>
      </c>
      <c r="N661" s="505" t="s">
        <v>1204</v>
      </c>
    </row>
    <row r="662" spans="1:14" x14ac:dyDescent="0.25">
      <c r="A662" s="505" t="s">
        <v>2589</v>
      </c>
      <c r="B662" s="505" t="s">
        <v>2590</v>
      </c>
      <c r="C662" s="512" t="s">
        <v>7762</v>
      </c>
      <c r="D662" s="512" t="s">
        <v>8171</v>
      </c>
      <c r="E662" s="512" t="s">
        <v>8139</v>
      </c>
      <c r="F662" s="512" t="s">
        <v>8180</v>
      </c>
      <c r="G662" s="512" t="s">
        <v>7440</v>
      </c>
      <c r="H662" s="512" t="s">
        <v>1080</v>
      </c>
      <c r="I662" s="512" t="s">
        <v>8181</v>
      </c>
      <c r="L662" s="505" t="s">
        <v>2466</v>
      </c>
      <c r="M662" s="516">
        <v>181.72</v>
      </c>
      <c r="N662" s="505" t="s">
        <v>1204</v>
      </c>
    </row>
    <row r="663" spans="1:14" x14ac:dyDescent="0.25">
      <c r="A663" s="505" t="s">
        <v>2591</v>
      </c>
      <c r="B663" s="505" t="s">
        <v>2592</v>
      </c>
      <c r="C663" s="512" t="s">
        <v>7762</v>
      </c>
      <c r="D663" s="512" t="s">
        <v>8171</v>
      </c>
      <c r="E663" s="512" t="s">
        <v>8139</v>
      </c>
      <c r="F663" s="512" t="s">
        <v>8180</v>
      </c>
      <c r="G663" s="512" t="s">
        <v>7889</v>
      </c>
      <c r="H663" s="512" t="s">
        <v>8181</v>
      </c>
      <c r="L663" s="505" t="s">
        <v>2466</v>
      </c>
      <c r="M663" s="516">
        <v>181.72</v>
      </c>
      <c r="N663" s="505" t="s">
        <v>1204</v>
      </c>
    </row>
    <row r="664" spans="1:14" x14ac:dyDescent="0.25">
      <c r="A664" s="505" t="s">
        <v>2593</v>
      </c>
      <c r="B664" s="505" t="s">
        <v>2594</v>
      </c>
      <c r="C664" s="512" t="s">
        <v>7762</v>
      </c>
      <c r="D664" s="512" t="s">
        <v>8171</v>
      </c>
      <c r="E664" s="512" t="s">
        <v>8139</v>
      </c>
      <c r="F664" s="512" t="s">
        <v>8180</v>
      </c>
      <c r="G664" s="512" t="s">
        <v>7890</v>
      </c>
      <c r="H664" s="512" t="s">
        <v>7881</v>
      </c>
      <c r="I664" s="512" t="s">
        <v>8181</v>
      </c>
      <c r="L664" s="505" t="s">
        <v>2466</v>
      </c>
      <c r="M664" s="516">
        <v>9.2799999999999994</v>
      </c>
      <c r="N664" s="505" t="s">
        <v>2466</v>
      </c>
    </row>
    <row r="665" spans="1:14" x14ac:dyDescent="0.25">
      <c r="A665" s="505" t="s">
        <v>2595</v>
      </c>
      <c r="B665" s="505" t="s">
        <v>2596</v>
      </c>
      <c r="C665" s="512" t="s">
        <v>7762</v>
      </c>
      <c r="D665" s="512" t="s">
        <v>8171</v>
      </c>
      <c r="E665" s="512" t="s">
        <v>8139</v>
      </c>
      <c r="F665" s="512" t="s">
        <v>8180</v>
      </c>
      <c r="G665" s="512" t="s">
        <v>7803</v>
      </c>
      <c r="H665" s="512" t="s">
        <v>8181</v>
      </c>
      <c r="L665" s="505" t="s">
        <v>2466</v>
      </c>
      <c r="M665" s="516">
        <v>181.72</v>
      </c>
      <c r="N665" s="505" t="s">
        <v>1204</v>
      </c>
    </row>
    <row r="666" spans="1:14" x14ac:dyDescent="0.25">
      <c r="A666" s="505" t="s">
        <v>2597</v>
      </c>
      <c r="B666" s="505" t="s">
        <v>2598</v>
      </c>
      <c r="C666" s="512" t="s">
        <v>7762</v>
      </c>
      <c r="D666" s="512" t="s">
        <v>8174</v>
      </c>
      <c r="E666" s="512" t="s">
        <v>8139</v>
      </c>
      <c r="F666" s="512" t="s">
        <v>8180</v>
      </c>
      <c r="G666" s="512" t="s">
        <v>8184</v>
      </c>
      <c r="H666" s="512" t="s">
        <v>8181</v>
      </c>
      <c r="L666" s="505" t="s">
        <v>2466</v>
      </c>
      <c r="M666" s="516">
        <v>10</v>
      </c>
      <c r="N666" s="505" t="s">
        <v>2466</v>
      </c>
    </row>
    <row r="667" spans="1:14" x14ac:dyDescent="0.25">
      <c r="A667" s="505" t="s">
        <v>2599</v>
      </c>
      <c r="B667" s="505" t="s">
        <v>2600</v>
      </c>
      <c r="C667" s="512" t="s">
        <v>7762</v>
      </c>
      <c r="D667" s="512" t="s">
        <v>8171</v>
      </c>
      <c r="E667" s="512" t="s">
        <v>8139</v>
      </c>
      <c r="F667" s="512" t="s">
        <v>8180</v>
      </c>
      <c r="G667" s="512" t="s">
        <v>8185</v>
      </c>
      <c r="H667" s="512" t="s">
        <v>8179</v>
      </c>
      <c r="I667" s="512" t="s">
        <v>8181</v>
      </c>
      <c r="L667" s="505" t="s">
        <v>2466</v>
      </c>
      <c r="M667" s="516">
        <v>181.72</v>
      </c>
      <c r="N667" s="505" t="s">
        <v>1204</v>
      </c>
    </row>
    <row r="668" spans="1:14" x14ac:dyDescent="0.25">
      <c r="A668" s="505" t="s">
        <v>2601</v>
      </c>
      <c r="B668" s="505" t="s">
        <v>2602</v>
      </c>
      <c r="C668" s="512" t="s">
        <v>7762</v>
      </c>
      <c r="D668" s="512" t="s">
        <v>8171</v>
      </c>
      <c r="E668" s="512" t="s">
        <v>8139</v>
      </c>
      <c r="F668" s="512" t="s">
        <v>8180</v>
      </c>
      <c r="G668" s="512" t="s">
        <v>7721</v>
      </c>
      <c r="H668" s="512" t="s">
        <v>8181</v>
      </c>
      <c r="L668" s="505" t="s">
        <v>2466</v>
      </c>
      <c r="M668" s="516">
        <v>181.72</v>
      </c>
      <c r="N668" s="505" t="s">
        <v>1204</v>
      </c>
    </row>
    <row r="669" spans="1:14" x14ac:dyDescent="0.25">
      <c r="A669" s="505" t="s">
        <v>2603</v>
      </c>
      <c r="B669" s="505" t="s">
        <v>2604</v>
      </c>
      <c r="C669" s="512" t="s">
        <v>7762</v>
      </c>
      <c r="D669" s="512" t="s">
        <v>8171</v>
      </c>
      <c r="E669" s="512" t="s">
        <v>8139</v>
      </c>
      <c r="F669" s="512" t="s">
        <v>8180</v>
      </c>
      <c r="G669" s="512" t="s">
        <v>7804</v>
      </c>
      <c r="H669" s="512" t="s">
        <v>8181</v>
      </c>
      <c r="L669" s="505" t="s">
        <v>2466</v>
      </c>
      <c r="M669" s="516">
        <v>181.72</v>
      </c>
      <c r="N669" s="505" t="s">
        <v>1204</v>
      </c>
    </row>
    <row r="670" spans="1:14" x14ac:dyDescent="0.25">
      <c r="A670" s="505" t="s">
        <v>2605</v>
      </c>
      <c r="B670" s="505" t="s">
        <v>2606</v>
      </c>
      <c r="C670" s="512" t="s">
        <v>7762</v>
      </c>
      <c r="D670" s="512" t="s">
        <v>8171</v>
      </c>
      <c r="E670" s="512" t="s">
        <v>8136</v>
      </c>
      <c r="F670" s="512" t="s">
        <v>8180</v>
      </c>
      <c r="G670" s="512" t="s">
        <v>7445</v>
      </c>
      <c r="H670" s="512" t="s">
        <v>7489</v>
      </c>
      <c r="I670" s="512" t="s">
        <v>8186</v>
      </c>
      <c r="L670" s="505" t="s">
        <v>2466</v>
      </c>
      <c r="M670" s="516">
        <v>181.72</v>
      </c>
      <c r="N670" s="505" t="s">
        <v>1204</v>
      </c>
    </row>
    <row r="671" spans="1:14" s="530" customFormat="1" x14ac:dyDescent="0.25">
      <c r="A671" s="530" t="s">
        <v>2607</v>
      </c>
      <c r="B671" s="530" t="s">
        <v>2608</v>
      </c>
      <c r="C671" s="531" t="s">
        <v>7762</v>
      </c>
      <c r="D671" s="531" t="s">
        <v>8174</v>
      </c>
      <c r="E671" s="531" t="s">
        <v>8136</v>
      </c>
      <c r="F671" s="531" t="s">
        <v>8180</v>
      </c>
      <c r="G671" s="531" t="s">
        <v>472</v>
      </c>
      <c r="H671" s="531" t="s">
        <v>8186</v>
      </c>
      <c r="I671" s="531"/>
      <c r="L671" s="530" t="s">
        <v>2466</v>
      </c>
      <c r="M671" s="532">
        <v>0</v>
      </c>
      <c r="N671" s="530" t="s">
        <v>1544</v>
      </c>
    </row>
    <row r="672" spans="1:14" x14ac:dyDescent="0.25">
      <c r="A672" s="505" t="s">
        <v>2609</v>
      </c>
      <c r="B672" s="505" t="s">
        <v>2610</v>
      </c>
      <c r="C672" s="512" t="s">
        <v>7762</v>
      </c>
      <c r="D672" s="512" t="s">
        <v>8174</v>
      </c>
      <c r="E672" s="512" t="s">
        <v>8136</v>
      </c>
      <c r="F672" s="512" t="s">
        <v>8180</v>
      </c>
      <c r="G672" s="512" t="s">
        <v>7496</v>
      </c>
      <c r="H672" s="512" t="s">
        <v>363</v>
      </c>
      <c r="I672" s="512" t="s">
        <v>8186</v>
      </c>
      <c r="L672" s="505" t="s">
        <v>2466</v>
      </c>
      <c r="M672" s="516">
        <v>10</v>
      </c>
      <c r="N672" s="505" t="s">
        <v>2466</v>
      </c>
    </row>
    <row r="673" spans="1:14" x14ac:dyDescent="0.25">
      <c r="A673" s="505" t="s">
        <v>2611</v>
      </c>
      <c r="B673" s="505" t="s">
        <v>2612</v>
      </c>
      <c r="C673" s="512" t="s">
        <v>7762</v>
      </c>
      <c r="D673" s="512" t="s">
        <v>8174</v>
      </c>
      <c r="E673" s="512" t="s">
        <v>8136</v>
      </c>
      <c r="F673" s="512" t="s">
        <v>8180</v>
      </c>
      <c r="G673" s="512" t="s">
        <v>474</v>
      </c>
      <c r="H673" s="512" t="s">
        <v>8186</v>
      </c>
      <c r="L673" s="505" t="s">
        <v>2466</v>
      </c>
      <c r="M673" s="516">
        <v>10</v>
      </c>
      <c r="N673" s="505" t="s">
        <v>2466</v>
      </c>
    </row>
    <row r="674" spans="1:14" x14ac:dyDescent="0.25">
      <c r="A674" s="505" t="s">
        <v>2613</v>
      </c>
      <c r="B674" s="505" t="s">
        <v>2614</v>
      </c>
      <c r="C674" s="512" t="s">
        <v>7762</v>
      </c>
      <c r="D674" s="512" t="s">
        <v>8174</v>
      </c>
      <c r="E674" s="512" t="s">
        <v>8136</v>
      </c>
      <c r="F674" s="512" t="s">
        <v>8180</v>
      </c>
      <c r="G674" s="512" t="s">
        <v>7571</v>
      </c>
      <c r="H674" s="512" t="s">
        <v>7775</v>
      </c>
      <c r="I674" s="512" t="s">
        <v>8186</v>
      </c>
      <c r="L674" s="505" t="s">
        <v>2466</v>
      </c>
      <c r="M674" s="516">
        <v>10</v>
      </c>
      <c r="N674" s="505" t="s">
        <v>2466</v>
      </c>
    </row>
    <row r="675" spans="1:14" s="530" customFormat="1" x14ac:dyDescent="0.25">
      <c r="A675" s="530" t="s">
        <v>2615</v>
      </c>
      <c r="B675" s="530" t="s">
        <v>2616</v>
      </c>
      <c r="C675" s="531" t="s">
        <v>7762</v>
      </c>
      <c r="D675" s="531" t="s">
        <v>8174</v>
      </c>
      <c r="E675" s="531" t="s">
        <v>8136</v>
      </c>
      <c r="F675" s="531" t="s">
        <v>8180</v>
      </c>
      <c r="G675" s="531" t="s">
        <v>543</v>
      </c>
      <c r="H675" s="531" t="s">
        <v>477</v>
      </c>
      <c r="I675" s="531" t="s">
        <v>8186</v>
      </c>
      <c r="L675" s="530" t="s">
        <v>2466</v>
      </c>
      <c r="M675" s="532">
        <v>0</v>
      </c>
      <c r="N675" s="530" t="s">
        <v>1544</v>
      </c>
    </row>
    <row r="676" spans="1:14" x14ac:dyDescent="0.25">
      <c r="A676" s="505" t="s">
        <v>2617</v>
      </c>
      <c r="B676" s="505" t="s">
        <v>2618</v>
      </c>
      <c r="C676" s="512" t="s">
        <v>7762</v>
      </c>
      <c r="D676" s="512" t="s">
        <v>8171</v>
      </c>
      <c r="E676" s="512" t="s">
        <v>8136</v>
      </c>
      <c r="F676" s="512" t="s">
        <v>8180</v>
      </c>
      <c r="G676" s="512" t="s">
        <v>7721</v>
      </c>
      <c r="H676" s="512" t="s">
        <v>8186</v>
      </c>
      <c r="L676" s="505" t="s">
        <v>2466</v>
      </c>
      <c r="M676" s="516">
        <v>181.72</v>
      </c>
      <c r="N676" s="505" t="s">
        <v>1204</v>
      </c>
    </row>
    <row r="677" spans="1:14" x14ac:dyDescent="0.25">
      <c r="A677" s="505" t="s">
        <v>2619</v>
      </c>
      <c r="B677" s="505" t="s">
        <v>2620</v>
      </c>
      <c r="C677" s="512" t="s">
        <v>7762</v>
      </c>
      <c r="D677" s="512" t="s">
        <v>8171</v>
      </c>
      <c r="E677" s="512" t="s">
        <v>8136</v>
      </c>
      <c r="F677" s="512" t="s">
        <v>8180</v>
      </c>
      <c r="G677" s="512" t="s">
        <v>7804</v>
      </c>
      <c r="H677" s="512" t="s">
        <v>8186</v>
      </c>
      <c r="L677" s="505" t="s">
        <v>2466</v>
      </c>
      <c r="M677" s="516">
        <v>181.72</v>
      </c>
      <c r="N677" s="505" t="s">
        <v>1204</v>
      </c>
    </row>
    <row r="678" spans="1:14" x14ac:dyDescent="0.25">
      <c r="A678" s="505" t="s">
        <v>2621</v>
      </c>
      <c r="B678" s="505" t="s">
        <v>2622</v>
      </c>
      <c r="C678" s="512" t="s">
        <v>7762</v>
      </c>
      <c r="D678" s="512" t="s">
        <v>8171</v>
      </c>
      <c r="E678" s="512" t="s">
        <v>8187</v>
      </c>
      <c r="F678" s="512" t="s">
        <v>7445</v>
      </c>
      <c r="G678" s="512" t="s">
        <v>7489</v>
      </c>
      <c r="H678" s="512" t="s">
        <v>8188</v>
      </c>
      <c r="L678" s="505" t="s">
        <v>2466</v>
      </c>
      <c r="M678" s="516">
        <v>181.72</v>
      </c>
      <c r="N678" s="505" t="s">
        <v>1204</v>
      </c>
    </row>
    <row r="679" spans="1:14" x14ac:dyDescent="0.25">
      <c r="A679" s="505" t="s">
        <v>2623</v>
      </c>
      <c r="B679" s="505" t="s">
        <v>2624</v>
      </c>
      <c r="C679" s="512" t="s">
        <v>7762</v>
      </c>
      <c r="D679" s="512" t="s">
        <v>8171</v>
      </c>
      <c r="E679" s="512" t="s">
        <v>8187</v>
      </c>
      <c r="F679" s="512" t="s">
        <v>7447</v>
      </c>
      <c r="G679" s="512" t="s">
        <v>8188</v>
      </c>
      <c r="L679" s="505" t="s">
        <v>2466</v>
      </c>
      <c r="M679" s="516">
        <v>181.72</v>
      </c>
      <c r="N679" s="505" t="s">
        <v>1204</v>
      </c>
    </row>
    <row r="680" spans="1:14" x14ac:dyDescent="0.25">
      <c r="A680" s="505" t="s">
        <v>2625</v>
      </c>
      <c r="B680" s="505" t="s">
        <v>2626</v>
      </c>
      <c r="C680" s="512" t="s">
        <v>7762</v>
      </c>
      <c r="D680" s="512" t="s">
        <v>8171</v>
      </c>
      <c r="E680" s="512" t="s">
        <v>8187</v>
      </c>
      <c r="F680" s="512" t="s">
        <v>8173</v>
      </c>
      <c r="G680" s="512" t="s">
        <v>8188</v>
      </c>
      <c r="L680" s="505" t="s">
        <v>2466</v>
      </c>
      <c r="M680" s="516">
        <v>9.2799999999999994</v>
      </c>
      <c r="N680" s="505" t="s">
        <v>2466</v>
      </c>
    </row>
    <row r="681" spans="1:14" x14ac:dyDescent="0.25">
      <c r="A681" s="505" t="s">
        <v>2627</v>
      </c>
      <c r="B681" s="505" t="s">
        <v>2628</v>
      </c>
      <c r="C681" s="512" t="s">
        <v>7762</v>
      </c>
      <c r="D681" s="512" t="s">
        <v>8171</v>
      </c>
      <c r="E681" s="512" t="s">
        <v>8187</v>
      </c>
      <c r="F681" s="512" t="s">
        <v>8183</v>
      </c>
      <c r="G681" s="512" t="s">
        <v>8188</v>
      </c>
      <c r="L681" s="505" t="s">
        <v>2466</v>
      </c>
      <c r="M681" s="516">
        <v>181.72</v>
      </c>
      <c r="N681" s="505" t="s">
        <v>1204</v>
      </c>
    </row>
    <row r="682" spans="1:14" x14ac:dyDescent="0.25">
      <c r="A682" s="505" t="s">
        <v>2629</v>
      </c>
      <c r="B682" s="505" t="s">
        <v>2630</v>
      </c>
      <c r="C682" s="512" t="s">
        <v>7762</v>
      </c>
      <c r="D682" s="512" t="s">
        <v>8171</v>
      </c>
      <c r="E682" s="512" t="s">
        <v>8187</v>
      </c>
      <c r="F682" s="512" t="s">
        <v>7489</v>
      </c>
      <c r="G682" s="512" t="s">
        <v>8188</v>
      </c>
      <c r="L682" s="505" t="s">
        <v>2466</v>
      </c>
      <c r="M682" s="516">
        <v>181.72</v>
      </c>
      <c r="N682" s="505" t="s">
        <v>1204</v>
      </c>
    </row>
    <row r="683" spans="1:14" x14ac:dyDescent="0.25">
      <c r="A683" s="505" t="s">
        <v>2631</v>
      </c>
      <c r="B683" s="505" t="s">
        <v>2632</v>
      </c>
      <c r="C683" s="512" t="s">
        <v>7762</v>
      </c>
      <c r="D683" s="512" t="s">
        <v>8171</v>
      </c>
      <c r="E683" s="512" t="s">
        <v>8187</v>
      </c>
      <c r="F683" s="512" t="s">
        <v>8176</v>
      </c>
      <c r="G683" s="512" t="s">
        <v>8188</v>
      </c>
      <c r="L683" s="505" t="s">
        <v>2466</v>
      </c>
      <c r="M683" s="516">
        <v>181.72</v>
      </c>
      <c r="N683" s="505" t="s">
        <v>1204</v>
      </c>
    </row>
    <row r="684" spans="1:14" x14ac:dyDescent="0.25">
      <c r="A684" s="505" t="s">
        <v>2633</v>
      </c>
      <c r="B684" s="505" t="s">
        <v>2634</v>
      </c>
      <c r="C684" s="512" t="s">
        <v>7762</v>
      </c>
      <c r="D684" s="512" t="s">
        <v>8171</v>
      </c>
      <c r="E684" s="512" t="s">
        <v>8187</v>
      </c>
      <c r="F684" s="512" t="s">
        <v>7440</v>
      </c>
      <c r="G684" s="512" t="s">
        <v>7441</v>
      </c>
      <c r="H684" s="512" t="s">
        <v>8188</v>
      </c>
      <c r="L684" s="505" t="s">
        <v>2466</v>
      </c>
      <c r="M684" s="516">
        <v>181.72</v>
      </c>
      <c r="N684" s="505" t="s">
        <v>1204</v>
      </c>
    </row>
    <row r="685" spans="1:14" x14ac:dyDescent="0.25">
      <c r="A685" s="505" t="s">
        <v>2635</v>
      </c>
      <c r="B685" s="505" t="s">
        <v>2636</v>
      </c>
      <c r="C685" s="512" t="s">
        <v>7762</v>
      </c>
      <c r="D685" s="512" t="s">
        <v>8171</v>
      </c>
      <c r="E685" s="512" t="s">
        <v>8187</v>
      </c>
      <c r="F685" s="512" t="s">
        <v>7889</v>
      </c>
      <c r="G685" s="512" t="s">
        <v>8188</v>
      </c>
      <c r="L685" s="505" t="s">
        <v>2466</v>
      </c>
      <c r="M685" s="516">
        <v>181.72</v>
      </c>
      <c r="N685" s="505" t="s">
        <v>1204</v>
      </c>
    </row>
    <row r="686" spans="1:14" x14ac:dyDescent="0.25">
      <c r="A686" s="505" t="s">
        <v>2637</v>
      </c>
      <c r="B686" s="505" t="s">
        <v>2638</v>
      </c>
      <c r="C686" s="512" t="s">
        <v>7762</v>
      </c>
      <c r="D686" s="512" t="s">
        <v>8171</v>
      </c>
      <c r="E686" s="512" t="s">
        <v>8187</v>
      </c>
      <c r="F686" s="512" t="s">
        <v>8189</v>
      </c>
      <c r="G686" s="512" t="s">
        <v>7881</v>
      </c>
      <c r="H686" s="512" t="s">
        <v>8188</v>
      </c>
      <c r="L686" s="505" t="s">
        <v>2466</v>
      </c>
      <c r="M686" s="516">
        <v>9.2799999999999994</v>
      </c>
      <c r="N686" s="505" t="s">
        <v>2466</v>
      </c>
    </row>
    <row r="687" spans="1:14" x14ac:dyDescent="0.25">
      <c r="A687" s="505" t="s">
        <v>2639</v>
      </c>
      <c r="B687" s="505" t="s">
        <v>2640</v>
      </c>
      <c r="C687" s="512" t="s">
        <v>7762</v>
      </c>
      <c r="D687" s="512" t="s">
        <v>8171</v>
      </c>
      <c r="E687" s="512" t="s">
        <v>8187</v>
      </c>
      <c r="F687" s="512" t="s">
        <v>7803</v>
      </c>
      <c r="G687" s="512" t="s">
        <v>8188</v>
      </c>
      <c r="L687" s="505" t="s">
        <v>2466</v>
      </c>
      <c r="M687" s="516">
        <v>181.72</v>
      </c>
      <c r="N687" s="505" t="s">
        <v>1204</v>
      </c>
    </row>
    <row r="688" spans="1:14" x14ac:dyDescent="0.25">
      <c r="A688" s="505" t="s">
        <v>2641</v>
      </c>
      <c r="B688" s="505" t="s">
        <v>2642</v>
      </c>
      <c r="C688" s="512" t="s">
        <v>7762</v>
      </c>
      <c r="D688" s="512" t="s">
        <v>8171</v>
      </c>
      <c r="E688" s="512" t="s">
        <v>8187</v>
      </c>
      <c r="F688" s="512" t="s">
        <v>8190</v>
      </c>
      <c r="G688" s="512" t="s">
        <v>8179</v>
      </c>
      <c r="H688" s="512" t="s">
        <v>8188</v>
      </c>
      <c r="L688" s="505" t="s">
        <v>2466</v>
      </c>
      <c r="M688" s="516">
        <v>181.72</v>
      </c>
      <c r="N688" s="505" t="s">
        <v>1204</v>
      </c>
    </row>
    <row r="689" spans="1:14" x14ac:dyDescent="0.25">
      <c r="A689" s="505" t="s">
        <v>2643</v>
      </c>
      <c r="B689" s="505" t="s">
        <v>2644</v>
      </c>
      <c r="C689" s="512" t="s">
        <v>7762</v>
      </c>
      <c r="D689" s="512" t="s">
        <v>8171</v>
      </c>
      <c r="E689" s="512" t="s">
        <v>8187</v>
      </c>
      <c r="F689" s="512" t="s">
        <v>7721</v>
      </c>
      <c r="G689" s="512" t="s">
        <v>8188</v>
      </c>
      <c r="L689" s="505" t="s">
        <v>2466</v>
      </c>
      <c r="M689" s="516">
        <v>181.72</v>
      </c>
      <c r="N689" s="505" t="s">
        <v>1204</v>
      </c>
    </row>
    <row r="690" spans="1:14" x14ac:dyDescent="0.25">
      <c r="A690" s="505" t="s">
        <v>2645</v>
      </c>
      <c r="B690" s="505" t="s">
        <v>2646</v>
      </c>
      <c r="C690" s="512" t="s">
        <v>7762</v>
      </c>
      <c r="D690" s="512" t="s">
        <v>8171</v>
      </c>
      <c r="E690" s="512" t="s">
        <v>8187</v>
      </c>
      <c r="F690" s="512" t="s">
        <v>7804</v>
      </c>
      <c r="G690" s="512" t="s">
        <v>8188</v>
      </c>
      <c r="L690" s="505" t="s">
        <v>2466</v>
      </c>
      <c r="M690" s="516">
        <v>181.72</v>
      </c>
      <c r="N690" s="505" t="s">
        <v>1204</v>
      </c>
    </row>
    <row r="691" spans="1:14" x14ac:dyDescent="0.25">
      <c r="A691" s="505" t="s">
        <v>2647</v>
      </c>
      <c r="B691" s="505" t="s">
        <v>2648</v>
      </c>
      <c r="C691" s="512" t="s">
        <v>8191</v>
      </c>
      <c r="D691" s="512" t="s">
        <v>8192</v>
      </c>
      <c r="E691" s="512" t="s">
        <v>8193</v>
      </c>
      <c r="F691" s="512" t="s">
        <v>8194</v>
      </c>
      <c r="G691" s="512" t="s">
        <v>8195</v>
      </c>
      <c r="L691" s="505" t="s">
        <v>1178</v>
      </c>
      <c r="M691" s="516">
        <v>31</v>
      </c>
      <c r="N691" s="505" t="s">
        <v>1178</v>
      </c>
    </row>
    <row r="692" spans="1:14" x14ac:dyDescent="0.25">
      <c r="A692" s="505" t="s">
        <v>2649</v>
      </c>
      <c r="B692" s="505" t="s">
        <v>2650</v>
      </c>
      <c r="C692" s="512" t="s">
        <v>8191</v>
      </c>
      <c r="D692" s="512" t="s">
        <v>8196</v>
      </c>
      <c r="E692" s="512" t="s">
        <v>8197</v>
      </c>
      <c r="F692" s="512" t="s">
        <v>7706</v>
      </c>
      <c r="L692" s="505" t="s">
        <v>1233</v>
      </c>
      <c r="M692" s="516">
        <v>147</v>
      </c>
      <c r="N692" s="505" t="s">
        <v>1233</v>
      </c>
    </row>
    <row r="693" spans="1:14" x14ac:dyDescent="0.25">
      <c r="A693" s="505" t="s">
        <v>2651</v>
      </c>
      <c r="B693" s="505" t="s">
        <v>2652</v>
      </c>
      <c r="C693" s="512" t="s">
        <v>8191</v>
      </c>
      <c r="D693" s="512" t="s">
        <v>8198</v>
      </c>
      <c r="E693" s="512" t="s">
        <v>8199</v>
      </c>
      <c r="F693" s="512" t="s">
        <v>8200</v>
      </c>
      <c r="L693" s="505" t="s">
        <v>1233</v>
      </c>
      <c r="M693" s="516">
        <v>181</v>
      </c>
      <c r="N693" s="505" t="s">
        <v>1233</v>
      </c>
    </row>
    <row r="694" spans="1:14" x14ac:dyDescent="0.25">
      <c r="A694" s="505" t="s">
        <v>2653</v>
      </c>
      <c r="B694" s="505" t="s">
        <v>2654</v>
      </c>
      <c r="C694" s="512" t="s">
        <v>8191</v>
      </c>
      <c r="D694" s="512" t="s">
        <v>8201</v>
      </c>
      <c r="E694" s="512" t="s">
        <v>8202</v>
      </c>
      <c r="F694" s="512" t="s">
        <v>7706</v>
      </c>
      <c r="L694" s="505" t="s">
        <v>1233</v>
      </c>
      <c r="M694" s="516">
        <v>197</v>
      </c>
      <c r="N694" s="505" t="s">
        <v>1233</v>
      </c>
    </row>
    <row r="695" spans="1:14" x14ac:dyDescent="0.25">
      <c r="A695" s="505" t="s">
        <v>2655</v>
      </c>
      <c r="B695" s="505" t="s">
        <v>2656</v>
      </c>
      <c r="C695" s="512" t="s">
        <v>8191</v>
      </c>
      <c r="D695" s="512" t="s">
        <v>8203</v>
      </c>
      <c r="E695" s="512" t="s">
        <v>8204</v>
      </c>
      <c r="L695" s="505" t="s">
        <v>1233</v>
      </c>
      <c r="M695" s="516">
        <v>119</v>
      </c>
      <c r="N695" s="505" t="s">
        <v>1233</v>
      </c>
    </row>
    <row r="696" spans="1:14" x14ac:dyDescent="0.25">
      <c r="A696" s="505" t="s">
        <v>2657</v>
      </c>
      <c r="B696" s="505" t="s">
        <v>2658</v>
      </c>
      <c r="C696" s="512" t="s">
        <v>8205</v>
      </c>
      <c r="D696" s="512" t="s">
        <v>8206</v>
      </c>
      <c r="E696" s="512" t="s">
        <v>8207</v>
      </c>
      <c r="F696" s="512" t="s">
        <v>7709</v>
      </c>
      <c r="L696" s="505" t="s">
        <v>1233</v>
      </c>
      <c r="M696" s="516">
        <v>151</v>
      </c>
      <c r="N696" s="505" t="s">
        <v>1233</v>
      </c>
    </row>
    <row r="697" spans="1:14" x14ac:dyDescent="0.25">
      <c r="A697" s="505" t="s">
        <v>2659</v>
      </c>
      <c r="B697" s="505" t="s">
        <v>2660</v>
      </c>
      <c r="C697" s="512" t="s">
        <v>8191</v>
      </c>
      <c r="D697" s="512" t="s">
        <v>8208</v>
      </c>
      <c r="E697" s="512" t="s">
        <v>8209</v>
      </c>
      <c r="F697" s="512" t="s">
        <v>7706</v>
      </c>
      <c r="L697" s="505" t="s">
        <v>1233</v>
      </c>
      <c r="M697" s="516">
        <v>61.55</v>
      </c>
      <c r="N697" s="505" t="s">
        <v>1233</v>
      </c>
    </row>
    <row r="698" spans="1:14" x14ac:dyDescent="0.25">
      <c r="A698" s="505" t="s">
        <v>2661</v>
      </c>
      <c r="B698" s="505" t="s">
        <v>2662</v>
      </c>
      <c r="C698" s="512" t="s">
        <v>8191</v>
      </c>
      <c r="D698" s="512" t="s">
        <v>8210</v>
      </c>
      <c r="E698" s="512" t="s">
        <v>8211</v>
      </c>
      <c r="F698" s="512" t="s">
        <v>117</v>
      </c>
      <c r="G698" s="512" t="s">
        <v>7738</v>
      </c>
      <c r="L698" s="505" t="s">
        <v>114</v>
      </c>
      <c r="M698" s="516">
        <v>633</v>
      </c>
      <c r="N698" s="505" t="s">
        <v>114</v>
      </c>
    </row>
    <row r="699" spans="1:14" x14ac:dyDescent="0.25">
      <c r="A699" s="505" t="s">
        <v>2663</v>
      </c>
      <c r="B699" s="505" t="s">
        <v>2664</v>
      </c>
      <c r="C699" s="512" t="s">
        <v>8191</v>
      </c>
      <c r="D699" s="512" t="s">
        <v>8212</v>
      </c>
      <c r="E699" s="512" t="s">
        <v>8213</v>
      </c>
      <c r="F699" s="512" t="s">
        <v>8214</v>
      </c>
      <c r="G699" s="512" t="s">
        <v>8215</v>
      </c>
      <c r="L699" s="505" t="s">
        <v>114</v>
      </c>
      <c r="M699" s="516">
        <v>633</v>
      </c>
      <c r="N699" s="505" t="s">
        <v>114</v>
      </c>
    </row>
    <row r="700" spans="1:14" x14ac:dyDescent="0.25">
      <c r="A700" s="505" t="s">
        <v>2665</v>
      </c>
      <c r="B700" s="505" t="s">
        <v>2666</v>
      </c>
      <c r="C700" s="512" t="s">
        <v>8191</v>
      </c>
      <c r="D700" s="512" t="s">
        <v>8216</v>
      </c>
      <c r="E700" s="512" t="s">
        <v>8217</v>
      </c>
      <c r="F700" s="512" t="s">
        <v>7738</v>
      </c>
      <c r="L700" s="505" t="s">
        <v>1233</v>
      </c>
      <c r="M700" s="516">
        <v>147</v>
      </c>
      <c r="N700" s="505" t="s">
        <v>1233</v>
      </c>
    </row>
    <row r="701" spans="1:14" x14ac:dyDescent="0.25">
      <c r="A701" s="505" t="s">
        <v>2667</v>
      </c>
      <c r="B701" s="505" t="s">
        <v>2668</v>
      </c>
      <c r="C701" s="512" t="s">
        <v>8191</v>
      </c>
      <c r="D701" s="512" t="s">
        <v>8218</v>
      </c>
      <c r="E701" s="512" t="s">
        <v>8219</v>
      </c>
      <c r="F701" s="512" t="s">
        <v>8220</v>
      </c>
      <c r="L701" s="505" t="s">
        <v>114</v>
      </c>
      <c r="M701" s="516">
        <v>246</v>
      </c>
      <c r="N701" s="505" t="s">
        <v>114</v>
      </c>
    </row>
    <row r="702" spans="1:14" x14ac:dyDescent="0.25">
      <c r="A702" s="505" t="s">
        <v>2669</v>
      </c>
      <c r="B702" s="505" t="s">
        <v>2670</v>
      </c>
      <c r="C702" s="512" t="s">
        <v>8191</v>
      </c>
      <c r="D702" s="512" t="s">
        <v>8221</v>
      </c>
      <c r="E702" s="512" t="s">
        <v>8219</v>
      </c>
      <c r="F702" s="512" t="s">
        <v>8222</v>
      </c>
      <c r="L702" s="505" t="s">
        <v>114</v>
      </c>
      <c r="M702" s="516">
        <v>274</v>
      </c>
      <c r="N702" s="505" t="s">
        <v>114</v>
      </c>
    </row>
    <row r="703" spans="1:14" x14ac:dyDescent="0.25">
      <c r="A703" s="505" t="s">
        <v>2671</v>
      </c>
      <c r="B703" s="505" t="s">
        <v>2672</v>
      </c>
      <c r="C703" s="512" t="s">
        <v>8205</v>
      </c>
      <c r="D703" s="512" t="s">
        <v>8223</v>
      </c>
      <c r="E703" s="512" t="s">
        <v>8224</v>
      </c>
      <c r="F703" s="512" t="s">
        <v>8225</v>
      </c>
      <c r="L703" s="505" t="s">
        <v>114</v>
      </c>
      <c r="M703" s="516">
        <v>268</v>
      </c>
      <c r="N703" s="505" t="s">
        <v>114</v>
      </c>
    </row>
    <row r="704" spans="1:14" x14ac:dyDescent="0.25">
      <c r="A704" s="505" t="s">
        <v>2673</v>
      </c>
      <c r="B704" s="505" t="s">
        <v>2674</v>
      </c>
      <c r="C704" s="512" t="s">
        <v>8191</v>
      </c>
      <c r="D704" s="512" t="s">
        <v>8226</v>
      </c>
      <c r="E704" s="512" t="s">
        <v>8219</v>
      </c>
      <c r="F704" s="512" t="s">
        <v>8222</v>
      </c>
      <c r="L704" s="505" t="s">
        <v>114</v>
      </c>
      <c r="M704" s="516">
        <v>515</v>
      </c>
      <c r="N704" s="505" t="s">
        <v>114</v>
      </c>
    </row>
    <row r="705" spans="1:14" x14ac:dyDescent="0.25">
      <c r="A705" s="505" t="s">
        <v>2675</v>
      </c>
      <c r="B705" s="505" t="s">
        <v>2676</v>
      </c>
      <c r="C705" s="512" t="s">
        <v>8205</v>
      </c>
      <c r="D705" s="512" t="s">
        <v>8227</v>
      </c>
      <c r="E705" s="512" t="s">
        <v>8224</v>
      </c>
      <c r="F705" s="512" t="s">
        <v>8225</v>
      </c>
      <c r="L705" s="505" t="s">
        <v>114</v>
      </c>
      <c r="M705" s="516">
        <v>749</v>
      </c>
      <c r="N705" s="505" t="s">
        <v>114</v>
      </c>
    </row>
    <row r="706" spans="1:14" x14ac:dyDescent="0.25">
      <c r="A706" s="505" t="s">
        <v>2677</v>
      </c>
      <c r="B706" s="505" t="s">
        <v>2678</v>
      </c>
      <c r="C706" s="512" t="s">
        <v>8191</v>
      </c>
      <c r="D706" s="512" t="s">
        <v>8228</v>
      </c>
      <c r="E706" s="512" t="s">
        <v>8219</v>
      </c>
      <c r="F706" s="512" t="s">
        <v>8222</v>
      </c>
      <c r="L706" s="505" t="s">
        <v>114</v>
      </c>
      <c r="M706" s="516">
        <v>476</v>
      </c>
      <c r="N706" s="505" t="s">
        <v>114</v>
      </c>
    </row>
    <row r="707" spans="1:14" x14ac:dyDescent="0.25">
      <c r="A707" s="505" t="s">
        <v>2679</v>
      </c>
      <c r="B707" s="505" t="s">
        <v>2680</v>
      </c>
      <c r="C707" s="512" t="s">
        <v>8205</v>
      </c>
      <c r="D707" s="512" t="s">
        <v>8229</v>
      </c>
      <c r="E707" s="512" t="s">
        <v>8224</v>
      </c>
      <c r="F707" s="512" t="s">
        <v>8225</v>
      </c>
      <c r="L707" s="505" t="s">
        <v>114</v>
      </c>
      <c r="M707" s="516">
        <v>448</v>
      </c>
      <c r="N707" s="505" t="s">
        <v>114</v>
      </c>
    </row>
    <row r="708" spans="1:14" x14ac:dyDescent="0.25">
      <c r="A708" s="505" t="s">
        <v>2681</v>
      </c>
      <c r="B708" s="505" t="s">
        <v>2682</v>
      </c>
      <c r="C708" s="512" t="s">
        <v>8205</v>
      </c>
      <c r="D708" s="512" t="s">
        <v>8230</v>
      </c>
      <c r="E708" s="512" t="s">
        <v>8224</v>
      </c>
      <c r="F708" s="512" t="s">
        <v>8225</v>
      </c>
      <c r="L708" s="505" t="s">
        <v>114</v>
      </c>
      <c r="M708" s="516">
        <v>560</v>
      </c>
      <c r="N708" s="505" t="s">
        <v>114</v>
      </c>
    </row>
    <row r="709" spans="1:14" x14ac:dyDescent="0.25">
      <c r="A709" s="505" t="s">
        <v>2683</v>
      </c>
      <c r="B709" s="505" t="s">
        <v>2684</v>
      </c>
      <c r="C709" s="512" t="s">
        <v>8191</v>
      </c>
      <c r="D709" s="512" t="s">
        <v>8231</v>
      </c>
      <c r="E709" s="512" t="s">
        <v>8232</v>
      </c>
      <c r="F709" s="512" t="s">
        <v>8219</v>
      </c>
      <c r="G709" s="512" t="s">
        <v>8222</v>
      </c>
      <c r="L709" s="505" t="s">
        <v>114</v>
      </c>
      <c r="M709" s="516">
        <v>411</v>
      </c>
      <c r="N709" s="505" t="s">
        <v>114</v>
      </c>
    </row>
    <row r="710" spans="1:14" x14ac:dyDescent="0.25">
      <c r="A710" s="505" t="s">
        <v>2685</v>
      </c>
      <c r="B710" s="505" t="s">
        <v>2686</v>
      </c>
      <c r="C710" s="512" t="s">
        <v>8191</v>
      </c>
      <c r="D710" s="512" t="s">
        <v>8233</v>
      </c>
      <c r="E710" s="512" t="s">
        <v>8232</v>
      </c>
      <c r="F710" s="512" t="s">
        <v>8219</v>
      </c>
      <c r="G710" s="512" t="s">
        <v>8222</v>
      </c>
      <c r="L710" s="505" t="s">
        <v>114</v>
      </c>
      <c r="M710" s="516">
        <v>482</v>
      </c>
      <c r="N710" s="505" t="s">
        <v>114</v>
      </c>
    </row>
    <row r="711" spans="1:14" x14ac:dyDescent="0.25">
      <c r="A711" s="505" t="s">
        <v>2687</v>
      </c>
      <c r="B711" s="505" t="s">
        <v>2688</v>
      </c>
      <c r="C711" s="512" t="s">
        <v>8205</v>
      </c>
      <c r="D711" s="512" t="s">
        <v>8234</v>
      </c>
      <c r="E711" s="512" t="s">
        <v>8232</v>
      </c>
      <c r="F711" s="512" t="s">
        <v>8224</v>
      </c>
      <c r="G711" s="512" t="s">
        <v>8225</v>
      </c>
      <c r="L711" s="505" t="s">
        <v>114</v>
      </c>
      <c r="M711" s="516">
        <v>500</v>
      </c>
      <c r="N711" s="505" t="s">
        <v>114</v>
      </c>
    </row>
    <row r="712" spans="1:14" x14ac:dyDescent="0.25">
      <c r="A712" s="505" t="s">
        <v>2689</v>
      </c>
      <c r="B712" s="505" t="s">
        <v>2690</v>
      </c>
      <c r="C712" s="512" t="s">
        <v>8191</v>
      </c>
      <c r="D712" s="512" t="s">
        <v>8235</v>
      </c>
      <c r="E712" s="512" t="s">
        <v>8232</v>
      </c>
      <c r="F712" s="512" t="s">
        <v>8219</v>
      </c>
      <c r="G712" s="512" t="s">
        <v>8222</v>
      </c>
      <c r="L712" s="505" t="s">
        <v>114</v>
      </c>
      <c r="M712" s="516">
        <v>572</v>
      </c>
      <c r="N712" s="505" t="s">
        <v>114</v>
      </c>
    </row>
    <row r="713" spans="1:14" x14ac:dyDescent="0.25">
      <c r="A713" s="505" t="s">
        <v>2691</v>
      </c>
      <c r="B713" s="505" t="s">
        <v>2692</v>
      </c>
      <c r="C713" s="512" t="s">
        <v>8191</v>
      </c>
      <c r="D713" s="512" t="s">
        <v>8236</v>
      </c>
      <c r="E713" s="512" t="s">
        <v>8232</v>
      </c>
      <c r="F713" s="512" t="s">
        <v>8219</v>
      </c>
      <c r="G713" s="512" t="s">
        <v>8222</v>
      </c>
      <c r="L713" s="505" t="s">
        <v>114</v>
      </c>
      <c r="M713" s="516">
        <v>632</v>
      </c>
      <c r="N713" s="505" t="s">
        <v>114</v>
      </c>
    </row>
    <row r="714" spans="1:14" x14ac:dyDescent="0.25">
      <c r="A714" s="505" t="s">
        <v>2693</v>
      </c>
      <c r="B714" s="505" t="s">
        <v>2694</v>
      </c>
      <c r="C714" s="512" t="s">
        <v>8191</v>
      </c>
      <c r="D714" s="512" t="s">
        <v>8237</v>
      </c>
      <c r="E714" s="512" t="s">
        <v>8232</v>
      </c>
      <c r="F714" s="512" t="s">
        <v>8219</v>
      </c>
      <c r="G714" s="512" t="s">
        <v>8222</v>
      </c>
      <c r="L714" s="505" t="s">
        <v>114</v>
      </c>
      <c r="M714" s="516">
        <v>675</v>
      </c>
      <c r="N714" s="505" t="s">
        <v>114</v>
      </c>
    </row>
    <row r="715" spans="1:14" x14ac:dyDescent="0.25">
      <c r="A715" s="505" t="s">
        <v>2695</v>
      </c>
      <c r="B715" s="505" t="s">
        <v>2696</v>
      </c>
      <c r="C715" s="512" t="s">
        <v>8205</v>
      </c>
      <c r="D715" s="512" t="s">
        <v>8238</v>
      </c>
      <c r="E715" s="512" t="s">
        <v>8232</v>
      </c>
      <c r="F715" s="512" t="s">
        <v>8224</v>
      </c>
      <c r="G715" s="512" t="s">
        <v>8225</v>
      </c>
      <c r="L715" s="505" t="s">
        <v>114</v>
      </c>
      <c r="M715" s="516">
        <v>731</v>
      </c>
      <c r="N715" s="505" t="s">
        <v>114</v>
      </c>
    </row>
    <row r="716" spans="1:14" x14ac:dyDescent="0.25">
      <c r="A716" s="505" t="s">
        <v>2697</v>
      </c>
      <c r="B716" s="505" t="s">
        <v>2698</v>
      </c>
      <c r="C716" s="512" t="s">
        <v>8191</v>
      </c>
      <c r="D716" s="512" t="s">
        <v>8239</v>
      </c>
      <c r="E716" s="512" t="s">
        <v>1098</v>
      </c>
      <c r="F716" s="512" t="s">
        <v>8222</v>
      </c>
      <c r="L716" s="505" t="s">
        <v>114</v>
      </c>
      <c r="M716" s="516">
        <v>954</v>
      </c>
      <c r="N716" s="505" t="s">
        <v>114</v>
      </c>
    </row>
    <row r="717" spans="1:14" x14ac:dyDescent="0.25">
      <c r="A717" s="505" t="s">
        <v>2699</v>
      </c>
      <c r="B717" s="505" t="s">
        <v>2700</v>
      </c>
      <c r="C717" s="512" t="s">
        <v>8191</v>
      </c>
      <c r="D717" s="512" t="s">
        <v>8240</v>
      </c>
      <c r="E717" s="512" t="s">
        <v>8232</v>
      </c>
      <c r="F717" s="512" t="s">
        <v>1098</v>
      </c>
      <c r="G717" s="512" t="s">
        <v>8222</v>
      </c>
      <c r="L717" s="505" t="s">
        <v>114</v>
      </c>
      <c r="M717" s="516">
        <v>1344</v>
      </c>
      <c r="N717" s="505" t="s">
        <v>114</v>
      </c>
    </row>
    <row r="718" spans="1:14" x14ac:dyDescent="0.25">
      <c r="A718" s="505" t="s">
        <v>2701</v>
      </c>
      <c r="B718" s="505" t="s">
        <v>2702</v>
      </c>
      <c r="C718" s="512" t="s">
        <v>8191</v>
      </c>
      <c r="D718" s="512" t="s">
        <v>8241</v>
      </c>
      <c r="E718" s="512" t="s">
        <v>8242</v>
      </c>
      <c r="F718" s="512" t="s">
        <v>7706</v>
      </c>
      <c r="L718" s="505" t="s">
        <v>1233</v>
      </c>
      <c r="M718" s="516">
        <v>147</v>
      </c>
      <c r="N718" s="505" t="s">
        <v>1233</v>
      </c>
    </row>
    <row r="719" spans="1:14" x14ac:dyDescent="0.25">
      <c r="A719" s="505" t="s">
        <v>2703</v>
      </c>
      <c r="B719" s="505" t="s">
        <v>2704</v>
      </c>
      <c r="C719" s="512" t="s">
        <v>8205</v>
      </c>
      <c r="D719" s="512" t="s">
        <v>8243</v>
      </c>
      <c r="E719" s="512" t="s">
        <v>8244</v>
      </c>
      <c r="F719" s="512" t="s">
        <v>8245</v>
      </c>
      <c r="L719" s="505" t="s">
        <v>114</v>
      </c>
      <c r="M719" s="516">
        <v>260.5</v>
      </c>
      <c r="N719" s="505" t="s">
        <v>114</v>
      </c>
    </row>
    <row r="720" spans="1:14" x14ac:dyDescent="0.25">
      <c r="A720" s="505" t="s">
        <v>2705</v>
      </c>
      <c r="B720" s="505" t="s">
        <v>2706</v>
      </c>
      <c r="C720" s="512" t="s">
        <v>8191</v>
      </c>
      <c r="D720" s="512" t="s">
        <v>8246</v>
      </c>
      <c r="E720" s="512" t="s">
        <v>8247</v>
      </c>
      <c r="F720" s="512" t="s">
        <v>7738</v>
      </c>
      <c r="L720" s="505" t="s">
        <v>1233</v>
      </c>
      <c r="M720" s="516">
        <v>145</v>
      </c>
      <c r="N720" s="505" t="s">
        <v>1233</v>
      </c>
    </row>
    <row r="721" spans="1:14" x14ac:dyDescent="0.25">
      <c r="A721" s="505" t="s">
        <v>2707</v>
      </c>
      <c r="B721" s="505" t="s">
        <v>2708</v>
      </c>
      <c r="C721" s="512" t="s">
        <v>8191</v>
      </c>
      <c r="D721" s="512" t="s">
        <v>8248</v>
      </c>
      <c r="E721" s="512" t="s">
        <v>8247</v>
      </c>
      <c r="F721" s="512" t="s">
        <v>7738</v>
      </c>
      <c r="L721" s="505" t="s">
        <v>1233</v>
      </c>
      <c r="M721" s="516">
        <v>123</v>
      </c>
      <c r="N721" s="505" t="s">
        <v>1233</v>
      </c>
    </row>
    <row r="722" spans="1:14" x14ac:dyDescent="0.25">
      <c r="A722" s="505" t="s">
        <v>2709</v>
      </c>
      <c r="B722" s="505" t="s">
        <v>2710</v>
      </c>
      <c r="C722" s="512" t="s">
        <v>8191</v>
      </c>
      <c r="D722" s="512" t="s">
        <v>8249</v>
      </c>
      <c r="E722" s="512" t="s">
        <v>8247</v>
      </c>
      <c r="F722" s="512" t="s">
        <v>7738</v>
      </c>
      <c r="L722" s="505" t="s">
        <v>1233</v>
      </c>
      <c r="M722" s="516">
        <v>145</v>
      </c>
      <c r="N722" s="505" t="s">
        <v>1233</v>
      </c>
    </row>
    <row r="723" spans="1:14" x14ac:dyDescent="0.25">
      <c r="A723" s="505" t="s">
        <v>2711</v>
      </c>
      <c r="B723" s="505" t="s">
        <v>2712</v>
      </c>
      <c r="C723" s="512" t="s">
        <v>8191</v>
      </c>
      <c r="D723" s="512" t="s">
        <v>8250</v>
      </c>
      <c r="E723" s="512" t="s">
        <v>8219</v>
      </c>
      <c r="F723" s="512" t="s">
        <v>8222</v>
      </c>
      <c r="L723" s="505" t="s">
        <v>114</v>
      </c>
      <c r="M723" s="516">
        <v>267</v>
      </c>
      <c r="N723" s="505" t="s">
        <v>114</v>
      </c>
    </row>
    <row r="724" spans="1:14" x14ac:dyDescent="0.25">
      <c r="A724" s="505" t="s">
        <v>2713</v>
      </c>
      <c r="B724" s="505" t="s">
        <v>2714</v>
      </c>
      <c r="C724" s="512" t="s">
        <v>8205</v>
      </c>
      <c r="D724" s="512" t="s">
        <v>8251</v>
      </c>
      <c r="E724" s="512" t="s">
        <v>8252</v>
      </c>
      <c r="L724" s="505" t="s">
        <v>1233</v>
      </c>
      <c r="M724" s="516">
        <v>119</v>
      </c>
      <c r="N724" s="505" t="s">
        <v>1233</v>
      </c>
    </row>
    <row r="725" spans="1:14" x14ac:dyDescent="0.25">
      <c r="A725" s="505" t="s">
        <v>2715</v>
      </c>
      <c r="B725" s="505" t="s">
        <v>2716</v>
      </c>
      <c r="C725" s="512" t="s">
        <v>8191</v>
      </c>
      <c r="D725" s="512" t="s">
        <v>8253</v>
      </c>
      <c r="E725" s="512" t="s">
        <v>7706</v>
      </c>
      <c r="L725" s="505" t="s">
        <v>1233</v>
      </c>
      <c r="M725" s="516">
        <v>181</v>
      </c>
      <c r="N725" s="505" t="s">
        <v>1233</v>
      </c>
    </row>
    <row r="726" spans="1:14" x14ac:dyDescent="0.25">
      <c r="A726" s="505" t="s">
        <v>2717</v>
      </c>
      <c r="B726" s="505" t="s">
        <v>2718</v>
      </c>
      <c r="C726" s="512" t="s">
        <v>8191</v>
      </c>
      <c r="D726" s="512" t="s">
        <v>8254</v>
      </c>
      <c r="E726" s="512" t="s">
        <v>8255</v>
      </c>
      <c r="F726" s="512" t="s">
        <v>8256</v>
      </c>
      <c r="L726" s="505" t="s">
        <v>114</v>
      </c>
      <c r="M726" s="516">
        <v>2874</v>
      </c>
      <c r="N726" s="505" t="s">
        <v>114</v>
      </c>
    </row>
    <row r="727" spans="1:14" x14ac:dyDescent="0.25">
      <c r="A727" s="505" t="s">
        <v>2719</v>
      </c>
      <c r="B727" s="505" t="s">
        <v>2720</v>
      </c>
      <c r="C727" s="512" t="s">
        <v>8205</v>
      </c>
      <c r="D727" s="512" t="s">
        <v>8257</v>
      </c>
      <c r="E727" s="512" t="s">
        <v>8258</v>
      </c>
      <c r="F727" s="512" t="s">
        <v>8053</v>
      </c>
      <c r="L727" s="505" t="s">
        <v>114</v>
      </c>
      <c r="M727" s="516">
        <v>2815</v>
      </c>
      <c r="N727" s="505" t="s">
        <v>114</v>
      </c>
    </row>
    <row r="728" spans="1:14" x14ac:dyDescent="0.25">
      <c r="A728" s="505" t="s">
        <v>2721</v>
      </c>
      <c r="B728" s="505" t="s">
        <v>2722</v>
      </c>
      <c r="C728" s="512" t="s">
        <v>8205</v>
      </c>
      <c r="D728" s="512" t="s">
        <v>8259</v>
      </c>
      <c r="E728" s="512" t="s">
        <v>7784</v>
      </c>
      <c r="F728" s="512" t="s">
        <v>8260</v>
      </c>
      <c r="L728" s="505" t="s">
        <v>1233</v>
      </c>
      <c r="M728" s="516">
        <v>356</v>
      </c>
      <c r="N728" s="505" t="s">
        <v>1233</v>
      </c>
    </row>
    <row r="729" spans="1:14" x14ac:dyDescent="0.25">
      <c r="A729" s="505" t="s">
        <v>2723</v>
      </c>
      <c r="B729" s="505" t="s">
        <v>2724</v>
      </c>
      <c r="C729" s="512" t="s">
        <v>8191</v>
      </c>
      <c r="D729" s="512" t="s">
        <v>8261</v>
      </c>
      <c r="E729" s="512" t="s">
        <v>7784</v>
      </c>
      <c r="F729" s="512" t="s">
        <v>8211</v>
      </c>
      <c r="G729" s="512" t="s">
        <v>8262</v>
      </c>
      <c r="L729" s="505" t="s">
        <v>1233</v>
      </c>
      <c r="M729" s="516">
        <v>633</v>
      </c>
      <c r="N729" s="505" t="s">
        <v>1233</v>
      </c>
    </row>
    <row r="730" spans="1:14" x14ac:dyDescent="0.25">
      <c r="A730" s="505" t="s">
        <v>2725</v>
      </c>
      <c r="B730" s="505" t="s">
        <v>2726</v>
      </c>
      <c r="C730" s="512" t="s">
        <v>8191</v>
      </c>
      <c r="D730" s="512" t="s">
        <v>8263</v>
      </c>
      <c r="E730" s="512" t="s">
        <v>8264</v>
      </c>
      <c r="L730" s="505" t="s">
        <v>114</v>
      </c>
      <c r="M730" s="516">
        <v>780</v>
      </c>
      <c r="N730" s="505" t="s">
        <v>114</v>
      </c>
    </row>
    <row r="731" spans="1:14" x14ac:dyDescent="0.25">
      <c r="A731" s="505" t="s">
        <v>2727</v>
      </c>
      <c r="B731" s="505" t="s">
        <v>2728</v>
      </c>
      <c r="C731" s="512" t="s">
        <v>8205</v>
      </c>
      <c r="D731" s="512" t="s">
        <v>8265</v>
      </c>
      <c r="E731" s="512" t="s">
        <v>8266</v>
      </c>
      <c r="L731" s="505" t="s">
        <v>114</v>
      </c>
      <c r="M731" s="516">
        <v>437</v>
      </c>
      <c r="N731" s="505" t="s">
        <v>114</v>
      </c>
    </row>
    <row r="732" spans="1:14" x14ac:dyDescent="0.25">
      <c r="A732" s="505" t="s">
        <v>2729</v>
      </c>
      <c r="B732" s="505" t="s">
        <v>2730</v>
      </c>
      <c r="C732" s="512" t="s">
        <v>8191</v>
      </c>
      <c r="D732" s="512" t="s">
        <v>8267</v>
      </c>
      <c r="E732" s="512" t="s">
        <v>8268</v>
      </c>
      <c r="L732" s="505" t="s">
        <v>114</v>
      </c>
      <c r="M732" s="516">
        <v>925</v>
      </c>
      <c r="N732" s="505" t="s">
        <v>114</v>
      </c>
    </row>
    <row r="733" spans="1:14" x14ac:dyDescent="0.25">
      <c r="A733" s="505" t="s">
        <v>2731</v>
      </c>
      <c r="B733" s="505" t="s">
        <v>2732</v>
      </c>
      <c r="C733" s="512" t="s">
        <v>8191</v>
      </c>
      <c r="D733" s="512" t="s">
        <v>8269</v>
      </c>
      <c r="E733" s="512" t="s">
        <v>8270</v>
      </c>
      <c r="F733" s="512" t="s">
        <v>8271</v>
      </c>
      <c r="L733" s="505" t="s">
        <v>114</v>
      </c>
      <c r="M733" s="516">
        <v>614</v>
      </c>
      <c r="N733" s="505" t="s">
        <v>114</v>
      </c>
    </row>
    <row r="734" spans="1:14" x14ac:dyDescent="0.25">
      <c r="A734" s="505" t="s">
        <v>2733</v>
      </c>
      <c r="B734" s="505" t="s">
        <v>2734</v>
      </c>
      <c r="C734" s="512" t="s">
        <v>8205</v>
      </c>
      <c r="D734" s="512" t="s">
        <v>8272</v>
      </c>
      <c r="E734" s="512" t="s">
        <v>8273</v>
      </c>
      <c r="F734" s="512" t="s">
        <v>8274</v>
      </c>
      <c r="G734" s="512" t="s">
        <v>8275</v>
      </c>
      <c r="L734" s="505" t="s">
        <v>114</v>
      </c>
      <c r="M734" s="516">
        <v>412</v>
      </c>
      <c r="N734" s="505" t="s">
        <v>114</v>
      </c>
    </row>
    <row r="735" spans="1:14" x14ac:dyDescent="0.25">
      <c r="A735" s="505" t="s">
        <v>2735</v>
      </c>
      <c r="B735" s="505" t="s">
        <v>2736</v>
      </c>
      <c r="C735" s="512" t="s">
        <v>8191</v>
      </c>
      <c r="D735" s="512" t="s">
        <v>8276</v>
      </c>
      <c r="E735" s="512" t="s">
        <v>8277</v>
      </c>
      <c r="F735" s="512" t="s">
        <v>8278</v>
      </c>
      <c r="G735" s="512" t="s">
        <v>7504</v>
      </c>
      <c r="L735" s="505" t="s">
        <v>2737</v>
      </c>
      <c r="M735" s="516">
        <v>66</v>
      </c>
      <c r="N735" s="505" t="s">
        <v>2737</v>
      </c>
    </row>
    <row r="736" spans="1:14" x14ac:dyDescent="0.25">
      <c r="A736" s="505" t="s">
        <v>2738</v>
      </c>
      <c r="B736" s="505" t="s">
        <v>2739</v>
      </c>
      <c r="C736" s="512" t="s">
        <v>8191</v>
      </c>
      <c r="D736" s="512" t="s">
        <v>8279</v>
      </c>
      <c r="E736" s="512" t="s">
        <v>8280</v>
      </c>
      <c r="F736" s="512" t="s">
        <v>8281</v>
      </c>
      <c r="G736" s="512" t="s">
        <v>8194</v>
      </c>
      <c r="L736" s="505" t="s">
        <v>1233</v>
      </c>
      <c r="M736" s="516">
        <v>526</v>
      </c>
      <c r="N736" s="505" t="s">
        <v>1233</v>
      </c>
    </row>
    <row r="737" spans="1:14" x14ac:dyDescent="0.25">
      <c r="A737" s="505" t="s">
        <v>2740</v>
      </c>
      <c r="B737" s="505" t="s">
        <v>2741</v>
      </c>
      <c r="C737" s="512" t="s">
        <v>8191</v>
      </c>
      <c r="D737" s="512" t="s">
        <v>8282</v>
      </c>
      <c r="E737" s="512" t="s">
        <v>8232</v>
      </c>
      <c r="F737" s="512" t="s">
        <v>8219</v>
      </c>
      <c r="G737" s="512" t="s">
        <v>8283</v>
      </c>
      <c r="L737" s="505" t="s">
        <v>114</v>
      </c>
      <c r="M737" s="516">
        <v>905</v>
      </c>
      <c r="N737" s="505" t="s">
        <v>114</v>
      </c>
    </row>
    <row r="738" spans="1:14" x14ac:dyDescent="0.25">
      <c r="A738" s="505" t="s">
        <v>2742</v>
      </c>
      <c r="B738" s="505" t="s">
        <v>2743</v>
      </c>
      <c r="C738" s="512" t="s">
        <v>8191</v>
      </c>
      <c r="D738" s="512" t="s">
        <v>8284</v>
      </c>
      <c r="E738" s="512" t="s">
        <v>8194</v>
      </c>
      <c r="L738" s="505" t="s">
        <v>1233</v>
      </c>
      <c r="M738" s="516">
        <v>2002</v>
      </c>
      <c r="N738" s="505" t="s">
        <v>1233</v>
      </c>
    </row>
    <row r="739" spans="1:14" x14ac:dyDescent="0.25">
      <c r="A739" s="505" t="s">
        <v>2744</v>
      </c>
      <c r="B739" s="505" t="s">
        <v>2745</v>
      </c>
      <c r="C739" s="512" t="s">
        <v>8191</v>
      </c>
      <c r="D739" s="512" t="s">
        <v>8285</v>
      </c>
      <c r="E739" s="512" t="s">
        <v>8194</v>
      </c>
      <c r="L739" s="505" t="s">
        <v>114</v>
      </c>
      <c r="M739" s="516">
        <v>2151</v>
      </c>
      <c r="N739" s="505" t="s">
        <v>114</v>
      </c>
    </row>
    <row r="740" spans="1:14" x14ac:dyDescent="0.25">
      <c r="A740" s="505" t="s">
        <v>2746</v>
      </c>
      <c r="B740" s="505" t="s">
        <v>2747</v>
      </c>
      <c r="C740" s="512" t="s">
        <v>8191</v>
      </c>
      <c r="D740" s="512" t="s">
        <v>8286</v>
      </c>
      <c r="E740" s="512" t="s">
        <v>8287</v>
      </c>
      <c r="F740" s="512" t="s">
        <v>8288</v>
      </c>
      <c r="L740" s="505" t="s">
        <v>114</v>
      </c>
      <c r="M740" s="516">
        <v>521</v>
      </c>
      <c r="N740" s="505" t="s">
        <v>114</v>
      </c>
    </row>
    <row r="741" spans="1:14" x14ac:dyDescent="0.25">
      <c r="A741" s="505" t="s">
        <v>2748</v>
      </c>
      <c r="B741" s="505" t="s">
        <v>2749</v>
      </c>
      <c r="C741" s="512" t="s">
        <v>8205</v>
      </c>
      <c r="D741" s="512" t="s">
        <v>8289</v>
      </c>
      <c r="E741" s="512" t="s">
        <v>8255</v>
      </c>
      <c r="F741" s="512" t="s">
        <v>511</v>
      </c>
      <c r="L741" s="505" t="s">
        <v>114</v>
      </c>
      <c r="M741" s="516">
        <v>521</v>
      </c>
      <c r="N741" s="505" t="s">
        <v>114</v>
      </c>
    </row>
    <row r="742" spans="1:14" x14ac:dyDescent="0.25">
      <c r="A742" s="505" t="s">
        <v>2750</v>
      </c>
      <c r="B742" s="505" t="s">
        <v>2751</v>
      </c>
      <c r="C742" s="512" t="s">
        <v>8205</v>
      </c>
      <c r="D742" s="512" t="s">
        <v>8290</v>
      </c>
      <c r="E742" s="512" t="s">
        <v>7854</v>
      </c>
      <c r="F742" s="512" t="s">
        <v>8291</v>
      </c>
      <c r="G742" s="512" t="s">
        <v>8292</v>
      </c>
      <c r="L742" s="505" t="s">
        <v>114</v>
      </c>
      <c r="M742" s="516">
        <v>482</v>
      </c>
      <c r="N742" s="505" t="s">
        <v>114</v>
      </c>
    </row>
    <row r="743" spans="1:14" x14ac:dyDescent="0.25">
      <c r="A743" s="505" t="s">
        <v>2752</v>
      </c>
      <c r="B743" s="505" t="s">
        <v>2753</v>
      </c>
      <c r="C743" s="512" t="s">
        <v>8293</v>
      </c>
      <c r="D743" s="512" t="s">
        <v>8294</v>
      </c>
      <c r="E743" s="512" t="s">
        <v>8295</v>
      </c>
      <c r="F743" s="512" t="s">
        <v>8296</v>
      </c>
      <c r="G743" s="512" t="s">
        <v>8297</v>
      </c>
      <c r="H743" s="512" t="s">
        <v>8298</v>
      </c>
      <c r="L743" s="505" t="s">
        <v>2466</v>
      </c>
      <c r="M743" s="516">
        <v>20.95</v>
      </c>
      <c r="N743" s="505" t="s">
        <v>180</v>
      </c>
    </row>
    <row r="744" spans="1:14" x14ac:dyDescent="0.25">
      <c r="A744" s="505" t="s">
        <v>2754</v>
      </c>
      <c r="B744" s="505" t="s">
        <v>2755</v>
      </c>
      <c r="C744" s="512" t="s">
        <v>7762</v>
      </c>
      <c r="D744" s="512" t="s">
        <v>8299</v>
      </c>
      <c r="E744" s="512" t="s">
        <v>8037</v>
      </c>
      <c r="F744" s="512" t="s">
        <v>7721</v>
      </c>
      <c r="G744" s="512" t="s">
        <v>8300</v>
      </c>
      <c r="L744" s="505" t="s">
        <v>2466</v>
      </c>
      <c r="M744" s="516">
        <v>14.35</v>
      </c>
      <c r="N744" s="505" t="s">
        <v>2466</v>
      </c>
    </row>
    <row r="745" spans="1:14" x14ac:dyDescent="0.25">
      <c r="A745" s="505" t="s">
        <v>2756</v>
      </c>
      <c r="B745" s="505" t="s">
        <v>2757</v>
      </c>
      <c r="C745" s="512" t="s">
        <v>7762</v>
      </c>
      <c r="D745" s="512" t="s">
        <v>8301</v>
      </c>
      <c r="E745" s="512" t="s">
        <v>8302</v>
      </c>
      <c r="F745" s="512" t="s">
        <v>8137</v>
      </c>
      <c r="G745" s="512" t="s">
        <v>7784</v>
      </c>
      <c r="H745" s="512" t="s">
        <v>7889</v>
      </c>
      <c r="I745" s="512" t="s">
        <v>8303</v>
      </c>
      <c r="L745" s="505" t="s">
        <v>2466</v>
      </c>
      <c r="M745" s="516">
        <v>12.5</v>
      </c>
      <c r="N745" s="505" t="s">
        <v>2466</v>
      </c>
    </row>
    <row r="746" spans="1:14" x14ac:dyDescent="0.25">
      <c r="A746" s="505" t="s">
        <v>2758</v>
      </c>
      <c r="B746" s="505" t="s">
        <v>2759</v>
      </c>
      <c r="C746" s="512" t="s">
        <v>7762</v>
      </c>
      <c r="D746" s="512" t="s">
        <v>8304</v>
      </c>
      <c r="E746" s="512" t="s">
        <v>8305</v>
      </c>
      <c r="F746" s="512" t="s">
        <v>7445</v>
      </c>
      <c r="G746" s="512" t="s">
        <v>7489</v>
      </c>
      <c r="H746" s="512" t="s">
        <v>8306</v>
      </c>
      <c r="L746" s="505" t="s">
        <v>2466</v>
      </c>
      <c r="M746" s="516">
        <v>130.09</v>
      </c>
      <c r="N746" s="505" t="s">
        <v>1204</v>
      </c>
    </row>
    <row r="747" spans="1:14" x14ac:dyDescent="0.25">
      <c r="A747" s="505" t="s">
        <v>2760</v>
      </c>
      <c r="B747" s="505" t="s">
        <v>2761</v>
      </c>
      <c r="C747" s="512" t="s">
        <v>7762</v>
      </c>
      <c r="D747" s="512" t="s">
        <v>8304</v>
      </c>
      <c r="E747" s="512" t="s">
        <v>8305</v>
      </c>
      <c r="F747" s="512" t="s">
        <v>7447</v>
      </c>
      <c r="G747" s="512" t="s">
        <v>8306</v>
      </c>
      <c r="L747" s="505" t="s">
        <v>2466</v>
      </c>
      <c r="M747" s="516">
        <v>130.09</v>
      </c>
      <c r="N747" s="505" t="s">
        <v>1204</v>
      </c>
    </row>
    <row r="748" spans="1:14" x14ac:dyDescent="0.25">
      <c r="A748" s="505" t="s">
        <v>2762</v>
      </c>
      <c r="B748" s="505" t="s">
        <v>2763</v>
      </c>
      <c r="C748" s="512" t="s">
        <v>7762</v>
      </c>
      <c r="D748" s="512" t="s">
        <v>8304</v>
      </c>
      <c r="E748" s="512" t="s">
        <v>8305</v>
      </c>
      <c r="F748" s="512" t="s">
        <v>8140</v>
      </c>
      <c r="G748" s="512" t="s">
        <v>8306</v>
      </c>
      <c r="L748" s="505" t="s">
        <v>2466</v>
      </c>
      <c r="M748" s="516">
        <v>166.7</v>
      </c>
      <c r="N748" s="505" t="s">
        <v>1204</v>
      </c>
    </row>
    <row r="749" spans="1:14" x14ac:dyDescent="0.25">
      <c r="A749" s="505" t="s">
        <v>2764</v>
      </c>
      <c r="B749" s="505" t="s">
        <v>2765</v>
      </c>
      <c r="C749" s="512" t="s">
        <v>7762</v>
      </c>
      <c r="D749" s="512" t="s">
        <v>8304</v>
      </c>
      <c r="E749" s="512" t="s">
        <v>8305</v>
      </c>
      <c r="F749" s="512" t="s">
        <v>8173</v>
      </c>
      <c r="G749" s="512" t="s">
        <v>8306</v>
      </c>
      <c r="L749" s="505" t="s">
        <v>2466</v>
      </c>
      <c r="M749" s="516">
        <v>151.19999999999999</v>
      </c>
      <c r="N749" s="505" t="s">
        <v>1204</v>
      </c>
    </row>
    <row r="750" spans="1:14" x14ac:dyDescent="0.25">
      <c r="A750" s="505" t="s">
        <v>2766</v>
      </c>
      <c r="B750" s="505" t="s">
        <v>2767</v>
      </c>
      <c r="C750" s="512" t="s">
        <v>7762</v>
      </c>
      <c r="D750" s="512" t="s">
        <v>8307</v>
      </c>
      <c r="E750" s="512" t="s">
        <v>8305</v>
      </c>
      <c r="F750" s="512" t="s">
        <v>7496</v>
      </c>
      <c r="G750" s="512" t="s">
        <v>363</v>
      </c>
      <c r="H750" s="512" t="s">
        <v>8308</v>
      </c>
      <c r="L750" s="505" t="s">
        <v>2466</v>
      </c>
      <c r="M750" s="516">
        <v>130.09</v>
      </c>
      <c r="N750" s="505" t="s">
        <v>1204</v>
      </c>
    </row>
    <row r="751" spans="1:14" x14ac:dyDescent="0.25">
      <c r="A751" s="505" t="s">
        <v>2768</v>
      </c>
      <c r="B751" s="505" t="s">
        <v>2769</v>
      </c>
      <c r="C751" s="512" t="s">
        <v>7762</v>
      </c>
      <c r="D751" s="512" t="s">
        <v>8304</v>
      </c>
      <c r="E751" s="512" t="s">
        <v>8305</v>
      </c>
      <c r="F751" s="512" t="s">
        <v>8183</v>
      </c>
      <c r="G751" s="512" t="s">
        <v>8306</v>
      </c>
      <c r="L751" s="505" t="s">
        <v>2466</v>
      </c>
      <c r="M751" s="516">
        <v>130.09</v>
      </c>
      <c r="N751" s="505" t="s">
        <v>1204</v>
      </c>
    </row>
    <row r="752" spans="1:14" x14ac:dyDescent="0.25">
      <c r="A752" s="505" t="s">
        <v>2770</v>
      </c>
      <c r="B752" s="505" t="s">
        <v>2771</v>
      </c>
      <c r="C752" s="512" t="s">
        <v>7762</v>
      </c>
      <c r="D752" s="512" t="s">
        <v>8304</v>
      </c>
      <c r="E752" s="512" t="s">
        <v>8305</v>
      </c>
      <c r="F752" s="512" t="s">
        <v>7454</v>
      </c>
      <c r="G752" s="512" t="s">
        <v>8306</v>
      </c>
      <c r="L752" s="505" t="s">
        <v>2466</v>
      </c>
      <c r="M752" s="516">
        <v>166.7</v>
      </c>
      <c r="N752" s="505" t="s">
        <v>1204</v>
      </c>
    </row>
    <row r="753" spans="1:14" x14ac:dyDescent="0.25">
      <c r="A753" s="505" t="s">
        <v>2772</v>
      </c>
      <c r="B753" s="505" t="s">
        <v>2773</v>
      </c>
      <c r="C753" s="512" t="s">
        <v>7762</v>
      </c>
      <c r="D753" s="512" t="s">
        <v>8304</v>
      </c>
      <c r="E753" s="512" t="s">
        <v>8305</v>
      </c>
      <c r="F753" s="512" t="s">
        <v>8162</v>
      </c>
      <c r="G753" s="512" t="s">
        <v>7445</v>
      </c>
      <c r="H753" s="512" t="s">
        <v>8306</v>
      </c>
      <c r="L753" s="505" t="s">
        <v>2466</v>
      </c>
      <c r="M753" s="516">
        <v>166.7</v>
      </c>
      <c r="N753" s="505" t="s">
        <v>1204</v>
      </c>
    </row>
    <row r="754" spans="1:14" x14ac:dyDescent="0.25">
      <c r="A754" s="505" t="s">
        <v>2774</v>
      </c>
      <c r="B754" s="505" t="s">
        <v>2775</v>
      </c>
      <c r="C754" s="512" t="s">
        <v>7762</v>
      </c>
      <c r="D754" s="512" t="s">
        <v>8304</v>
      </c>
      <c r="E754" s="512" t="s">
        <v>8305</v>
      </c>
      <c r="F754" s="512" t="s">
        <v>8176</v>
      </c>
      <c r="G754" s="512" t="s">
        <v>8306</v>
      </c>
      <c r="L754" s="505" t="s">
        <v>2466</v>
      </c>
      <c r="M754" s="516">
        <v>130.09</v>
      </c>
      <c r="N754" s="505" t="s">
        <v>1204</v>
      </c>
    </row>
    <row r="755" spans="1:14" x14ac:dyDescent="0.25">
      <c r="A755" s="505" t="s">
        <v>2776</v>
      </c>
      <c r="B755" s="505" t="s">
        <v>2777</v>
      </c>
      <c r="C755" s="512" t="s">
        <v>7762</v>
      </c>
      <c r="D755" s="512" t="s">
        <v>8304</v>
      </c>
      <c r="E755" s="512" t="s">
        <v>8305</v>
      </c>
      <c r="F755" s="512" t="s">
        <v>7440</v>
      </c>
      <c r="G755" s="512" t="s">
        <v>7441</v>
      </c>
      <c r="H755" s="512" t="s">
        <v>8306</v>
      </c>
      <c r="L755" s="505" t="s">
        <v>2466</v>
      </c>
      <c r="M755" s="516">
        <v>130.09</v>
      </c>
      <c r="N755" s="505" t="s">
        <v>1204</v>
      </c>
    </row>
    <row r="756" spans="1:14" x14ac:dyDescent="0.25">
      <c r="A756" s="505" t="s">
        <v>2778</v>
      </c>
      <c r="B756" s="505" t="s">
        <v>2779</v>
      </c>
      <c r="C756" s="512" t="s">
        <v>7762</v>
      </c>
      <c r="D756" s="512" t="s">
        <v>8304</v>
      </c>
      <c r="E756" s="512" t="s">
        <v>8305</v>
      </c>
      <c r="F756" s="512" t="s">
        <v>7888</v>
      </c>
      <c r="G756" s="512" t="s">
        <v>8306</v>
      </c>
      <c r="L756" s="505" t="s">
        <v>2466</v>
      </c>
      <c r="M756" s="516">
        <v>166.7</v>
      </c>
      <c r="N756" s="505" t="s">
        <v>1204</v>
      </c>
    </row>
    <row r="757" spans="1:14" x14ac:dyDescent="0.25">
      <c r="A757" s="505" t="s">
        <v>2780</v>
      </c>
      <c r="B757" s="505" t="s">
        <v>2781</v>
      </c>
      <c r="C757" s="512" t="s">
        <v>7762</v>
      </c>
      <c r="D757" s="512" t="s">
        <v>8304</v>
      </c>
      <c r="E757" s="512" t="s">
        <v>8305</v>
      </c>
      <c r="F757" s="512" t="s">
        <v>7889</v>
      </c>
      <c r="G757" s="512" t="s">
        <v>8306</v>
      </c>
      <c r="L757" s="505" t="s">
        <v>2466</v>
      </c>
      <c r="M757" s="516">
        <v>130.09</v>
      </c>
      <c r="N757" s="505" t="s">
        <v>1204</v>
      </c>
    </row>
    <row r="758" spans="1:14" x14ac:dyDescent="0.25">
      <c r="A758" s="505" t="s">
        <v>2782</v>
      </c>
      <c r="B758" s="505" t="s">
        <v>2783</v>
      </c>
      <c r="C758" s="512" t="s">
        <v>7762</v>
      </c>
      <c r="D758" s="512" t="s">
        <v>8304</v>
      </c>
      <c r="E758" s="512" t="s">
        <v>8305</v>
      </c>
      <c r="F758" s="512" t="s">
        <v>8144</v>
      </c>
      <c r="G758" s="512" t="s">
        <v>7445</v>
      </c>
      <c r="H758" s="512" t="s">
        <v>8306</v>
      </c>
      <c r="L758" s="505" t="s">
        <v>2466</v>
      </c>
      <c r="M758" s="516">
        <v>166.7</v>
      </c>
      <c r="N758" s="505" t="s">
        <v>1204</v>
      </c>
    </row>
    <row r="759" spans="1:14" x14ac:dyDescent="0.25">
      <c r="A759" s="505" t="s">
        <v>2784</v>
      </c>
      <c r="B759" s="505" t="s">
        <v>2785</v>
      </c>
      <c r="C759" s="512" t="s">
        <v>7762</v>
      </c>
      <c r="D759" s="512" t="s">
        <v>8304</v>
      </c>
      <c r="E759" s="512" t="s">
        <v>8305</v>
      </c>
      <c r="F759" s="512" t="s">
        <v>8163</v>
      </c>
      <c r="G759" s="512" t="s">
        <v>8164</v>
      </c>
      <c r="H759" s="512" t="s">
        <v>8306</v>
      </c>
      <c r="L759" s="505" t="s">
        <v>2466</v>
      </c>
      <c r="M759" s="516">
        <v>166.7</v>
      </c>
      <c r="N759" s="505" t="s">
        <v>1204</v>
      </c>
    </row>
    <row r="760" spans="1:14" x14ac:dyDescent="0.25">
      <c r="A760" s="505" t="s">
        <v>2786</v>
      </c>
      <c r="B760" s="505" t="s">
        <v>2787</v>
      </c>
      <c r="C760" s="512" t="s">
        <v>7762</v>
      </c>
      <c r="D760" s="512" t="s">
        <v>8304</v>
      </c>
      <c r="E760" s="512" t="s">
        <v>8305</v>
      </c>
      <c r="F760" s="512" t="s">
        <v>8189</v>
      </c>
      <c r="G760" s="512" t="s">
        <v>7881</v>
      </c>
      <c r="H760" s="512" t="s">
        <v>8306</v>
      </c>
      <c r="L760" s="505" t="s">
        <v>2466</v>
      </c>
      <c r="M760" s="516">
        <v>151.19999999999999</v>
      </c>
      <c r="N760" s="505" t="s">
        <v>1204</v>
      </c>
    </row>
    <row r="761" spans="1:14" x14ac:dyDescent="0.25">
      <c r="A761" s="505" t="s">
        <v>2788</v>
      </c>
      <c r="B761" s="505" t="s">
        <v>2789</v>
      </c>
      <c r="C761" s="512" t="s">
        <v>7762</v>
      </c>
      <c r="D761" s="512" t="s">
        <v>8304</v>
      </c>
      <c r="E761" s="512" t="s">
        <v>8305</v>
      </c>
      <c r="F761" s="512" t="s">
        <v>8147</v>
      </c>
      <c r="G761" s="512" t="s">
        <v>8306</v>
      </c>
      <c r="L761" s="505" t="s">
        <v>2466</v>
      </c>
      <c r="M761" s="516">
        <v>166.7</v>
      </c>
      <c r="N761" s="505" t="s">
        <v>1204</v>
      </c>
    </row>
    <row r="762" spans="1:14" x14ac:dyDescent="0.25">
      <c r="A762" s="505" t="s">
        <v>2790</v>
      </c>
      <c r="B762" s="505" t="s">
        <v>2791</v>
      </c>
      <c r="C762" s="512" t="s">
        <v>7762</v>
      </c>
      <c r="D762" s="512" t="s">
        <v>8304</v>
      </c>
      <c r="E762" s="512" t="s">
        <v>8305</v>
      </c>
      <c r="F762" s="512" t="s">
        <v>8148</v>
      </c>
      <c r="G762" s="512" t="s">
        <v>8306</v>
      </c>
      <c r="L762" s="505" t="s">
        <v>2466</v>
      </c>
      <c r="M762" s="516">
        <v>151.19999999999999</v>
      </c>
      <c r="N762" s="505" t="s">
        <v>1204</v>
      </c>
    </row>
    <row r="763" spans="1:14" x14ac:dyDescent="0.25">
      <c r="A763" s="505" t="s">
        <v>2792</v>
      </c>
      <c r="B763" s="505" t="s">
        <v>2793</v>
      </c>
      <c r="C763" s="512" t="s">
        <v>7762</v>
      </c>
      <c r="D763" s="512" t="s">
        <v>8304</v>
      </c>
      <c r="E763" s="512" t="s">
        <v>8305</v>
      </c>
      <c r="F763" s="512" t="s">
        <v>7568</v>
      </c>
      <c r="G763" s="512" t="s">
        <v>8306</v>
      </c>
      <c r="L763" s="505" t="s">
        <v>2466</v>
      </c>
      <c r="M763" s="516">
        <v>166.7</v>
      </c>
      <c r="N763" s="505" t="s">
        <v>1204</v>
      </c>
    </row>
    <row r="764" spans="1:14" x14ac:dyDescent="0.25">
      <c r="A764" s="505" t="s">
        <v>2794</v>
      </c>
      <c r="B764" s="505" t="s">
        <v>2795</v>
      </c>
      <c r="C764" s="512" t="s">
        <v>7762</v>
      </c>
      <c r="D764" s="512" t="s">
        <v>8304</v>
      </c>
      <c r="E764" s="512" t="s">
        <v>8305</v>
      </c>
      <c r="F764" s="512" t="s">
        <v>8149</v>
      </c>
      <c r="G764" s="512" t="s">
        <v>8306</v>
      </c>
      <c r="L764" s="505" t="s">
        <v>2466</v>
      </c>
      <c r="M764" s="516">
        <v>166.7</v>
      </c>
      <c r="N764" s="505" t="s">
        <v>1204</v>
      </c>
    </row>
    <row r="765" spans="1:14" x14ac:dyDescent="0.25">
      <c r="A765" s="505" t="s">
        <v>2796</v>
      </c>
      <c r="B765" s="505" t="s">
        <v>2797</v>
      </c>
      <c r="C765" s="512" t="s">
        <v>7762</v>
      </c>
      <c r="D765" s="512" t="s">
        <v>8304</v>
      </c>
      <c r="E765" s="512" t="s">
        <v>8305</v>
      </c>
      <c r="F765" s="512" t="s">
        <v>7803</v>
      </c>
      <c r="G765" s="512" t="s">
        <v>8306</v>
      </c>
      <c r="L765" s="505" t="s">
        <v>2466</v>
      </c>
      <c r="M765" s="516">
        <v>130.09</v>
      </c>
      <c r="N765" s="505" t="s">
        <v>1204</v>
      </c>
    </row>
    <row r="766" spans="1:14" x14ac:dyDescent="0.25">
      <c r="A766" s="505" t="s">
        <v>2798</v>
      </c>
      <c r="B766" s="505" t="s">
        <v>2799</v>
      </c>
      <c r="C766" s="512" t="s">
        <v>7762</v>
      </c>
      <c r="D766" s="512" t="s">
        <v>8304</v>
      </c>
      <c r="E766" s="512" t="s">
        <v>8305</v>
      </c>
      <c r="F766" s="512" t="s">
        <v>8165</v>
      </c>
      <c r="G766" s="512" t="s">
        <v>8152</v>
      </c>
      <c r="H766" s="512" t="s">
        <v>8306</v>
      </c>
      <c r="L766" s="505" t="s">
        <v>2466</v>
      </c>
      <c r="M766" s="516">
        <v>151.19999999999999</v>
      </c>
      <c r="N766" s="505" t="s">
        <v>1204</v>
      </c>
    </row>
    <row r="767" spans="1:14" x14ac:dyDescent="0.25">
      <c r="A767" s="505" t="s">
        <v>2800</v>
      </c>
      <c r="B767" s="505" t="s">
        <v>2801</v>
      </c>
      <c r="C767" s="512" t="s">
        <v>7762</v>
      </c>
      <c r="D767" s="512" t="s">
        <v>8304</v>
      </c>
      <c r="E767" s="512" t="s">
        <v>8305</v>
      </c>
      <c r="F767" s="512" t="s">
        <v>8030</v>
      </c>
      <c r="G767" s="512" t="s">
        <v>8306</v>
      </c>
      <c r="L767" s="505" t="s">
        <v>2466</v>
      </c>
      <c r="M767" s="516">
        <v>151.19999999999999</v>
      </c>
      <c r="N767" s="505" t="s">
        <v>1204</v>
      </c>
    </row>
    <row r="768" spans="1:14" x14ac:dyDescent="0.25">
      <c r="A768" s="505" t="s">
        <v>2802</v>
      </c>
      <c r="B768" s="505" t="s">
        <v>2803</v>
      </c>
      <c r="C768" s="512" t="s">
        <v>7762</v>
      </c>
      <c r="D768" s="512" t="s">
        <v>8304</v>
      </c>
      <c r="E768" s="512" t="s">
        <v>8305</v>
      </c>
      <c r="F768" s="512" t="s">
        <v>8150</v>
      </c>
      <c r="G768" s="512" t="s">
        <v>8306</v>
      </c>
      <c r="L768" s="505" t="s">
        <v>2466</v>
      </c>
      <c r="M768" s="516">
        <v>166.7</v>
      </c>
      <c r="N768" s="505" t="s">
        <v>1204</v>
      </c>
    </row>
    <row r="769" spans="1:14" x14ac:dyDescent="0.25">
      <c r="A769" s="505" t="s">
        <v>2804</v>
      </c>
      <c r="B769" s="505" t="s">
        <v>2805</v>
      </c>
      <c r="C769" s="512" t="s">
        <v>7762</v>
      </c>
      <c r="D769" s="512" t="s">
        <v>8304</v>
      </c>
      <c r="E769" s="512" t="s">
        <v>8305</v>
      </c>
      <c r="F769" s="512" t="s">
        <v>8166</v>
      </c>
      <c r="G769" s="512" t="s">
        <v>8167</v>
      </c>
      <c r="H769" s="512" t="s">
        <v>8306</v>
      </c>
      <c r="L769" s="505" t="s">
        <v>2466</v>
      </c>
      <c r="M769" s="516">
        <v>151.19999999999999</v>
      </c>
      <c r="N769" s="505" t="s">
        <v>1204</v>
      </c>
    </row>
    <row r="770" spans="1:14" x14ac:dyDescent="0.25">
      <c r="A770" s="505" t="s">
        <v>2806</v>
      </c>
      <c r="B770" s="505" t="s">
        <v>2807</v>
      </c>
      <c r="C770" s="512" t="s">
        <v>7762</v>
      </c>
      <c r="D770" s="512" t="s">
        <v>8304</v>
      </c>
      <c r="E770" s="512" t="s">
        <v>8305</v>
      </c>
      <c r="F770" s="512" t="s">
        <v>8155</v>
      </c>
      <c r="G770" s="512" t="s">
        <v>7892</v>
      </c>
      <c r="H770" s="512" t="s">
        <v>8306</v>
      </c>
      <c r="L770" s="505" t="s">
        <v>2466</v>
      </c>
      <c r="M770" s="516">
        <v>151.19999999999999</v>
      </c>
      <c r="N770" s="505" t="s">
        <v>1204</v>
      </c>
    </row>
    <row r="771" spans="1:14" x14ac:dyDescent="0.25">
      <c r="A771" s="505" t="s">
        <v>2808</v>
      </c>
      <c r="B771" s="505" t="s">
        <v>2809</v>
      </c>
      <c r="C771" s="512" t="s">
        <v>7762</v>
      </c>
      <c r="D771" s="512" t="s">
        <v>8304</v>
      </c>
      <c r="E771" s="512" t="s">
        <v>8305</v>
      </c>
      <c r="F771" s="512" t="s">
        <v>8156</v>
      </c>
      <c r="G771" s="512" t="s">
        <v>8168</v>
      </c>
      <c r="H771" s="512" t="s">
        <v>8306</v>
      </c>
      <c r="L771" s="505" t="s">
        <v>2466</v>
      </c>
      <c r="M771" s="516">
        <v>166.7</v>
      </c>
      <c r="N771" s="505" t="s">
        <v>1204</v>
      </c>
    </row>
    <row r="772" spans="1:14" x14ac:dyDescent="0.25">
      <c r="A772" s="505" t="s">
        <v>2810</v>
      </c>
      <c r="B772" s="505" t="s">
        <v>2811</v>
      </c>
      <c r="C772" s="512" t="s">
        <v>7762</v>
      </c>
      <c r="D772" s="512" t="s">
        <v>8304</v>
      </c>
      <c r="E772" s="512" t="s">
        <v>8305</v>
      </c>
      <c r="F772" s="512" t="s">
        <v>8190</v>
      </c>
      <c r="G772" s="512" t="s">
        <v>8179</v>
      </c>
      <c r="H772" s="512" t="s">
        <v>8306</v>
      </c>
      <c r="L772" s="505" t="s">
        <v>2466</v>
      </c>
      <c r="M772" s="516">
        <v>130.09</v>
      </c>
      <c r="N772" s="505" t="s">
        <v>1204</v>
      </c>
    </row>
    <row r="773" spans="1:14" x14ac:dyDescent="0.25">
      <c r="A773" s="505" t="s">
        <v>2812</v>
      </c>
      <c r="B773" s="505" t="s">
        <v>2813</v>
      </c>
      <c r="C773" s="512" t="s">
        <v>7762</v>
      </c>
      <c r="D773" s="512" t="s">
        <v>8304</v>
      </c>
      <c r="E773" s="512" t="s">
        <v>8305</v>
      </c>
      <c r="F773" s="512" t="s">
        <v>8158</v>
      </c>
      <c r="G773" s="512" t="s">
        <v>8306</v>
      </c>
      <c r="L773" s="505" t="s">
        <v>2466</v>
      </c>
      <c r="M773" s="516">
        <v>151.19999999999999</v>
      </c>
      <c r="N773" s="505" t="s">
        <v>1204</v>
      </c>
    </row>
    <row r="774" spans="1:14" x14ac:dyDescent="0.25">
      <c r="A774" s="505" t="s">
        <v>2814</v>
      </c>
      <c r="B774" s="505" t="s">
        <v>2815</v>
      </c>
      <c r="C774" s="512" t="s">
        <v>7762</v>
      </c>
      <c r="D774" s="512" t="s">
        <v>8304</v>
      </c>
      <c r="E774" s="512" t="s">
        <v>8305</v>
      </c>
      <c r="F774" s="512" t="s">
        <v>8169</v>
      </c>
      <c r="G774" s="512" t="s">
        <v>7489</v>
      </c>
      <c r="H774" s="512" t="s">
        <v>8306</v>
      </c>
      <c r="L774" s="505" t="s">
        <v>2466</v>
      </c>
      <c r="M774" s="516">
        <v>166.7</v>
      </c>
      <c r="N774" s="505" t="s">
        <v>1204</v>
      </c>
    </row>
    <row r="775" spans="1:14" x14ac:dyDescent="0.25">
      <c r="A775" s="505" t="s">
        <v>2816</v>
      </c>
      <c r="B775" s="505" t="s">
        <v>2817</v>
      </c>
      <c r="C775" s="512" t="s">
        <v>7762</v>
      </c>
      <c r="D775" s="512" t="s">
        <v>8304</v>
      </c>
      <c r="E775" s="512" t="s">
        <v>8305</v>
      </c>
      <c r="F775" s="512" t="s">
        <v>7721</v>
      </c>
      <c r="G775" s="512" t="s">
        <v>8306</v>
      </c>
      <c r="L775" s="505" t="s">
        <v>2466</v>
      </c>
      <c r="M775" s="516">
        <v>130.09</v>
      </c>
      <c r="N775" s="505" t="s">
        <v>1204</v>
      </c>
    </row>
    <row r="776" spans="1:14" x14ac:dyDescent="0.25">
      <c r="A776" s="505" t="s">
        <v>2818</v>
      </c>
      <c r="B776" s="505" t="s">
        <v>2819</v>
      </c>
      <c r="C776" s="512" t="s">
        <v>7762</v>
      </c>
      <c r="D776" s="512" t="s">
        <v>8304</v>
      </c>
      <c r="E776" s="512" t="s">
        <v>8305</v>
      </c>
      <c r="F776" s="512" t="s">
        <v>7804</v>
      </c>
      <c r="G776" s="512" t="s">
        <v>8306</v>
      </c>
      <c r="L776" s="505" t="s">
        <v>2466</v>
      </c>
      <c r="M776" s="516">
        <v>130.09</v>
      </c>
      <c r="N776" s="505" t="s">
        <v>1204</v>
      </c>
    </row>
    <row r="777" spans="1:14" x14ac:dyDescent="0.25">
      <c r="A777" s="505" t="s">
        <v>2820</v>
      </c>
      <c r="B777" s="505" t="s">
        <v>2821</v>
      </c>
      <c r="C777" s="512" t="s">
        <v>7762</v>
      </c>
      <c r="D777" s="512" t="s">
        <v>8304</v>
      </c>
      <c r="E777" s="512" t="s">
        <v>8305</v>
      </c>
      <c r="F777" s="512" t="s">
        <v>8170</v>
      </c>
      <c r="G777" s="512" t="s">
        <v>8306</v>
      </c>
      <c r="L777" s="505" t="s">
        <v>2466</v>
      </c>
      <c r="M777" s="516">
        <v>166.7</v>
      </c>
      <c r="N777" s="505" t="s">
        <v>1204</v>
      </c>
    </row>
    <row r="778" spans="1:14" x14ac:dyDescent="0.25">
      <c r="A778" s="505" t="s">
        <v>2822</v>
      </c>
      <c r="B778" s="505" t="s">
        <v>2823</v>
      </c>
      <c r="C778" s="512" t="s">
        <v>7762</v>
      </c>
      <c r="D778" s="512" t="s">
        <v>8301</v>
      </c>
      <c r="E778" s="512" t="s">
        <v>8302</v>
      </c>
      <c r="F778" s="512" t="s">
        <v>8180</v>
      </c>
      <c r="G778" s="512" t="s">
        <v>8309</v>
      </c>
      <c r="H778" s="512" t="s">
        <v>7721</v>
      </c>
      <c r="I778" s="512" t="s">
        <v>8310</v>
      </c>
      <c r="L778" s="505" t="s">
        <v>2466</v>
      </c>
      <c r="M778" s="516">
        <v>12.5</v>
      </c>
      <c r="N778" s="505" t="s">
        <v>2466</v>
      </c>
    </row>
    <row r="779" spans="1:14" x14ac:dyDescent="0.25">
      <c r="A779" s="505" t="s">
        <v>2824</v>
      </c>
      <c r="B779" s="505" t="s">
        <v>2825</v>
      </c>
      <c r="C779" s="512" t="s">
        <v>8311</v>
      </c>
      <c r="D779" s="512" t="s">
        <v>8312</v>
      </c>
      <c r="E779" s="512" t="s">
        <v>7557</v>
      </c>
      <c r="F779" s="512" t="s">
        <v>8313</v>
      </c>
      <c r="L779" s="505" t="s">
        <v>114</v>
      </c>
      <c r="M779" s="516">
        <v>4.3600000000000003</v>
      </c>
      <c r="N779" s="505" t="s">
        <v>114</v>
      </c>
    </row>
    <row r="780" spans="1:14" x14ac:dyDescent="0.25">
      <c r="A780" s="505" t="s">
        <v>2826</v>
      </c>
      <c r="B780" s="505" t="s">
        <v>2827</v>
      </c>
      <c r="C780" s="512" t="s">
        <v>8314</v>
      </c>
      <c r="D780" s="512" t="s">
        <v>8311</v>
      </c>
      <c r="E780" s="512" t="s">
        <v>8315</v>
      </c>
      <c r="F780" s="512" t="s">
        <v>8316</v>
      </c>
      <c r="L780" s="505" t="s">
        <v>114</v>
      </c>
      <c r="M780" s="516">
        <v>14.5</v>
      </c>
      <c r="N780" s="505" t="s">
        <v>114</v>
      </c>
    </row>
    <row r="781" spans="1:14" x14ac:dyDescent="0.25">
      <c r="A781" s="505" t="s">
        <v>2828</v>
      </c>
      <c r="B781" s="505" t="s">
        <v>2829</v>
      </c>
      <c r="C781" s="512" t="s">
        <v>8317</v>
      </c>
      <c r="D781" s="512" t="s">
        <v>8318</v>
      </c>
      <c r="E781" s="512" t="s">
        <v>8319</v>
      </c>
      <c r="F781" s="512" t="s">
        <v>8320</v>
      </c>
      <c r="G781" s="512" t="s">
        <v>7445</v>
      </c>
      <c r="H781" s="512" t="s">
        <v>8321</v>
      </c>
      <c r="L781" s="505" t="s">
        <v>114</v>
      </c>
      <c r="M781" s="516">
        <v>15.75</v>
      </c>
      <c r="N781" s="505" t="s">
        <v>114</v>
      </c>
    </row>
    <row r="782" spans="1:14" x14ac:dyDescent="0.25">
      <c r="A782" s="505" t="s">
        <v>2830</v>
      </c>
      <c r="B782" s="505" t="s">
        <v>2831</v>
      </c>
      <c r="C782" s="512" t="s">
        <v>7762</v>
      </c>
      <c r="D782" s="512" t="s">
        <v>8322</v>
      </c>
      <c r="E782" s="512" t="s">
        <v>8323</v>
      </c>
      <c r="F782" s="512" t="s">
        <v>8035</v>
      </c>
      <c r="G782" s="512" t="s">
        <v>8324</v>
      </c>
      <c r="H782" s="512">
        <v>13065</v>
      </c>
      <c r="L782" s="505" t="s">
        <v>2466</v>
      </c>
      <c r="M782" s="516">
        <v>40.54</v>
      </c>
      <c r="N782" s="505" t="s">
        <v>2466</v>
      </c>
    </row>
    <row r="783" spans="1:14" x14ac:dyDescent="0.25">
      <c r="A783" s="505" t="s">
        <v>2832</v>
      </c>
      <c r="B783" s="505" t="s">
        <v>2833</v>
      </c>
      <c r="C783" s="512" t="s">
        <v>7762</v>
      </c>
      <c r="D783" s="512" t="s">
        <v>8322</v>
      </c>
      <c r="E783" s="512" t="s">
        <v>8323</v>
      </c>
      <c r="F783" s="512" t="s">
        <v>8035</v>
      </c>
      <c r="G783" s="512" t="s">
        <v>8322</v>
      </c>
      <c r="H783" s="512" t="s">
        <v>7970</v>
      </c>
      <c r="I783" s="512">
        <v>13065</v>
      </c>
      <c r="L783" s="505" t="s">
        <v>2466</v>
      </c>
      <c r="M783" s="516">
        <v>40.54</v>
      </c>
      <c r="N783" s="505" t="s">
        <v>2466</v>
      </c>
    </row>
    <row r="784" spans="1:14" x14ac:dyDescent="0.25">
      <c r="A784" s="505" t="s">
        <v>2834</v>
      </c>
      <c r="B784" s="505" t="s">
        <v>2835</v>
      </c>
      <c r="C784" s="512" t="s">
        <v>7762</v>
      </c>
      <c r="D784" s="512" t="s">
        <v>8322</v>
      </c>
      <c r="E784" s="512" t="s">
        <v>8323</v>
      </c>
      <c r="F784" s="512" t="s">
        <v>8035</v>
      </c>
      <c r="G784" s="512" t="s">
        <v>8325</v>
      </c>
      <c r="H784" s="512">
        <v>13065</v>
      </c>
      <c r="L784" s="505" t="s">
        <v>2466</v>
      </c>
      <c r="M784" s="516">
        <v>40.54</v>
      </c>
      <c r="N784" s="505" t="s">
        <v>2466</v>
      </c>
    </row>
    <row r="785" spans="1:14" x14ac:dyDescent="0.25">
      <c r="A785" s="505" t="s">
        <v>2836</v>
      </c>
      <c r="B785" s="505" t="s">
        <v>2837</v>
      </c>
      <c r="C785" s="512" t="s">
        <v>7762</v>
      </c>
      <c r="D785" s="512" t="s">
        <v>8326</v>
      </c>
      <c r="E785" s="512" t="s">
        <v>8327</v>
      </c>
      <c r="F785" s="512" t="s">
        <v>8035</v>
      </c>
      <c r="G785" s="512" t="s">
        <v>363</v>
      </c>
      <c r="H785" s="512" t="s">
        <v>7471</v>
      </c>
      <c r="I785" s="512">
        <v>13065</v>
      </c>
      <c r="L785" s="505" t="s">
        <v>2466</v>
      </c>
      <c r="M785" s="516">
        <v>50.87</v>
      </c>
      <c r="N785" s="505" t="s">
        <v>2466</v>
      </c>
    </row>
    <row r="786" spans="1:14" x14ac:dyDescent="0.25">
      <c r="A786" s="505" t="s">
        <v>2838</v>
      </c>
      <c r="B786" s="505" t="s">
        <v>2839</v>
      </c>
      <c r="C786" s="512" t="s">
        <v>7762</v>
      </c>
      <c r="D786" s="512" t="s">
        <v>8322</v>
      </c>
      <c r="E786" s="512" t="s">
        <v>8323</v>
      </c>
      <c r="F786" s="512" t="s">
        <v>8035</v>
      </c>
      <c r="G786" s="512" t="s">
        <v>8328</v>
      </c>
      <c r="H786" s="512">
        <v>13065</v>
      </c>
      <c r="L786" s="505" t="s">
        <v>2466</v>
      </c>
      <c r="M786" s="516">
        <v>40.54</v>
      </c>
      <c r="N786" s="505" t="s">
        <v>2466</v>
      </c>
    </row>
    <row r="787" spans="1:14" x14ac:dyDescent="0.25">
      <c r="A787" s="505" t="s">
        <v>2840</v>
      </c>
      <c r="B787" s="505" t="s">
        <v>2841</v>
      </c>
      <c r="C787" s="512" t="s">
        <v>7762</v>
      </c>
      <c r="D787" s="512" t="s">
        <v>8326</v>
      </c>
      <c r="E787" s="512" t="s">
        <v>8327</v>
      </c>
      <c r="F787" s="512" t="s">
        <v>8035</v>
      </c>
      <c r="G787" s="512" t="s">
        <v>8329</v>
      </c>
      <c r="H787" s="512">
        <v>13065</v>
      </c>
      <c r="L787" s="505" t="s">
        <v>2466</v>
      </c>
      <c r="M787" s="516">
        <v>40.54</v>
      </c>
      <c r="N787" s="505" t="s">
        <v>2466</v>
      </c>
    </row>
    <row r="788" spans="1:14" x14ac:dyDescent="0.25">
      <c r="A788" s="505" t="s">
        <v>2842</v>
      </c>
      <c r="B788" s="505" t="s">
        <v>2843</v>
      </c>
      <c r="C788" s="512" t="s">
        <v>7762</v>
      </c>
      <c r="D788" s="512" t="s">
        <v>8322</v>
      </c>
      <c r="E788" s="512" t="s">
        <v>8323</v>
      </c>
      <c r="F788" s="512" t="s">
        <v>8035</v>
      </c>
      <c r="G788" s="512" t="s">
        <v>8330</v>
      </c>
      <c r="H788" s="512">
        <v>13065</v>
      </c>
      <c r="L788" s="505" t="s">
        <v>2466</v>
      </c>
      <c r="M788" s="516">
        <v>40.54</v>
      </c>
      <c r="N788" s="505" t="s">
        <v>2466</v>
      </c>
    </row>
    <row r="789" spans="1:14" x14ac:dyDescent="0.25">
      <c r="A789" s="505" t="s">
        <v>2844</v>
      </c>
      <c r="B789" s="505" t="s">
        <v>2845</v>
      </c>
      <c r="C789" s="512" t="s">
        <v>7762</v>
      </c>
      <c r="D789" s="512" t="s">
        <v>8322</v>
      </c>
      <c r="E789" s="512" t="s">
        <v>8331</v>
      </c>
      <c r="F789" s="512" t="s">
        <v>7736</v>
      </c>
      <c r="G789" s="512" t="s">
        <v>8332</v>
      </c>
      <c r="H789" s="512" t="s">
        <v>8333</v>
      </c>
      <c r="I789" s="512">
        <v>13075</v>
      </c>
      <c r="L789" s="505" t="s">
        <v>2466</v>
      </c>
      <c r="M789" s="516">
        <v>32</v>
      </c>
      <c r="N789" s="505" t="s">
        <v>2466</v>
      </c>
    </row>
    <row r="790" spans="1:14" x14ac:dyDescent="0.25">
      <c r="A790" s="505" t="s">
        <v>2846</v>
      </c>
      <c r="B790" s="505" t="s">
        <v>2847</v>
      </c>
      <c r="C790" s="512" t="s">
        <v>7762</v>
      </c>
      <c r="D790" s="512" t="s">
        <v>8322</v>
      </c>
      <c r="E790" s="512" t="s">
        <v>8331</v>
      </c>
      <c r="F790" s="512" t="s">
        <v>7736</v>
      </c>
      <c r="G790" s="512" t="s">
        <v>8332</v>
      </c>
      <c r="H790" s="512" t="s">
        <v>8334</v>
      </c>
      <c r="I790" s="512">
        <v>13075</v>
      </c>
      <c r="L790" s="505" t="s">
        <v>2466</v>
      </c>
      <c r="M790" s="516">
        <v>32</v>
      </c>
      <c r="N790" s="505" t="s">
        <v>2466</v>
      </c>
    </row>
    <row r="791" spans="1:14" s="530" customFormat="1" x14ac:dyDescent="0.25">
      <c r="A791" s="530" t="s">
        <v>2848</v>
      </c>
      <c r="B791" s="530" t="s">
        <v>2849</v>
      </c>
      <c r="C791" s="531" t="s">
        <v>8335</v>
      </c>
      <c r="D791" s="531" t="s">
        <v>8336</v>
      </c>
      <c r="E791" s="531" t="s">
        <v>8337</v>
      </c>
      <c r="F791" s="531">
        <v>8.25</v>
      </c>
      <c r="G791" s="531" t="s">
        <v>8338</v>
      </c>
      <c r="H791" s="531" t="s">
        <v>8339</v>
      </c>
      <c r="I791" s="531"/>
      <c r="L791" s="530" t="s">
        <v>1233</v>
      </c>
      <c r="M791" s="532">
        <v>0</v>
      </c>
      <c r="N791" s="530" t="s">
        <v>1544</v>
      </c>
    </row>
    <row r="792" spans="1:14" x14ac:dyDescent="0.25">
      <c r="A792" s="505" t="s">
        <v>2850</v>
      </c>
      <c r="B792" s="505" t="s">
        <v>2851</v>
      </c>
      <c r="C792" s="512" t="s">
        <v>8340</v>
      </c>
      <c r="D792" s="512" t="s">
        <v>8341</v>
      </c>
      <c r="E792" s="512" t="s">
        <v>8342</v>
      </c>
      <c r="F792" s="512" t="s">
        <v>8343</v>
      </c>
      <c r="G792" s="512" t="s">
        <v>8140</v>
      </c>
      <c r="L792" s="505" t="s">
        <v>1233</v>
      </c>
      <c r="M792" s="516">
        <v>19.399999999999999</v>
      </c>
      <c r="N792" s="505" t="s">
        <v>1233</v>
      </c>
    </row>
    <row r="793" spans="1:14" s="530" customFormat="1" x14ac:dyDescent="0.25">
      <c r="A793" s="530" t="s">
        <v>2852</v>
      </c>
      <c r="B793" s="530" t="s">
        <v>2853</v>
      </c>
      <c r="C793" s="531" t="s">
        <v>8344</v>
      </c>
      <c r="D793" s="531" t="s">
        <v>8345</v>
      </c>
      <c r="E793" s="531" t="s">
        <v>8346</v>
      </c>
      <c r="F793" s="531" t="s">
        <v>8347</v>
      </c>
      <c r="G793" s="531" t="s">
        <v>8348</v>
      </c>
      <c r="H793" s="531" t="s">
        <v>8349</v>
      </c>
      <c r="I793" s="531"/>
      <c r="L793" s="530" t="s">
        <v>2854</v>
      </c>
      <c r="M793" s="532">
        <v>0</v>
      </c>
      <c r="N793" s="530" t="s">
        <v>1544</v>
      </c>
    </row>
    <row r="794" spans="1:14" s="543" customFormat="1" x14ac:dyDescent="0.25">
      <c r="A794" s="543" t="s">
        <v>2855</v>
      </c>
      <c r="B794" s="543" t="s">
        <v>2856</v>
      </c>
      <c r="C794" s="544" t="s">
        <v>8344</v>
      </c>
      <c r="D794" s="544" t="s">
        <v>8350</v>
      </c>
      <c r="E794" s="544" t="s">
        <v>8351</v>
      </c>
      <c r="F794" s="544" t="s">
        <v>8352</v>
      </c>
      <c r="G794" s="544" t="s">
        <v>7567</v>
      </c>
      <c r="H794" s="544" t="s">
        <v>8353</v>
      </c>
      <c r="I794" s="544"/>
      <c r="L794" s="543" t="s">
        <v>2854</v>
      </c>
      <c r="M794" s="545">
        <v>69.98</v>
      </c>
      <c r="N794" s="543" t="s">
        <v>2854</v>
      </c>
    </row>
    <row r="795" spans="1:14" s="543" customFormat="1" x14ac:dyDescent="0.25">
      <c r="A795" s="543" t="s">
        <v>2857</v>
      </c>
      <c r="B795" s="543" t="s">
        <v>2858</v>
      </c>
      <c r="C795" s="544" t="s">
        <v>8344</v>
      </c>
      <c r="D795" s="544" t="s">
        <v>8350</v>
      </c>
      <c r="E795" s="544" t="s">
        <v>8351</v>
      </c>
      <c r="F795" s="544" t="s">
        <v>8352</v>
      </c>
      <c r="G795" s="544" t="s">
        <v>8354</v>
      </c>
      <c r="H795" s="544" t="s">
        <v>8355</v>
      </c>
      <c r="I795" s="544"/>
      <c r="L795" s="543" t="s">
        <v>2854</v>
      </c>
      <c r="M795" s="545">
        <v>69.98</v>
      </c>
      <c r="N795" s="543" t="s">
        <v>2854</v>
      </c>
    </row>
    <row r="796" spans="1:14" s="543" customFormat="1" x14ac:dyDescent="0.25">
      <c r="A796" s="543" t="s">
        <v>2859</v>
      </c>
      <c r="B796" s="543" t="s">
        <v>2860</v>
      </c>
      <c r="C796" s="544" t="s">
        <v>8344</v>
      </c>
      <c r="D796" s="544" t="s">
        <v>8350</v>
      </c>
      <c r="E796" s="544" t="s">
        <v>8351</v>
      </c>
      <c r="F796" s="544" t="s">
        <v>8352</v>
      </c>
      <c r="G796" s="544" t="s">
        <v>8356</v>
      </c>
      <c r="H796" s="544" t="s">
        <v>7721</v>
      </c>
      <c r="I796" s="544"/>
      <c r="L796" s="543" t="s">
        <v>2854</v>
      </c>
      <c r="M796" s="545">
        <v>69.98</v>
      </c>
      <c r="N796" s="543" t="s">
        <v>2854</v>
      </c>
    </row>
    <row r="797" spans="1:14" s="543" customFormat="1" x14ac:dyDescent="0.25">
      <c r="A797" s="543" t="s">
        <v>2861</v>
      </c>
      <c r="B797" s="543" t="s">
        <v>2862</v>
      </c>
      <c r="C797" s="544" t="s">
        <v>8344</v>
      </c>
      <c r="D797" s="544" t="s">
        <v>8350</v>
      </c>
      <c r="E797" s="544" t="s">
        <v>8351</v>
      </c>
      <c r="F797" s="544" t="s">
        <v>8352</v>
      </c>
      <c r="G797" s="544" t="s">
        <v>8357</v>
      </c>
      <c r="H797" s="544"/>
      <c r="I797" s="544"/>
      <c r="L797" s="543" t="s">
        <v>2854</v>
      </c>
      <c r="M797" s="545">
        <v>69.98</v>
      </c>
      <c r="N797" s="543" t="s">
        <v>2854</v>
      </c>
    </row>
    <row r="798" spans="1:14" s="543" customFormat="1" x14ac:dyDescent="0.25">
      <c r="A798" s="543" t="s">
        <v>2863</v>
      </c>
      <c r="B798" s="543" t="s">
        <v>2864</v>
      </c>
      <c r="C798" s="544" t="s">
        <v>8344</v>
      </c>
      <c r="D798" s="544" t="s">
        <v>8350</v>
      </c>
      <c r="E798" s="544" t="s">
        <v>8351</v>
      </c>
      <c r="F798" s="544" t="s">
        <v>8352</v>
      </c>
      <c r="G798" s="544" t="s">
        <v>8358</v>
      </c>
      <c r="H798" s="544" t="s">
        <v>7999</v>
      </c>
      <c r="I798" s="544"/>
      <c r="L798" s="543" t="s">
        <v>2854</v>
      </c>
      <c r="M798" s="545">
        <v>69.98</v>
      </c>
      <c r="N798" s="543" t="s">
        <v>2854</v>
      </c>
    </row>
    <row r="799" spans="1:14" s="543" customFormat="1" x14ac:dyDescent="0.25">
      <c r="A799" s="543" t="s">
        <v>2865</v>
      </c>
      <c r="B799" s="543" t="s">
        <v>2866</v>
      </c>
      <c r="C799" s="544" t="s">
        <v>8344</v>
      </c>
      <c r="D799" s="544" t="s">
        <v>8350</v>
      </c>
      <c r="E799" s="544" t="s">
        <v>8351</v>
      </c>
      <c r="F799" s="544" t="s">
        <v>8352</v>
      </c>
      <c r="G799" s="544" t="s">
        <v>8359</v>
      </c>
      <c r="H799" s="544" t="s">
        <v>7457</v>
      </c>
      <c r="I799" s="544"/>
      <c r="L799" s="543" t="s">
        <v>2854</v>
      </c>
      <c r="M799" s="545">
        <v>69.98</v>
      </c>
      <c r="N799" s="543" t="s">
        <v>2854</v>
      </c>
    </row>
    <row r="800" spans="1:14" s="543" customFormat="1" x14ac:dyDescent="0.25">
      <c r="A800" s="543" t="s">
        <v>2867</v>
      </c>
      <c r="B800" s="543" t="s">
        <v>2868</v>
      </c>
      <c r="C800" s="544" t="s">
        <v>8344</v>
      </c>
      <c r="D800" s="544" t="s">
        <v>8350</v>
      </c>
      <c r="E800" s="544" t="s">
        <v>8351</v>
      </c>
      <c r="F800" s="544" t="s">
        <v>8352</v>
      </c>
      <c r="G800" s="544" t="s">
        <v>7885</v>
      </c>
      <c r="H800" s="544"/>
      <c r="I800" s="544"/>
      <c r="L800" s="543" t="s">
        <v>2854</v>
      </c>
      <c r="M800" s="545">
        <v>69.98</v>
      </c>
      <c r="N800" s="543" t="s">
        <v>2854</v>
      </c>
    </row>
    <row r="801" spans="1:14" s="543" customFormat="1" x14ac:dyDescent="0.25">
      <c r="A801" s="543" t="s">
        <v>2869</v>
      </c>
      <c r="B801" s="543" t="s">
        <v>2870</v>
      </c>
      <c r="C801" s="544" t="s">
        <v>8344</v>
      </c>
      <c r="D801" s="544" t="s">
        <v>8350</v>
      </c>
      <c r="E801" s="544" t="s">
        <v>8351</v>
      </c>
      <c r="F801" s="544" t="s">
        <v>8352</v>
      </c>
      <c r="G801" s="544" t="s">
        <v>8360</v>
      </c>
      <c r="H801" s="544" t="s">
        <v>7938</v>
      </c>
      <c r="I801" s="544"/>
      <c r="L801" s="543" t="s">
        <v>2854</v>
      </c>
      <c r="M801" s="545">
        <v>69.98</v>
      </c>
      <c r="N801" s="543" t="s">
        <v>2854</v>
      </c>
    </row>
    <row r="802" spans="1:14" s="543" customFormat="1" x14ac:dyDescent="0.25">
      <c r="A802" s="543" t="s">
        <v>2871</v>
      </c>
      <c r="B802" s="543" t="s">
        <v>2872</v>
      </c>
      <c r="C802" s="544" t="s">
        <v>8344</v>
      </c>
      <c r="D802" s="544" t="s">
        <v>8350</v>
      </c>
      <c r="E802" s="544" t="s">
        <v>8351</v>
      </c>
      <c r="F802" s="544" t="s">
        <v>8352</v>
      </c>
      <c r="G802" s="544" t="s">
        <v>8361</v>
      </c>
      <c r="H802" s="544" t="s">
        <v>7445</v>
      </c>
      <c r="I802" s="544"/>
      <c r="L802" s="543" t="s">
        <v>2854</v>
      </c>
      <c r="M802" s="545">
        <v>69.98</v>
      </c>
      <c r="N802" s="543" t="s">
        <v>2854</v>
      </c>
    </row>
    <row r="803" spans="1:14" s="543" customFormat="1" x14ac:dyDescent="0.25">
      <c r="A803" s="543" t="s">
        <v>2873</v>
      </c>
      <c r="B803" s="543" t="s">
        <v>2874</v>
      </c>
      <c r="C803" s="544" t="s">
        <v>8344</v>
      </c>
      <c r="D803" s="544" t="s">
        <v>8350</v>
      </c>
      <c r="E803" s="544" t="s">
        <v>8351</v>
      </c>
      <c r="F803" s="544" t="s">
        <v>8352</v>
      </c>
      <c r="G803" s="544" t="s">
        <v>7433</v>
      </c>
      <c r="H803" s="544" t="s">
        <v>7887</v>
      </c>
      <c r="I803" s="544"/>
      <c r="L803" s="543" t="s">
        <v>2854</v>
      </c>
      <c r="M803" s="545">
        <v>69.98</v>
      </c>
      <c r="N803" s="543" t="s">
        <v>2854</v>
      </c>
    </row>
    <row r="804" spans="1:14" s="543" customFormat="1" x14ac:dyDescent="0.25">
      <c r="A804" s="543" t="s">
        <v>2875</v>
      </c>
      <c r="B804" s="543" t="s">
        <v>2876</v>
      </c>
      <c r="C804" s="544" t="s">
        <v>8344</v>
      </c>
      <c r="D804" s="544" t="s">
        <v>8350</v>
      </c>
      <c r="E804" s="544" t="s">
        <v>8351</v>
      </c>
      <c r="F804" s="544" t="s">
        <v>8352</v>
      </c>
      <c r="G804" s="544" t="s">
        <v>8362</v>
      </c>
      <c r="H804" s="544" t="s">
        <v>7892</v>
      </c>
      <c r="I804" s="544"/>
      <c r="L804" s="543" t="s">
        <v>2854</v>
      </c>
      <c r="M804" s="545">
        <v>69.98</v>
      </c>
      <c r="N804" s="543" t="s">
        <v>2854</v>
      </c>
    </row>
    <row r="805" spans="1:14" s="543" customFormat="1" x14ac:dyDescent="0.25">
      <c r="A805" s="543" t="s">
        <v>2877</v>
      </c>
      <c r="B805" s="543" t="s">
        <v>2878</v>
      </c>
      <c r="C805" s="544" t="s">
        <v>8344</v>
      </c>
      <c r="D805" s="544" t="s">
        <v>8350</v>
      </c>
      <c r="E805" s="544" t="s">
        <v>8351</v>
      </c>
      <c r="F805" s="544" t="s">
        <v>8352</v>
      </c>
      <c r="G805" s="544" t="s">
        <v>8363</v>
      </c>
      <c r="H805" s="544" t="s">
        <v>7433</v>
      </c>
      <c r="I805" s="544"/>
      <c r="L805" s="543" t="s">
        <v>2854</v>
      </c>
      <c r="M805" s="545">
        <v>69.98</v>
      </c>
      <c r="N805" s="543" t="s">
        <v>2854</v>
      </c>
    </row>
    <row r="806" spans="1:14" s="543" customFormat="1" x14ac:dyDescent="0.25">
      <c r="A806" s="543" t="s">
        <v>2879</v>
      </c>
      <c r="B806" s="543" t="s">
        <v>2880</v>
      </c>
      <c r="C806" s="544" t="s">
        <v>8344</v>
      </c>
      <c r="D806" s="544" t="s">
        <v>8350</v>
      </c>
      <c r="E806" s="544" t="s">
        <v>8351</v>
      </c>
      <c r="F806" s="544" t="s">
        <v>8352</v>
      </c>
      <c r="G806" s="544" t="s">
        <v>7947</v>
      </c>
      <c r="H806" s="544" t="s">
        <v>7999</v>
      </c>
      <c r="I806" s="544"/>
      <c r="L806" s="543" t="s">
        <v>2854</v>
      </c>
      <c r="M806" s="545">
        <v>69.98</v>
      </c>
      <c r="N806" s="543" t="s">
        <v>2854</v>
      </c>
    </row>
    <row r="807" spans="1:14" s="543" customFormat="1" x14ac:dyDescent="0.25">
      <c r="A807" s="543" t="s">
        <v>2881</v>
      </c>
      <c r="B807" s="543" t="s">
        <v>2882</v>
      </c>
      <c r="C807" s="544" t="s">
        <v>8344</v>
      </c>
      <c r="D807" s="544" t="s">
        <v>8350</v>
      </c>
      <c r="E807" s="544" t="s">
        <v>8351</v>
      </c>
      <c r="F807" s="544" t="s">
        <v>8352</v>
      </c>
      <c r="G807" s="544" t="s">
        <v>8364</v>
      </c>
      <c r="H807" s="544" t="s">
        <v>8152</v>
      </c>
      <c r="I807" s="544"/>
      <c r="L807" s="543" t="s">
        <v>2854</v>
      </c>
      <c r="M807" s="545">
        <v>69.98</v>
      </c>
      <c r="N807" s="543" t="s">
        <v>2854</v>
      </c>
    </row>
    <row r="808" spans="1:14" s="543" customFormat="1" x14ac:dyDescent="0.25">
      <c r="A808" s="543" t="s">
        <v>2883</v>
      </c>
      <c r="B808" s="543" t="s">
        <v>2884</v>
      </c>
      <c r="C808" s="544" t="s">
        <v>8344</v>
      </c>
      <c r="D808" s="544" t="s">
        <v>8350</v>
      </c>
      <c r="E808" s="544" t="s">
        <v>8351</v>
      </c>
      <c r="F808" s="544" t="s">
        <v>8352</v>
      </c>
      <c r="G808" s="544" t="s">
        <v>8365</v>
      </c>
      <c r="H808" s="544" t="s">
        <v>7952</v>
      </c>
      <c r="I808" s="544"/>
      <c r="L808" s="543" t="s">
        <v>2854</v>
      </c>
      <c r="M808" s="545">
        <v>69.98</v>
      </c>
      <c r="N808" s="543" t="s">
        <v>2854</v>
      </c>
    </row>
    <row r="809" spans="1:14" s="543" customFormat="1" x14ac:dyDescent="0.25">
      <c r="A809" s="543" t="s">
        <v>2885</v>
      </c>
      <c r="B809" s="543" t="s">
        <v>2886</v>
      </c>
      <c r="C809" s="544" t="s">
        <v>8344</v>
      </c>
      <c r="D809" s="544" t="s">
        <v>8350</v>
      </c>
      <c r="E809" s="544" t="s">
        <v>8351</v>
      </c>
      <c r="F809" s="544" t="s">
        <v>8352</v>
      </c>
      <c r="G809" s="544" t="s">
        <v>8366</v>
      </c>
      <c r="H809" s="544" t="s">
        <v>8367</v>
      </c>
      <c r="I809" s="544"/>
      <c r="L809" s="543" t="s">
        <v>2854</v>
      </c>
      <c r="M809" s="545">
        <v>69.98</v>
      </c>
      <c r="N809" s="543" t="s">
        <v>2854</v>
      </c>
    </row>
    <row r="810" spans="1:14" s="543" customFormat="1" x14ac:dyDescent="0.25">
      <c r="A810" s="543" t="s">
        <v>2887</v>
      </c>
      <c r="B810" s="543" t="s">
        <v>2888</v>
      </c>
      <c r="C810" s="544" t="s">
        <v>8344</v>
      </c>
      <c r="D810" s="544" t="s">
        <v>8350</v>
      </c>
      <c r="E810" s="544" t="s">
        <v>8351</v>
      </c>
      <c r="F810" s="544" t="s">
        <v>8352</v>
      </c>
      <c r="G810" s="544" t="s">
        <v>8368</v>
      </c>
      <c r="H810" s="544" t="s">
        <v>7878</v>
      </c>
      <c r="I810" s="544"/>
      <c r="L810" s="543" t="s">
        <v>2854</v>
      </c>
      <c r="M810" s="545">
        <v>69.98</v>
      </c>
      <c r="N810" s="543" t="s">
        <v>2854</v>
      </c>
    </row>
    <row r="811" spans="1:14" s="543" customFormat="1" x14ac:dyDescent="0.25">
      <c r="A811" s="543" t="s">
        <v>2889</v>
      </c>
      <c r="B811" s="543" t="s">
        <v>2890</v>
      </c>
      <c r="C811" s="544" t="s">
        <v>8344</v>
      </c>
      <c r="D811" s="544" t="s">
        <v>8350</v>
      </c>
      <c r="E811" s="544" t="s">
        <v>8351</v>
      </c>
      <c r="F811" s="544" t="s">
        <v>8352</v>
      </c>
      <c r="G811" s="544" t="s">
        <v>7961</v>
      </c>
      <c r="H811" s="544" t="s">
        <v>7549</v>
      </c>
      <c r="I811" s="544"/>
      <c r="L811" s="543" t="s">
        <v>2854</v>
      </c>
      <c r="M811" s="545">
        <v>69.98</v>
      </c>
      <c r="N811" s="543" t="s">
        <v>2854</v>
      </c>
    </row>
    <row r="812" spans="1:14" s="543" customFormat="1" x14ac:dyDescent="0.25">
      <c r="A812" s="543" t="s">
        <v>2891</v>
      </c>
      <c r="B812" s="543" t="s">
        <v>2892</v>
      </c>
      <c r="C812" s="544" t="s">
        <v>8344</v>
      </c>
      <c r="D812" s="544" t="s">
        <v>8350</v>
      </c>
      <c r="E812" s="544" t="s">
        <v>8351</v>
      </c>
      <c r="F812" s="544" t="s">
        <v>8352</v>
      </c>
      <c r="G812" s="544" t="s">
        <v>7963</v>
      </c>
      <c r="H812" s="544" t="s">
        <v>7549</v>
      </c>
      <c r="I812" s="544"/>
      <c r="L812" s="543" t="s">
        <v>2854</v>
      </c>
      <c r="M812" s="545">
        <v>69.98</v>
      </c>
      <c r="N812" s="543" t="s">
        <v>2854</v>
      </c>
    </row>
    <row r="813" spans="1:14" s="543" customFormat="1" x14ac:dyDescent="0.25">
      <c r="A813" s="543" t="s">
        <v>2893</v>
      </c>
      <c r="B813" s="543" t="s">
        <v>2894</v>
      </c>
      <c r="C813" s="544" t="s">
        <v>8344</v>
      </c>
      <c r="D813" s="544" t="s">
        <v>8350</v>
      </c>
      <c r="E813" s="544" t="s">
        <v>8351</v>
      </c>
      <c r="F813" s="544" t="s">
        <v>8352</v>
      </c>
      <c r="G813" s="544" t="s">
        <v>7964</v>
      </c>
      <c r="H813" s="544" t="s">
        <v>8369</v>
      </c>
      <c r="I813" s="544"/>
      <c r="L813" s="543" t="s">
        <v>2854</v>
      </c>
      <c r="M813" s="545">
        <v>69.98</v>
      </c>
      <c r="N813" s="543" t="s">
        <v>2854</v>
      </c>
    </row>
    <row r="814" spans="1:14" s="543" customFormat="1" x14ac:dyDescent="0.25">
      <c r="A814" s="543" t="s">
        <v>2895</v>
      </c>
      <c r="B814" s="543" t="s">
        <v>2896</v>
      </c>
      <c r="C814" s="544" t="s">
        <v>8344</v>
      </c>
      <c r="D814" s="544" t="s">
        <v>8350</v>
      </c>
      <c r="E814" s="544" t="s">
        <v>8351</v>
      </c>
      <c r="F814" s="544" t="s">
        <v>8352</v>
      </c>
      <c r="G814" s="544" t="s">
        <v>8370</v>
      </c>
      <c r="H814" s="544"/>
      <c r="I814" s="544"/>
      <c r="L814" s="543" t="s">
        <v>2854</v>
      </c>
      <c r="M814" s="545">
        <v>69.98</v>
      </c>
      <c r="N814" s="543" t="s">
        <v>2854</v>
      </c>
    </row>
    <row r="815" spans="1:14" s="530" customFormat="1" x14ac:dyDescent="0.25">
      <c r="A815" s="530" t="s">
        <v>2897</v>
      </c>
      <c r="B815" s="530" t="s">
        <v>2898</v>
      </c>
      <c r="C815" s="531" t="s">
        <v>8344</v>
      </c>
      <c r="D815" s="531" t="s">
        <v>8371</v>
      </c>
      <c r="E815" s="531" t="s">
        <v>8346</v>
      </c>
      <c r="F815" s="531" t="s">
        <v>8372</v>
      </c>
      <c r="G815" s="531" t="s">
        <v>8373</v>
      </c>
      <c r="H815" s="531" t="s">
        <v>511</v>
      </c>
      <c r="I815" s="531"/>
      <c r="L815" s="530" t="s">
        <v>2854</v>
      </c>
      <c r="M815" s="532">
        <v>0</v>
      </c>
      <c r="N815" s="530" t="s">
        <v>1544</v>
      </c>
    </row>
    <row r="816" spans="1:14" s="543" customFormat="1" x14ac:dyDescent="0.25">
      <c r="A816" s="543" t="s">
        <v>2899</v>
      </c>
      <c r="B816" s="543" t="s">
        <v>2900</v>
      </c>
      <c r="C816" s="544" t="s">
        <v>8344</v>
      </c>
      <c r="D816" s="544" t="s">
        <v>8374</v>
      </c>
      <c r="E816" s="544" t="s">
        <v>8351</v>
      </c>
      <c r="F816" s="544" t="s">
        <v>8352</v>
      </c>
      <c r="G816" s="544" t="s">
        <v>7437</v>
      </c>
      <c r="H816" s="544"/>
      <c r="I816" s="544"/>
      <c r="L816" s="543" t="s">
        <v>2854</v>
      </c>
      <c r="M816" s="545">
        <v>69.98</v>
      </c>
      <c r="N816" s="543" t="s">
        <v>2854</v>
      </c>
    </row>
    <row r="817" spans="1:14" s="543" customFormat="1" x14ac:dyDescent="0.25">
      <c r="A817" s="543" t="s">
        <v>2901</v>
      </c>
      <c r="B817" s="543" t="s">
        <v>2902</v>
      </c>
      <c r="C817" s="544" t="s">
        <v>8344</v>
      </c>
      <c r="D817" s="544" t="s">
        <v>8374</v>
      </c>
      <c r="E817" s="544" t="s">
        <v>8351</v>
      </c>
      <c r="F817" s="544" t="s">
        <v>8352</v>
      </c>
      <c r="G817" s="544" t="s">
        <v>7889</v>
      </c>
      <c r="H817" s="544"/>
      <c r="I817" s="544"/>
      <c r="L817" s="543" t="s">
        <v>2854</v>
      </c>
      <c r="M817" s="545">
        <v>69.98</v>
      </c>
      <c r="N817" s="543" t="s">
        <v>2854</v>
      </c>
    </row>
    <row r="818" spans="1:14" s="530" customFormat="1" x14ac:dyDescent="0.25">
      <c r="A818" s="530" t="s">
        <v>2903</v>
      </c>
      <c r="B818" s="530" t="s">
        <v>2904</v>
      </c>
      <c r="C818" s="531" t="s">
        <v>8344</v>
      </c>
      <c r="D818" s="531" t="s">
        <v>8375</v>
      </c>
      <c r="E818" s="531" t="s">
        <v>8346</v>
      </c>
      <c r="F818" s="531" t="s">
        <v>8347</v>
      </c>
      <c r="G818" s="531" t="s">
        <v>8376</v>
      </c>
      <c r="H818" s="531" t="s">
        <v>8377</v>
      </c>
      <c r="I818" s="531"/>
      <c r="L818" s="530" t="s">
        <v>2854</v>
      </c>
      <c r="M818" s="532">
        <v>0</v>
      </c>
      <c r="N818" s="530" t="s">
        <v>1544</v>
      </c>
    </row>
    <row r="819" spans="1:14" s="530" customFormat="1" x14ac:dyDescent="0.25">
      <c r="A819" s="530" t="s">
        <v>2905</v>
      </c>
      <c r="B819" s="530" t="s">
        <v>2906</v>
      </c>
      <c r="C819" s="531" t="s">
        <v>8344</v>
      </c>
      <c r="D819" s="531" t="s">
        <v>8375</v>
      </c>
      <c r="E819" s="531" t="s">
        <v>8346</v>
      </c>
      <c r="F819" s="531" t="s">
        <v>8372</v>
      </c>
      <c r="G819" s="531" t="s">
        <v>8378</v>
      </c>
      <c r="H819" s="531" t="s">
        <v>7974</v>
      </c>
      <c r="I819" s="531"/>
      <c r="L819" s="530" t="s">
        <v>2854</v>
      </c>
      <c r="M819" s="532">
        <v>0</v>
      </c>
      <c r="N819" s="530" t="s">
        <v>1544</v>
      </c>
    </row>
    <row r="820" spans="1:14" s="543" customFormat="1" x14ac:dyDescent="0.25">
      <c r="A820" s="543" t="s">
        <v>2907</v>
      </c>
      <c r="B820" s="543" t="s">
        <v>2908</v>
      </c>
      <c r="C820" s="544" t="s">
        <v>8379</v>
      </c>
      <c r="D820" s="544" t="s">
        <v>7782</v>
      </c>
      <c r="E820" s="546">
        <v>45416</v>
      </c>
      <c r="F820" s="544" t="s">
        <v>8380</v>
      </c>
      <c r="G820" s="544" t="s">
        <v>8381</v>
      </c>
      <c r="H820" s="544" t="s">
        <v>8382</v>
      </c>
      <c r="I820" s="544"/>
      <c r="L820" s="543" t="s">
        <v>1233</v>
      </c>
      <c r="M820" s="545">
        <v>54.42</v>
      </c>
      <c r="N820" s="543" t="s">
        <v>1233</v>
      </c>
    </row>
    <row r="821" spans="1:14" s="543" customFormat="1" x14ac:dyDescent="0.25">
      <c r="A821" s="543" t="s">
        <v>2909</v>
      </c>
      <c r="B821" s="543" t="s">
        <v>2910</v>
      </c>
      <c r="C821" s="544" t="s">
        <v>8379</v>
      </c>
      <c r="D821" s="544" t="s">
        <v>7797</v>
      </c>
      <c r="E821" s="546">
        <v>45416</v>
      </c>
      <c r="F821" s="544" t="s">
        <v>8380</v>
      </c>
      <c r="G821" s="544" t="s">
        <v>8383</v>
      </c>
      <c r="H821" s="544" t="s">
        <v>7926</v>
      </c>
      <c r="I821" s="544"/>
      <c r="L821" s="543" t="s">
        <v>1233</v>
      </c>
      <c r="M821" s="545">
        <v>74.97</v>
      </c>
      <c r="N821" s="543" t="s">
        <v>1233</v>
      </c>
    </row>
    <row r="822" spans="1:14" s="543" customFormat="1" x14ac:dyDescent="0.25">
      <c r="A822" s="543" t="s">
        <v>2911</v>
      </c>
      <c r="B822" s="543" t="s">
        <v>2912</v>
      </c>
      <c r="C822" s="544" t="s">
        <v>8379</v>
      </c>
      <c r="D822" s="544" t="s">
        <v>7797</v>
      </c>
      <c r="E822" s="546">
        <v>45416</v>
      </c>
      <c r="F822" s="544" t="s">
        <v>8380</v>
      </c>
      <c r="G822" s="544" t="s">
        <v>8383</v>
      </c>
      <c r="H822" s="544" t="s">
        <v>8384</v>
      </c>
      <c r="I822" s="544"/>
      <c r="L822" s="543" t="s">
        <v>1233</v>
      </c>
      <c r="M822" s="545">
        <v>74.97</v>
      </c>
      <c r="N822" s="543" t="s">
        <v>1233</v>
      </c>
    </row>
    <row r="823" spans="1:14" s="543" customFormat="1" x14ac:dyDescent="0.25">
      <c r="A823" s="543" t="s">
        <v>2913</v>
      </c>
      <c r="B823" s="543" t="s">
        <v>2914</v>
      </c>
      <c r="C823" s="544" t="s">
        <v>8379</v>
      </c>
      <c r="D823" s="544" t="s">
        <v>7797</v>
      </c>
      <c r="E823" s="546">
        <v>45416</v>
      </c>
      <c r="F823" s="544" t="s">
        <v>8380</v>
      </c>
      <c r="G823" s="544" t="s">
        <v>8383</v>
      </c>
      <c r="H823" s="544" t="s">
        <v>8385</v>
      </c>
      <c r="I823" s="544"/>
      <c r="L823" s="543" t="s">
        <v>1233</v>
      </c>
      <c r="M823" s="545">
        <v>74.97</v>
      </c>
      <c r="N823" s="543" t="s">
        <v>1233</v>
      </c>
    </row>
    <row r="824" spans="1:14" s="543" customFormat="1" x14ac:dyDescent="0.25">
      <c r="A824" s="543" t="s">
        <v>2915</v>
      </c>
      <c r="B824" s="543" t="s">
        <v>2916</v>
      </c>
      <c r="C824" s="544" t="s">
        <v>8379</v>
      </c>
      <c r="D824" s="544" t="s">
        <v>7797</v>
      </c>
      <c r="E824" s="546">
        <v>45416</v>
      </c>
      <c r="F824" s="544" t="s">
        <v>8380</v>
      </c>
      <c r="G824" s="544" t="s">
        <v>8383</v>
      </c>
      <c r="H824" s="544" t="s">
        <v>7947</v>
      </c>
      <c r="I824" s="544" t="s">
        <v>8386</v>
      </c>
      <c r="L824" s="543" t="s">
        <v>1233</v>
      </c>
      <c r="M824" s="545">
        <v>74.97</v>
      </c>
      <c r="N824" s="543" t="s">
        <v>1233</v>
      </c>
    </row>
    <row r="825" spans="1:14" s="543" customFormat="1" x14ac:dyDescent="0.25">
      <c r="A825" s="543" t="s">
        <v>2917</v>
      </c>
      <c r="B825" s="543" t="s">
        <v>2918</v>
      </c>
      <c r="C825" s="544" t="s">
        <v>8379</v>
      </c>
      <c r="D825" s="544" t="s">
        <v>7782</v>
      </c>
      <c r="E825" s="546">
        <v>45416</v>
      </c>
      <c r="F825" s="544" t="s">
        <v>8380</v>
      </c>
      <c r="G825" s="544" t="s">
        <v>8381</v>
      </c>
      <c r="H825" s="544" t="s">
        <v>8387</v>
      </c>
      <c r="I825" s="544"/>
      <c r="L825" s="543" t="s">
        <v>1233</v>
      </c>
      <c r="M825" s="545">
        <v>74.97</v>
      </c>
      <c r="N825" s="543" t="s">
        <v>1233</v>
      </c>
    </row>
    <row r="826" spans="1:14" s="543" customFormat="1" x14ac:dyDescent="0.25">
      <c r="A826" s="543" t="s">
        <v>2919</v>
      </c>
      <c r="B826" s="543" t="s">
        <v>2920</v>
      </c>
      <c r="C826" s="544" t="s">
        <v>8379</v>
      </c>
      <c r="D826" s="544" t="s">
        <v>7797</v>
      </c>
      <c r="E826" s="546">
        <v>45416</v>
      </c>
      <c r="F826" s="544" t="s">
        <v>8380</v>
      </c>
      <c r="G826" s="544" t="s">
        <v>8383</v>
      </c>
      <c r="H826" s="544" t="s">
        <v>8366</v>
      </c>
      <c r="I826" s="544" t="s">
        <v>8388</v>
      </c>
      <c r="L826" s="543" t="s">
        <v>1233</v>
      </c>
      <c r="M826" s="545">
        <v>74.97</v>
      </c>
      <c r="N826" s="543" t="s">
        <v>1233</v>
      </c>
    </row>
    <row r="827" spans="1:14" s="543" customFormat="1" x14ac:dyDescent="0.25">
      <c r="A827" s="543" t="s">
        <v>2921</v>
      </c>
      <c r="B827" s="543" t="s">
        <v>2922</v>
      </c>
      <c r="C827" s="544" t="s">
        <v>8379</v>
      </c>
      <c r="D827" s="544" t="s">
        <v>7797</v>
      </c>
      <c r="E827" s="546">
        <v>45416</v>
      </c>
      <c r="F827" s="544" t="s">
        <v>8380</v>
      </c>
      <c r="G827" s="544" t="s">
        <v>8383</v>
      </c>
      <c r="H827" s="544" t="s">
        <v>7958</v>
      </c>
      <c r="I827" s="544"/>
      <c r="L827" s="543" t="s">
        <v>1233</v>
      </c>
      <c r="M827" s="545">
        <v>74.97</v>
      </c>
      <c r="N827" s="543" t="s">
        <v>1233</v>
      </c>
    </row>
    <row r="828" spans="1:14" s="543" customFormat="1" x14ac:dyDescent="0.25">
      <c r="A828" s="543" t="s">
        <v>2923</v>
      </c>
      <c r="B828" s="543" t="s">
        <v>2924</v>
      </c>
      <c r="C828" s="544" t="s">
        <v>8379</v>
      </c>
      <c r="D828" s="544" t="s">
        <v>7797</v>
      </c>
      <c r="E828" s="546">
        <v>45416</v>
      </c>
      <c r="F828" s="544" t="s">
        <v>8380</v>
      </c>
      <c r="G828" s="544" t="s">
        <v>8383</v>
      </c>
      <c r="H828" s="544" t="s">
        <v>8389</v>
      </c>
      <c r="I828" s="544" t="s">
        <v>8386</v>
      </c>
      <c r="L828" s="543" t="s">
        <v>1233</v>
      </c>
      <c r="M828" s="545">
        <v>74.97</v>
      </c>
      <c r="N828" s="543" t="s">
        <v>1233</v>
      </c>
    </row>
    <row r="829" spans="1:14" s="543" customFormat="1" x14ac:dyDescent="0.25">
      <c r="A829" s="543" t="s">
        <v>2925</v>
      </c>
      <c r="B829" s="543" t="s">
        <v>2926</v>
      </c>
      <c r="C829" s="544" t="s">
        <v>8379</v>
      </c>
      <c r="D829" s="544" t="s">
        <v>7782</v>
      </c>
      <c r="E829" s="546">
        <v>45416</v>
      </c>
      <c r="F829" s="544" t="s">
        <v>8390</v>
      </c>
      <c r="G829" s="544" t="s">
        <v>8381</v>
      </c>
      <c r="H829" s="544" t="s">
        <v>8382</v>
      </c>
      <c r="I829" s="544"/>
      <c r="L829" s="543" t="s">
        <v>1233</v>
      </c>
      <c r="M829" s="545">
        <v>16.940000000000001</v>
      </c>
      <c r="N829" s="543" t="s">
        <v>1233</v>
      </c>
    </row>
    <row r="830" spans="1:14" s="543" customFormat="1" x14ac:dyDescent="0.25">
      <c r="A830" s="543" t="s">
        <v>2927</v>
      </c>
      <c r="B830" s="543" t="s">
        <v>2928</v>
      </c>
      <c r="C830" s="544" t="s">
        <v>8379</v>
      </c>
      <c r="D830" s="544" t="s">
        <v>7797</v>
      </c>
      <c r="E830" s="546">
        <v>45416</v>
      </c>
      <c r="F830" s="544" t="s">
        <v>8390</v>
      </c>
      <c r="G830" s="544" t="s">
        <v>8383</v>
      </c>
      <c r="H830" s="544" t="s">
        <v>7926</v>
      </c>
      <c r="I830" s="544"/>
      <c r="L830" s="543" t="s">
        <v>1233</v>
      </c>
      <c r="M830" s="545">
        <v>23.33</v>
      </c>
      <c r="N830" s="543" t="s">
        <v>1233</v>
      </c>
    </row>
    <row r="831" spans="1:14" s="543" customFormat="1" x14ac:dyDescent="0.25">
      <c r="A831" s="543" t="s">
        <v>2929</v>
      </c>
      <c r="B831" s="543" t="s">
        <v>2930</v>
      </c>
      <c r="C831" s="544" t="s">
        <v>8379</v>
      </c>
      <c r="D831" s="544" t="s">
        <v>7797</v>
      </c>
      <c r="E831" s="546">
        <v>45416</v>
      </c>
      <c r="F831" s="544" t="s">
        <v>8390</v>
      </c>
      <c r="G831" s="544" t="s">
        <v>8383</v>
      </c>
      <c r="H831" s="544" t="s">
        <v>8363</v>
      </c>
      <c r="I831" s="544" t="s">
        <v>8391</v>
      </c>
      <c r="L831" s="543" t="s">
        <v>1233</v>
      </c>
      <c r="M831" s="545">
        <v>23.33</v>
      </c>
      <c r="N831" s="543" t="s">
        <v>1233</v>
      </c>
    </row>
    <row r="832" spans="1:14" s="543" customFormat="1" x14ac:dyDescent="0.25">
      <c r="A832" s="543" t="s">
        <v>2931</v>
      </c>
      <c r="B832" s="543" t="s">
        <v>2932</v>
      </c>
      <c r="C832" s="544" t="s">
        <v>8379</v>
      </c>
      <c r="D832" s="544" t="s">
        <v>7782</v>
      </c>
      <c r="E832" s="546">
        <v>45416</v>
      </c>
      <c r="F832" s="544" t="s">
        <v>8392</v>
      </c>
      <c r="G832" s="544" t="s">
        <v>8381</v>
      </c>
      <c r="H832" s="544" t="s">
        <v>8382</v>
      </c>
      <c r="I832" s="544"/>
      <c r="L832" s="543" t="s">
        <v>1233</v>
      </c>
      <c r="M832" s="545">
        <v>26.61</v>
      </c>
      <c r="N832" s="543" t="s">
        <v>1233</v>
      </c>
    </row>
    <row r="833" spans="1:14" s="543" customFormat="1" x14ac:dyDescent="0.25">
      <c r="A833" s="543" t="s">
        <v>2933</v>
      </c>
      <c r="B833" s="543" t="s">
        <v>2934</v>
      </c>
      <c r="C833" s="544" t="s">
        <v>8379</v>
      </c>
      <c r="D833" s="544" t="s">
        <v>7797</v>
      </c>
      <c r="E833" s="546">
        <v>45416</v>
      </c>
      <c r="F833" s="544" t="s">
        <v>8392</v>
      </c>
      <c r="G833" s="544" t="s">
        <v>8383</v>
      </c>
      <c r="H833" s="544" t="s">
        <v>7926</v>
      </c>
      <c r="I833" s="544"/>
      <c r="L833" s="543" t="s">
        <v>1233</v>
      </c>
      <c r="M833" s="545">
        <v>36.659999999999997</v>
      </c>
      <c r="N833" s="543" t="s">
        <v>1233</v>
      </c>
    </row>
    <row r="834" spans="1:14" s="543" customFormat="1" x14ac:dyDescent="0.25">
      <c r="A834" s="543" t="s">
        <v>2935</v>
      </c>
      <c r="B834" s="543" t="s">
        <v>2936</v>
      </c>
      <c r="C834" s="544" t="s">
        <v>8379</v>
      </c>
      <c r="D834" s="544" t="s">
        <v>7797</v>
      </c>
      <c r="E834" s="546">
        <v>45416</v>
      </c>
      <c r="F834" s="544" t="s">
        <v>8392</v>
      </c>
      <c r="G834" s="544" t="s">
        <v>8383</v>
      </c>
      <c r="H834" s="544" t="s">
        <v>8363</v>
      </c>
      <c r="I834" s="544" t="s">
        <v>8391</v>
      </c>
      <c r="L834" s="543" t="s">
        <v>1233</v>
      </c>
      <c r="M834" s="545">
        <v>36.659999999999997</v>
      </c>
      <c r="N834" s="543" t="s">
        <v>1233</v>
      </c>
    </row>
    <row r="835" spans="1:14" s="543" customFormat="1" x14ac:dyDescent="0.25">
      <c r="A835" s="543" t="s">
        <v>2937</v>
      </c>
      <c r="B835" s="543" t="s">
        <v>2938</v>
      </c>
      <c r="C835" s="544" t="s">
        <v>8379</v>
      </c>
      <c r="D835" s="544" t="s">
        <v>7782</v>
      </c>
      <c r="E835" s="546">
        <v>45416</v>
      </c>
      <c r="F835" s="544" t="s">
        <v>8393</v>
      </c>
      <c r="G835" s="544" t="s">
        <v>8381</v>
      </c>
      <c r="H835" s="544" t="s">
        <v>8382</v>
      </c>
      <c r="I835" s="544"/>
      <c r="L835" s="543" t="s">
        <v>1233</v>
      </c>
      <c r="M835" s="545">
        <v>35.07</v>
      </c>
      <c r="N835" s="543" t="s">
        <v>1233</v>
      </c>
    </row>
    <row r="836" spans="1:14" s="543" customFormat="1" x14ac:dyDescent="0.25">
      <c r="A836" s="543" t="s">
        <v>2939</v>
      </c>
      <c r="B836" s="543" t="s">
        <v>2940</v>
      </c>
      <c r="C836" s="544" t="s">
        <v>8379</v>
      </c>
      <c r="D836" s="544" t="s">
        <v>7797</v>
      </c>
      <c r="E836" s="546">
        <v>45416</v>
      </c>
      <c r="F836" s="544" t="s">
        <v>8393</v>
      </c>
      <c r="G836" s="544" t="s">
        <v>8383</v>
      </c>
      <c r="H836" s="544" t="s">
        <v>7926</v>
      </c>
      <c r="I836" s="544"/>
      <c r="L836" s="543" t="s">
        <v>1233</v>
      </c>
      <c r="M836" s="545">
        <v>48.31</v>
      </c>
      <c r="N836" s="543" t="s">
        <v>1233</v>
      </c>
    </row>
    <row r="837" spans="1:14" s="543" customFormat="1" x14ac:dyDescent="0.25">
      <c r="A837" s="543" t="s">
        <v>2941</v>
      </c>
      <c r="B837" s="543" t="s">
        <v>2942</v>
      </c>
      <c r="C837" s="544" t="s">
        <v>8379</v>
      </c>
      <c r="D837" s="544" t="s">
        <v>7797</v>
      </c>
      <c r="E837" s="546">
        <v>45416</v>
      </c>
      <c r="F837" s="544" t="s">
        <v>8393</v>
      </c>
      <c r="G837" s="544" t="s">
        <v>8383</v>
      </c>
      <c r="H837" s="544" t="s">
        <v>8384</v>
      </c>
      <c r="I837" s="544"/>
      <c r="L837" s="543" t="s">
        <v>1233</v>
      </c>
      <c r="M837" s="545">
        <v>48.31</v>
      </c>
      <c r="N837" s="543" t="s">
        <v>1233</v>
      </c>
    </row>
    <row r="838" spans="1:14" s="543" customFormat="1" x14ac:dyDescent="0.25">
      <c r="A838" s="543" t="s">
        <v>2943</v>
      </c>
      <c r="B838" s="543" t="s">
        <v>2944</v>
      </c>
      <c r="C838" s="544" t="s">
        <v>8379</v>
      </c>
      <c r="D838" s="544" t="s">
        <v>7797</v>
      </c>
      <c r="E838" s="546">
        <v>45416</v>
      </c>
      <c r="F838" s="544" t="s">
        <v>8393</v>
      </c>
      <c r="G838" s="544" t="s">
        <v>8383</v>
      </c>
      <c r="H838" s="544" t="s">
        <v>8385</v>
      </c>
      <c r="I838" s="544"/>
      <c r="L838" s="543" t="s">
        <v>1233</v>
      </c>
      <c r="M838" s="545">
        <v>48.31</v>
      </c>
      <c r="N838" s="543" t="s">
        <v>1233</v>
      </c>
    </row>
    <row r="839" spans="1:14" s="543" customFormat="1" x14ac:dyDescent="0.25">
      <c r="A839" s="543" t="s">
        <v>2945</v>
      </c>
      <c r="B839" s="543" t="s">
        <v>2946</v>
      </c>
      <c r="C839" s="544" t="s">
        <v>8379</v>
      </c>
      <c r="D839" s="544" t="s">
        <v>7797</v>
      </c>
      <c r="E839" s="546">
        <v>45416</v>
      </c>
      <c r="F839" s="544" t="s">
        <v>8393</v>
      </c>
      <c r="G839" s="544" t="s">
        <v>8383</v>
      </c>
      <c r="H839" s="544" t="s">
        <v>8363</v>
      </c>
      <c r="I839" s="544" t="s">
        <v>8391</v>
      </c>
      <c r="L839" s="543" t="s">
        <v>1233</v>
      </c>
      <c r="M839" s="545">
        <v>48.31</v>
      </c>
      <c r="N839" s="543" t="s">
        <v>1233</v>
      </c>
    </row>
    <row r="840" spans="1:14" s="543" customFormat="1" x14ac:dyDescent="0.25">
      <c r="A840" s="543" t="s">
        <v>2947</v>
      </c>
      <c r="B840" s="543" t="s">
        <v>2948</v>
      </c>
      <c r="C840" s="544" t="s">
        <v>8379</v>
      </c>
      <c r="D840" s="544" t="s">
        <v>7797</v>
      </c>
      <c r="E840" s="546">
        <v>45416</v>
      </c>
      <c r="F840" s="544" t="s">
        <v>8393</v>
      </c>
      <c r="G840" s="544" t="s">
        <v>8383</v>
      </c>
      <c r="H840" s="544" t="s">
        <v>7969</v>
      </c>
      <c r="I840" s="544"/>
      <c r="L840" s="543" t="s">
        <v>1233</v>
      </c>
      <c r="M840" s="545">
        <v>48.31</v>
      </c>
      <c r="N840" s="543" t="s">
        <v>1233</v>
      </c>
    </row>
    <row r="841" spans="1:14" s="530" customFormat="1" x14ac:dyDescent="0.25">
      <c r="A841" s="530" t="s">
        <v>2949</v>
      </c>
      <c r="B841" s="530" t="s">
        <v>2950</v>
      </c>
      <c r="C841" s="531" t="s">
        <v>8379</v>
      </c>
      <c r="D841" s="531" t="s">
        <v>7782</v>
      </c>
      <c r="E841" s="533">
        <v>45416</v>
      </c>
      <c r="F841" s="531" t="s">
        <v>8394</v>
      </c>
      <c r="G841" s="531" t="s">
        <v>8381</v>
      </c>
      <c r="H841" s="531" t="s">
        <v>8382</v>
      </c>
      <c r="I841" s="531"/>
      <c r="L841" s="530" t="s">
        <v>1233</v>
      </c>
      <c r="M841" s="532">
        <v>0</v>
      </c>
      <c r="N841" s="530" t="s">
        <v>1544</v>
      </c>
    </row>
    <row r="842" spans="1:14" s="543" customFormat="1" x14ac:dyDescent="0.25">
      <c r="A842" s="543" t="s">
        <v>2951</v>
      </c>
      <c r="B842" s="543" t="s">
        <v>2952</v>
      </c>
      <c r="C842" s="544" t="s">
        <v>8379</v>
      </c>
      <c r="D842" s="544" t="s">
        <v>7782</v>
      </c>
      <c r="E842" s="546">
        <v>45416</v>
      </c>
      <c r="F842" s="544" t="s">
        <v>8393</v>
      </c>
      <c r="G842" s="544" t="s">
        <v>8395</v>
      </c>
      <c r="H842" s="544" t="s">
        <v>8382</v>
      </c>
      <c r="I842" s="544"/>
      <c r="L842" s="543" t="s">
        <v>1233</v>
      </c>
      <c r="M842" s="545">
        <v>35.07</v>
      </c>
      <c r="N842" s="543" t="s">
        <v>1233</v>
      </c>
    </row>
    <row r="843" spans="1:14" x14ac:dyDescent="0.25">
      <c r="A843" s="505" t="s">
        <v>2953</v>
      </c>
      <c r="B843" s="505" t="s">
        <v>2954</v>
      </c>
      <c r="C843" s="512" t="s">
        <v>8379</v>
      </c>
      <c r="D843" s="512" t="s">
        <v>8396</v>
      </c>
      <c r="E843" s="512" t="s">
        <v>325</v>
      </c>
      <c r="F843" s="512" t="s">
        <v>8397</v>
      </c>
      <c r="G843" s="512" t="s">
        <v>7700</v>
      </c>
      <c r="L843" s="505" t="s">
        <v>1233</v>
      </c>
      <c r="M843" s="516">
        <v>61.3</v>
      </c>
      <c r="N843" s="505" t="s">
        <v>1233</v>
      </c>
    </row>
    <row r="844" spans="1:14" x14ac:dyDescent="0.25">
      <c r="A844" s="505" t="s">
        <v>2955</v>
      </c>
      <c r="B844" s="505" t="s">
        <v>2956</v>
      </c>
      <c r="C844" s="512" t="s">
        <v>8379</v>
      </c>
      <c r="D844" s="512" t="s">
        <v>8396</v>
      </c>
      <c r="E844" s="512" t="s">
        <v>7518</v>
      </c>
      <c r="F844" s="512" t="s">
        <v>8398</v>
      </c>
      <c r="G844" s="512" t="s">
        <v>8399</v>
      </c>
      <c r="L844" s="505" t="s">
        <v>1233</v>
      </c>
      <c r="M844" s="516">
        <v>49.33</v>
      </c>
      <c r="N844" s="505" t="s">
        <v>1233</v>
      </c>
    </row>
    <row r="845" spans="1:14" x14ac:dyDescent="0.25">
      <c r="A845" s="505" t="s">
        <v>2957</v>
      </c>
      <c r="B845" s="505" t="s">
        <v>2958</v>
      </c>
      <c r="C845" s="512" t="s">
        <v>8379</v>
      </c>
      <c r="D845" s="512" t="s">
        <v>8400</v>
      </c>
      <c r="E845" s="512" t="s">
        <v>8401</v>
      </c>
      <c r="F845" s="512" t="s">
        <v>8402</v>
      </c>
      <c r="G845" s="512" t="s">
        <v>8382</v>
      </c>
      <c r="L845" s="505" t="s">
        <v>1233</v>
      </c>
      <c r="M845" s="516">
        <v>9.18</v>
      </c>
      <c r="N845" s="505" t="s">
        <v>1233</v>
      </c>
    </row>
    <row r="846" spans="1:14" s="543" customFormat="1" x14ac:dyDescent="0.25">
      <c r="A846" s="543" t="s">
        <v>2959</v>
      </c>
      <c r="B846" s="543" t="s">
        <v>2960</v>
      </c>
      <c r="C846" s="544" t="s">
        <v>8379</v>
      </c>
      <c r="D846" s="544" t="s">
        <v>8403</v>
      </c>
      <c r="E846" s="544" t="s">
        <v>8404</v>
      </c>
      <c r="F846" s="544" t="s">
        <v>8402</v>
      </c>
      <c r="G846" s="544" t="s">
        <v>8405</v>
      </c>
      <c r="H846" s="544" t="s">
        <v>7986</v>
      </c>
      <c r="I846" s="544"/>
      <c r="L846" s="543" t="s">
        <v>1233</v>
      </c>
      <c r="M846" s="545">
        <v>12.64</v>
      </c>
      <c r="N846" s="543" t="s">
        <v>1233</v>
      </c>
    </row>
    <row r="847" spans="1:14" s="530" customFormat="1" x14ac:dyDescent="0.25">
      <c r="A847" s="530" t="s">
        <v>2961</v>
      </c>
      <c r="B847" s="530" t="s">
        <v>2962</v>
      </c>
      <c r="C847" s="531" t="s">
        <v>8379</v>
      </c>
      <c r="D847" s="531" t="s">
        <v>8403</v>
      </c>
      <c r="E847" s="531" t="s">
        <v>8404</v>
      </c>
      <c r="F847" s="531" t="s">
        <v>8402</v>
      </c>
      <c r="G847" s="531" t="s">
        <v>8384</v>
      </c>
      <c r="H847" s="531"/>
      <c r="I847" s="531"/>
      <c r="L847" s="530" t="s">
        <v>1233</v>
      </c>
      <c r="M847" s="532">
        <v>0</v>
      </c>
      <c r="N847" s="530" t="s">
        <v>1544</v>
      </c>
    </row>
    <row r="848" spans="1:14" s="530" customFormat="1" x14ac:dyDescent="0.25">
      <c r="A848" s="530" t="s">
        <v>2963</v>
      </c>
      <c r="B848" s="530" t="s">
        <v>2964</v>
      </c>
      <c r="C848" s="531" t="s">
        <v>8379</v>
      </c>
      <c r="D848" s="531" t="s">
        <v>8400</v>
      </c>
      <c r="E848" s="531" t="s">
        <v>8401</v>
      </c>
      <c r="F848" s="531" t="s">
        <v>8402</v>
      </c>
      <c r="G848" s="531" t="s">
        <v>7790</v>
      </c>
      <c r="H848" s="531"/>
      <c r="I848" s="531"/>
      <c r="L848" s="530" t="s">
        <v>1233</v>
      </c>
      <c r="M848" s="532">
        <v>0</v>
      </c>
      <c r="N848" s="530" t="s">
        <v>1544</v>
      </c>
    </row>
    <row r="849" spans="1:14" s="543" customFormat="1" x14ac:dyDescent="0.25">
      <c r="A849" s="543" t="s">
        <v>2965</v>
      </c>
      <c r="B849" s="543" t="s">
        <v>2966</v>
      </c>
      <c r="C849" s="544" t="s">
        <v>8379</v>
      </c>
      <c r="D849" s="544" t="s">
        <v>8403</v>
      </c>
      <c r="E849" s="544" t="s">
        <v>8406</v>
      </c>
      <c r="F849" s="544" t="s">
        <v>8402</v>
      </c>
      <c r="G849" s="544" t="s">
        <v>8407</v>
      </c>
      <c r="H849" s="544"/>
      <c r="I849" s="544"/>
      <c r="L849" s="543" t="s">
        <v>1233</v>
      </c>
      <c r="M849" s="545">
        <v>9.18</v>
      </c>
      <c r="N849" s="543" t="s">
        <v>1233</v>
      </c>
    </row>
    <row r="850" spans="1:14" s="543" customFormat="1" x14ac:dyDescent="0.25">
      <c r="A850" s="543" t="s">
        <v>2967</v>
      </c>
      <c r="B850" s="543" t="s">
        <v>2968</v>
      </c>
      <c r="C850" s="544" t="s">
        <v>8379</v>
      </c>
      <c r="D850" s="544" t="s">
        <v>8403</v>
      </c>
      <c r="E850" s="544" t="s">
        <v>8406</v>
      </c>
      <c r="F850" s="544" t="s">
        <v>8402</v>
      </c>
      <c r="G850" s="544" t="s">
        <v>7926</v>
      </c>
      <c r="H850" s="544" t="s">
        <v>8408</v>
      </c>
      <c r="I850" s="544"/>
      <c r="L850" s="543" t="s">
        <v>1233</v>
      </c>
      <c r="M850" s="545">
        <v>13.04</v>
      </c>
      <c r="N850" s="543" t="s">
        <v>1233</v>
      </c>
    </row>
    <row r="851" spans="1:14" s="543" customFormat="1" x14ac:dyDescent="0.25">
      <c r="A851" s="543" t="s">
        <v>2969</v>
      </c>
      <c r="B851" s="543" t="s">
        <v>2970</v>
      </c>
      <c r="C851" s="544" t="s">
        <v>8379</v>
      </c>
      <c r="D851" s="544" t="s">
        <v>8403</v>
      </c>
      <c r="E851" s="544" t="s">
        <v>8406</v>
      </c>
      <c r="F851" s="544" t="s">
        <v>8402</v>
      </c>
      <c r="G851" s="544" t="s">
        <v>8409</v>
      </c>
      <c r="H851" s="544" t="s">
        <v>7445</v>
      </c>
      <c r="I851" s="544"/>
      <c r="L851" s="543" t="s">
        <v>1233</v>
      </c>
      <c r="M851" s="545">
        <v>13.04</v>
      </c>
      <c r="N851" s="543" t="s">
        <v>1233</v>
      </c>
    </row>
    <row r="852" spans="1:14" s="543" customFormat="1" x14ac:dyDescent="0.25">
      <c r="A852" s="543" t="s">
        <v>2971</v>
      </c>
      <c r="B852" s="543" t="s">
        <v>2972</v>
      </c>
      <c r="C852" s="544" t="s">
        <v>8379</v>
      </c>
      <c r="D852" s="544" t="s">
        <v>8296</v>
      </c>
      <c r="E852" s="544" t="s">
        <v>8410</v>
      </c>
      <c r="F852" s="544" t="s">
        <v>8411</v>
      </c>
      <c r="G852" s="544" t="s">
        <v>8407</v>
      </c>
      <c r="H852" s="544"/>
      <c r="I852" s="544"/>
      <c r="L852" s="543" t="s">
        <v>2466</v>
      </c>
      <c r="M852" s="545">
        <v>10.98</v>
      </c>
      <c r="N852" s="543" t="s">
        <v>2466</v>
      </c>
    </row>
    <row r="853" spans="1:14" s="543" customFormat="1" x14ac:dyDescent="0.25">
      <c r="A853" s="543" t="s">
        <v>2973</v>
      </c>
      <c r="B853" s="543" t="s">
        <v>2974</v>
      </c>
      <c r="C853" s="544" t="s">
        <v>8379</v>
      </c>
      <c r="D853" s="544" t="s">
        <v>8296</v>
      </c>
      <c r="E853" s="544" t="s">
        <v>8410</v>
      </c>
      <c r="F853" s="544" t="s">
        <v>8411</v>
      </c>
      <c r="G853" s="544" t="s">
        <v>8412</v>
      </c>
      <c r="H853" s="544" t="s">
        <v>8413</v>
      </c>
      <c r="I853" s="544"/>
      <c r="L853" s="543" t="s">
        <v>2466</v>
      </c>
      <c r="M853" s="545">
        <v>14.47</v>
      </c>
      <c r="N853" s="543" t="s">
        <v>2466</v>
      </c>
    </row>
    <row r="854" spans="1:14" s="543" customFormat="1" x14ac:dyDescent="0.25">
      <c r="A854" s="543" t="s">
        <v>2975</v>
      </c>
      <c r="B854" s="543" t="s">
        <v>2976</v>
      </c>
      <c r="C854" s="544" t="s">
        <v>8379</v>
      </c>
      <c r="D854" s="544" t="s">
        <v>8296</v>
      </c>
      <c r="E854" s="544" t="s">
        <v>8410</v>
      </c>
      <c r="F854" s="544" t="s">
        <v>8411</v>
      </c>
      <c r="G854" s="544" t="s">
        <v>8414</v>
      </c>
      <c r="H854" s="544" t="s">
        <v>7595</v>
      </c>
      <c r="I854" s="544"/>
      <c r="L854" s="543" t="s">
        <v>2466</v>
      </c>
      <c r="M854" s="545">
        <v>14.47</v>
      </c>
      <c r="N854" s="543" t="s">
        <v>2466</v>
      </c>
    </row>
    <row r="855" spans="1:14" s="543" customFormat="1" x14ac:dyDescent="0.25">
      <c r="A855" s="543" t="s">
        <v>2977</v>
      </c>
      <c r="B855" s="543" t="s">
        <v>2978</v>
      </c>
      <c r="C855" s="544" t="s">
        <v>8379</v>
      </c>
      <c r="D855" s="544" t="s">
        <v>8296</v>
      </c>
      <c r="E855" s="544" t="s">
        <v>8410</v>
      </c>
      <c r="F855" s="544" t="s">
        <v>8411</v>
      </c>
      <c r="G855" s="544" t="s">
        <v>8356</v>
      </c>
      <c r="H855" s="544" t="s">
        <v>7986</v>
      </c>
      <c r="I855" s="544"/>
      <c r="L855" s="543" t="s">
        <v>2466</v>
      </c>
      <c r="M855" s="545">
        <v>14.47</v>
      </c>
      <c r="N855" s="543" t="s">
        <v>2466</v>
      </c>
    </row>
    <row r="856" spans="1:14" s="543" customFormat="1" x14ac:dyDescent="0.25">
      <c r="A856" s="543" t="s">
        <v>2979</v>
      </c>
      <c r="B856" s="543" t="s">
        <v>2980</v>
      </c>
      <c r="C856" s="544" t="s">
        <v>8379</v>
      </c>
      <c r="D856" s="544" t="s">
        <v>8296</v>
      </c>
      <c r="E856" s="544" t="s">
        <v>8410</v>
      </c>
      <c r="F856" s="544" t="s">
        <v>8411</v>
      </c>
      <c r="G856" s="544" t="s">
        <v>8415</v>
      </c>
      <c r="H856" s="544"/>
      <c r="I856" s="544"/>
      <c r="L856" s="543" t="s">
        <v>2466</v>
      </c>
      <c r="M856" s="545">
        <v>14.47</v>
      </c>
      <c r="N856" s="543" t="s">
        <v>2466</v>
      </c>
    </row>
    <row r="857" spans="1:14" s="543" customFormat="1" x14ac:dyDescent="0.25">
      <c r="A857" s="543" t="s">
        <v>2981</v>
      </c>
      <c r="B857" s="543" t="s">
        <v>2982</v>
      </c>
      <c r="C857" s="544" t="s">
        <v>8379</v>
      </c>
      <c r="D857" s="544" t="s">
        <v>8416</v>
      </c>
      <c r="E857" s="544" t="s">
        <v>8417</v>
      </c>
      <c r="F857" s="544" t="s">
        <v>8418</v>
      </c>
      <c r="G857" s="544" t="s">
        <v>8419</v>
      </c>
      <c r="H857" s="544"/>
      <c r="I857" s="544"/>
      <c r="L857" s="543" t="s">
        <v>2466</v>
      </c>
      <c r="M857" s="545">
        <v>14.47</v>
      </c>
      <c r="N857" s="543" t="s">
        <v>2466</v>
      </c>
    </row>
    <row r="858" spans="1:14" s="543" customFormat="1" x14ac:dyDescent="0.25">
      <c r="A858" s="543" t="s">
        <v>2983</v>
      </c>
      <c r="B858" s="543" t="s">
        <v>2984</v>
      </c>
      <c r="C858" s="544" t="s">
        <v>8379</v>
      </c>
      <c r="D858" s="544" t="s">
        <v>8296</v>
      </c>
      <c r="E858" s="544" t="s">
        <v>8410</v>
      </c>
      <c r="F858" s="544" t="s">
        <v>8411</v>
      </c>
      <c r="G858" s="544" t="s">
        <v>8420</v>
      </c>
      <c r="H858" s="544"/>
      <c r="I858" s="544"/>
      <c r="L858" s="543" t="s">
        <v>2466</v>
      </c>
      <c r="M858" s="545">
        <v>14.47</v>
      </c>
      <c r="N858" s="543" t="s">
        <v>2466</v>
      </c>
    </row>
    <row r="859" spans="1:14" s="543" customFormat="1" x14ac:dyDescent="0.25">
      <c r="A859" s="543" t="s">
        <v>2985</v>
      </c>
      <c r="B859" s="543" t="s">
        <v>2986</v>
      </c>
      <c r="C859" s="544" t="s">
        <v>8379</v>
      </c>
      <c r="D859" s="544" t="s">
        <v>8416</v>
      </c>
      <c r="E859" s="544" t="s">
        <v>8417</v>
      </c>
      <c r="F859" s="544" t="s">
        <v>8418</v>
      </c>
      <c r="G859" s="544" t="s">
        <v>8421</v>
      </c>
      <c r="H859" s="544"/>
      <c r="I859" s="544"/>
      <c r="L859" s="543" t="s">
        <v>2466</v>
      </c>
      <c r="M859" s="545">
        <v>14.47</v>
      </c>
      <c r="N859" s="543" t="s">
        <v>2466</v>
      </c>
    </row>
    <row r="860" spans="1:14" s="543" customFormat="1" x14ac:dyDescent="0.25">
      <c r="A860" s="543" t="s">
        <v>2987</v>
      </c>
      <c r="B860" s="543" t="s">
        <v>2988</v>
      </c>
      <c r="C860" s="544" t="s">
        <v>8379</v>
      </c>
      <c r="D860" s="544" t="s">
        <v>8296</v>
      </c>
      <c r="E860" s="544" t="s">
        <v>8410</v>
      </c>
      <c r="F860" s="544" t="s">
        <v>8411</v>
      </c>
      <c r="G860" s="544" t="s">
        <v>8422</v>
      </c>
      <c r="H860" s="544" t="s">
        <v>7445</v>
      </c>
      <c r="I860" s="544"/>
      <c r="L860" s="543" t="s">
        <v>2466</v>
      </c>
      <c r="M860" s="545">
        <v>14.47</v>
      </c>
      <c r="N860" s="543" t="s">
        <v>2466</v>
      </c>
    </row>
    <row r="861" spans="1:14" s="543" customFormat="1" x14ac:dyDescent="0.25">
      <c r="A861" s="543" t="s">
        <v>2989</v>
      </c>
      <c r="B861" s="543" t="s">
        <v>2990</v>
      </c>
      <c r="C861" s="544" t="s">
        <v>8379</v>
      </c>
      <c r="D861" s="544" t="s">
        <v>8296</v>
      </c>
      <c r="E861" s="544" t="s">
        <v>8410</v>
      </c>
      <c r="F861" s="544" t="s">
        <v>8411</v>
      </c>
      <c r="G861" s="544" t="s">
        <v>7489</v>
      </c>
      <c r="H861" s="544" t="s">
        <v>8423</v>
      </c>
      <c r="I861" s="544"/>
      <c r="L861" s="543" t="s">
        <v>2466</v>
      </c>
      <c r="M861" s="545">
        <v>14.47</v>
      </c>
      <c r="N861" s="543" t="s">
        <v>2466</v>
      </c>
    </row>
    <row r="862" spans="1:14" s="543" customFormat="1" x14ac:dyDescent="0.25">
      <c r="A862" s="543" t="s">
        <v>2991</v>
      </c>
      <c r="B862" s="543" t="s">
        <v>2992</v>
      </c>
      <c r="C862" s="544" t="s">
        <v>8379</v>
      </c>
      <c r="D862" s="544" t="s">
        <v>8416</v>
      </c>
      <c r="E862" s="544" t="s">
        <v>8417</v>
      </c>
      <c r="F862" s="544" t="s">
        <v>8418</v>
      </c>
      <c r="G862" s="544" t="s">
        <v>8424</v>
      </c>
      <c r="H862" s="544"/>
      <c r="I862" s="544"/>
      <c r="L862" s="543" t="s">
        <v>2466</v>
      </c>
      <c r="M862" s="545">
        <v>14.47</v>
      </c>
      <c r="N862" s="543" t="s">
        <v>2466</v>
      </c>
    </row>
    <row r="863" spans="1:14" s="543" customFormat="1" x14ac:dyDescent="0.25">
      <c r="A863" s="543" t="s">
        <v>2993</v>
      </c>
      <c r="B863" s="543" t="s">
        <v>2994</v>
      </c>
      <c r="C863" s="544" t="s">
        <v>8379</v>
      </c>
      <c r="D863" s="544" t="s">
        <v>8296</v>
      </c>
      <c r="E863" s="544" t="s">
        <v>8410</v>
      </c>
      <c r="F863" s="544" t="s">
        <v>8411</v>
      </c>
      <c r="G863" s="544" t="s">
        <v>8363</v>
      </c>
      <c r="H863" s="544" t="s">
        <v>8391</v>
      </c>
      <c r="I863" s="544"/>
      <c r="L863" s="543" t="s">
        <v>2466</v>
      </c>
      <c r="M863" s="545">
        <v>14.47</v>
      </c>
      <c r="N863" s="543" t="s">
        <v>2466</v>
      </c>
    </row>
    <row r="864" spans="1:14" s="543" customFormat="1" x14ac:dyDescent="0.25">
      <c r="A864" s="543" t="s">
        <v>2995</v>
      </c>
      <c r="B864" s="543" t="s">
        <v>2996</v>
      </c>
      <c r="C864" s="544" t="s">
        <v>8379</v>
      </c>
      <c r="D864" s="544" t="s">
        <v>8296</v>
      </c>
      <c r="E864" s="544" t="s">
        <v>8410</v>
      </c>
      <c r="F864" s="544" t="s">
        <v>8411</v>
      </c>
      <c r="G864" s="544" t="s">
        <v>7947</v>
      </c>
      <c r="H864" s="544" t="s">
        <v>8386</v>
      </c>
      <c r="I864" s="544"/>
      <c r="L864" s="543" t="s">
        <v>2466</v>
      </c>
      <c r="M864" s="545">
        <v>14.47</v>
      </c>
      <c r="N864" s="543" t="s">
        <v>2466</v>
      </c>
    </row>
    <row r="865" spans="1:14" s="543" customFormat="1" x14ac:dyDescent="0.25">
      <c r="A865" s="543" t="s">
        <v>2997</v>
      </c>
      <c r="B865" s="543" t="s">
        <v>2998</v>
      </c>
      <c r="C865" s="544" t="s">
        <v>8379</v>
      </c>
      <c r="D865" s="544" t="s">
        <v>8296</v>
      </c>
      <c r="E865" s="544" t="s">
        <v>8410</v>
      </c>
      <c r="F865" s="544" t="s">
        <v>8411</v>
      </c>
      <c r="G865" s="544" t="s">
        <v>8425</v>
      </c>
      <c r="H865" s="544"/>
      <c r="I865" s="544"/>
      <c r="L865" s="543" t="s">
        <v>2466</v>
      </c>
      <c r="M865" s="545">
        <v>14.47</v>
      </c>
      <c r="N865" s="543" t="s">
        <v>2466</v>
      </c>
    </row>
    <row r="866" spans="1:14" s="543" customFormat="1" x14ac:dyDescent="0.25">
      <c r="A866" s="543" t="s">
        <v>2999</v>
      </c>
      <c r="B866" s="543" t="s">
        <v>3000</v>
      </c>
      <c r="C866" s="544" t="s">
        <v>8379</v>
      </c>
      <c r="D866" s="544" t="s">
        <v>8296</v>
      </c>
      <c r="E866" s="544" t="s">
        <v>8410</v>
      </c>
      <c r="F866" s="544" t="s">
        <v>8411</v>
      </c>
      <c r="G866" s="544" t="s">
        <v>8426</v>
      </c>
      <c r="H866" s="544" t="s">
        <v>7952</v>
      </c>
      <c r="I866" s="544"/>
      <c r="L866" s="543" t="s">
        <v>2466</v>
      </c>
      <c r="M866" s="545">
        <v>14.47</v>
      </c>
      <c r="N866" s="543" t="s">
        <v>2466</v>
      </c>
    </row>
    <row r="867" spans="1:14" s="543" customFormat="1" x14ac:dyDescent="0.25">
      <c r="A867" s="543" t="s">
        <v>3001</v>
      </c>
      <c r="B867" s="543" t="s">
        <v>3002</v>
      </c>
      <c r="C867" s="544" t="s">
        <v>8379</v>
      </c>
      <c r="D867" s="544" t="s">
        <v>8296</v>
      </c>
      <c r="E867" s="544" t="s">
        <v>8410</v>
      </c>
      <c r="F867" s="544" t="s">
        <v>8411</v>
      </c>
      <c r="G867" s="544" t="s">
        <v>8427</v>
      </c>
      <c r="H867" s="544"/>
      <c r="I867" s="544"/>
      <c r="L867" s="543" t="s">
        <v>2466</v>
      </c>
      <c r="M867" s="545">
        <v>14.47</v>
      </c>
      <c r="N867" s="543" t="s">
        <v>2466</v>
      </c>
    </row>
    <row r="868" spans="1:14" s="543" customFormat="1" x14ac:dyDescent="0.25">
      <c r="A868" s="543" t="s">
        <v>3003</v>
      </c>
      <c r="B868" s="543" t="s">
        <v>3004</v>
      </c>
      <c r="C868" s="544" t="s">
        <v>8379</v>
      </c>
      <c r="D868" s="544" t="s">
        <v>8296</v>
      </c>
      <c r="E868" s="544" t="s">
        <v>8410</v>
      </c>
      <c r="F868" s="544" t="s">
        <v>8411</v>
      </c>
      <c r="G868" s="544" t="s">
        <v>8368</v>
      </c>
      <c r="H868" s="544" t="s">
        <v>1924</v>
      </c>
      <c r="I868" s="544"/>
      <c r="L868" s="543" t="s">
        <v>2466</v>
      </c>
      <c r="M868" s="545">
        <v>14.47</v>
      </c>
      <c r="N868" s="543" t="s">
        <v>2466</v>
      </c>
    </row>
    <row r="869" spans="1:14" s="543" customFormat="1" x14ac:dyDescent="0.25">
      <c r="A869" s="543" t="s">
        <v>3005</v>
      </c>
      <c r="B869" s="543" t="s">
        <v>3006</v>
      </c>
      <c r="C869" s="544" t="s">
        <v>8379</v>
      </c>
      <c r="D869" s="544" t="s">
        <v>8416</v>
      </c>
      <c r="E869" s="544" t="s">
        <v>8417</v>
      </c>
      <c r="F869" s="544" t="s">
        <v>8418</v>
      </c>
      <c r="G869" s="544" t="s">
        <v>8428</v>
      </c>
      <c r="H869" s="544" t="s">
        <v>7426</v>
      </c>
      <c r="I869" s="544"/>
      <c r="L869" s="543" t="s">
        <v>2466</v>
      </c>
      <c r="M869" s="545">
        <v>14.47</v>
      </c>
      <c r="N869" s="543" t="s">
        <v>2466</v>
      </c>
    </row>
    <row r="870" spans="1:14" s="543" customFormat="1" x14ac:dyDescent="0.25">
      <c r="A870" s="543" t="s">
        <v>3007</v>
      </c>
      <c r="B870" s="543" t="s">
        <v>3008</v>
      </c>
      <c r="C870" s="544" t="s">
        <v>8379</v>
      </c>
      <c r="D870" s="544" t="s">
        <v>8416</v>
      </c>
      <c r="E870" s="544" t="s">
        <v>8417</v>
      </c>
      <c r="F870" s="544" t="s">
        <v>8418</v>
      </c>
      <c r="G870" s="544" t="s">
        <v>8429</v>
      </c>
      <c r="H870" s="544"/>
      <c r="I870" s="544"/>
      <c r="L870" s="543" t="s">
        <v>2466</v>
      </c>
      <c r="M870" s="545">
        <v>14.47</v>
      </c>
      <c r="N870" s="543" t="s">
        <v>2466</v>
      </c>
    </row>
    <row r="871" spans="1:14" s="543" customFormat="1" x14ac:dyDescent="0.25">
      <c r="A871" s="543" t="s">
        <v>3009</v>
      </c>
      <c r="B871" s="543" t="s">
        <v>3010</v>
      </c>
      <c r="C871" s="544" t="s">
        <v>8379</v>
      </c>
      <c r="D871" s="544" t="s">
        <v>8416</v>
      </c>
      <c r="E871" s="544" t="s">
        <v>8417</v>
      </c>
      <c r="F871" s="544" t="s">
        <v>8418</v>
      </c>
      <c r="G871" s="544" t="s">
        <v>8430</v>
      </c>
      <c r="H871" s="544"/>
      <c r="I871" s="544"/>
      <c r="L871" s="543" t="s">
        <v>2466</v>
      </c>
      <c r="M871" s="545">
        <v>14.47</v>
      </c>
      <c r="N871" s="543" t="s">
        <v>2466</v>
      </c>
    </row>
    <row r="872" spans="1:14" s="543" customFormat="1" x14ac:dyDescent="0.25">
      <c r="A872" s="543" t="s">
        <v>3011</v>
      </c>
      <c r="B872" s="543" t="s">
        <v>3012</v>
      </c>
      <c r="C872" s="544" t="s">
        <v>8379</v>
      </c>
      <c r="D872" s="544" t="s">
        <v>8416</v>
      </c>
      <c r="E872" s="544" t="s">
        <v>8417</v>
      </c>
      <c r="F872" s="544" t="s">
        <v>8411</v>
      </c>
      <c r="G872" s="544" t="s">
        <v>8431</v>
      </c>
      <c r="H872" s="544"/>
      <c r="I872" s="544"/>
      <c r="L872" s="543" t="s">
        <v>2466</v>
      </c>
      <c r="M872" s="545">
        <v>14.47</v>
      </c>
      <c r="N872" s="543" t="s">
        <v>2466</v>
      </c>
    </row>
    <row r="873" spans="1:14" s="543" customFormat="1" x14ac:dyDescent="0.25">
      <c r="A873" s="543" t="s">
        <v>3013</v>
      </c>
      <c r="B873" s="543" t="s">
        <v>3014</v>
      </c>
      <c r="C873" s="544" t="s">
        <v>8379</v>
      </c>
      <c r="D873" s="544" t="s">
        <v>8296</v>
      </c>
      <c r="E873" s="544" t="s">
        <v>8410</v>
      </c>
      <c r="F873" s="544" t="s">
        <v>8411</v>
      </c>
      <c r="G873" s="544" t="s">
        <v>7419</v>
      </c>
      <c r="H873" s="544" t="s">
        <v>8432</v>
      </c>
      <c r="I873" s="544"/>
      <c r="L873" s="543" t="s">
        <v>2466</v>
      </c>
      <c r="M873" s="545">
        <v>14.47</v>
      </c>
      <c r="N873" s="543" t="s">
        <v>2466</v>
      </c>
    </row>
    <row r="874" spans="1:14" s="543" customFormat="1" x14ac:dyDescent="0.25">
      <c r="A874" s="543" t="s">
        <v>3015</v>
      </c>
      <c r="B874" s="543" t="s">
        <v>3016</v>
      </c>
      <c r="C874" s="544" t="s">
        <v>8379</v>
      </c>
      <c r="D874" s="544" t="s">
        <v>8416</v>
      </c>
      <c r="E874" s="544" t="s">
        <v>8417</v>
      </c>
      <c r="F874" s="544" t="s">
        <v>8418</v>
      </c>
      <c r="G874" s="544" t="s">
        <v>8433</v>
      </c>
      <c r="H874" s="544"/>
      <c r="I874" s="544"/>
      <c r="L874" s="543" t="s">
        <v>2466</v>
      </c>
      <c r="M874" s="545">
        <v>14.47</v>
      </c>
      <c r="N874" s="543" t="s">
        <v>2466</v>
      </c>
    </row>
    <row r="875" spans="1:14" s="543" customFormat="1" x14ac:dyDescent="0.25">
      <c r="A875" s="543" t="s">
        <v>3017</v>
      </c>
      <c r="B875" s="543" t="s">
        <v>3018</v>
      </c>
      <c r="C875" s="544" t="s">
        <v>8379</v>
      </c>
      <c r="D875" s="544" t="s">
        <v>8296</v>
      </c>
      <c r="E875" s="544" t="s">
        <v>8434</v>
      </c>
      <c r="F875" s="544" t="s">
        <v>8435</v>
      </c>
      <c r="G875" s="544" t="s">
        <v>8407</v>
      </c>
      <c r="H875" s="544"/>
      <c r="I875" s="544"/>
      <c r="L875" s="543" t="s">
        <v>2466</v>
      </c>
      <c r="M875" s="545">
        <v>12.78</v>
      </c>
      <c r="N875" s="543" t="s">
        <v>2466</v>
      </c>
    </row>
    <row r="876" spans="1:14" s="543" customFormat="1" x14ac:dyDescent="0.25">
      <c r="A876" s="543" t="s">
        <v>3019</v>
      </c>
      <c r="B876" s="543" t="s">
        <v>3020</v>
      </c>
      <c r="C876" s="544" t="s">
        <v>8379</v>
      </c>
      <c r="D876" s="544" t="s">
        <v>8296</v>
      </c>
      <c r="E876" s="544" t="s">
        <v>8434</v>
      </c>
      <c r="F876" s="544" t="s">
        <v>8435</v>
      </c>
      <c r="G876" s="544" t="s">
        <v>7567</v>
      </c>
      <c r="H876" s="544" t="s">
        <v>8436</v>
      </c>
      <c r="I876" s="544"/>
      <c r="L876" s="543" t="s">
        <v>2466</v>
      </c>
      <c r="M876" s="545">
        <v>16.829999999999998</v>
      </c>
      <c r="N876" s="543" t="s">
        <v>2466</v>
      </c>
    </row>
    <row r="877" spans="1:14" s="543" customFormat="1" x14ac:dyDescent="0.25">
      <c r="A877" s="543" t="s">
        <v>3021</v>
      </c>
      <c r="B877" s="543" t="s">
        <v>3022</v>
      </c>
      <c r="C877" s="544" t="s">
        <v>8379</v>
      </c>
      <c r="D877" s="544" t="s">
        <v>8296</v>
      </c>
      <c r="E877" s="544" t="s">
        <v>8434</v>
      </c>
      <c r="F877" s="544" t="s">
        <v>8435</v>
      </c>
      <c r="G877" s="544" t="s">
        <v>7926</v>
      </c>
      <c r="H877" s="544"/>
      <c r="I877" s="544"/>
      <c r="L877" s="543" t="s">
        <v>2466</v>
      </c>
      <c r="M877" s="545">
        <v>16.829999999999998</v>
      </c>
      <c r="N877" s="543" t="s">
        <v>2466</v>
      </c>
    </row>
    <row r="878" spans="1:14" s="543" customFormat="1" x14ac:dyDescent="0.25">
      <c r="A878" s="543" t="s">
        <v>3023</v>
      </c>
      <c r="B878" s="543" t="s">
        <v>3024</v>
      </c>
      <c r="C878" s="544" t="s">
        <v>8379</v>
      </c>
      <c r="D878" s="544" t="s">
        <v>8296</v>
      </c>
      <c r="E878" s="544" t="s">
        <v>8434</v>
      </c>
      <c r="F878" s="544" t="s">
        <v>8435</v>
      </c>
      <c r="G878" s="544" t="s">
        <v>8437</v>
      </c>
      <c r="H878" s="544"/>
      <c r="I878" s="544"/>
      <c r="L878" s="543" t="s">
        <v>2466</v>
      </c>
      <c r="M878" s="545">
        <v>16.829999999999998</v>
      </c>
      <c r="N878" s="543" t="s">
        <v>2466</v>
      </c>
    </row>
    <row r="879" spans="1:14" s="543" customFormat="1" x14ac:dyDescent="0.25">
      <c r="A879" s="543" t="s">
        <v>3025</v>
      </c>
      <c r="B879" s="543" t="s">
        <v>3026</v>
      </c>
      <c r="C879" s="544" t="s">
        <v>8379</v>
      </c>
      <c r="D879" s="544" t="s">
        <v>8296</v>
      </c>
      <c r="E879" s="544" t="s">
        <v>8434</v>
      </c>
      <c r="F879" s="544" t="s">
        <v>8435</v>
      </c>
      <c r="G879" s="544" t="s">
        <v>8438</v>
      </c>
      <c r="H879" s="544"/>
      <c r="I879" s="544"/>
      <c r="L879" s="543" t="s">
        <v>2466</v>
      </c>
      <c r="M879" s="545">
        <v>16.829999999999998</v>
      </c>
      <c r="N879" s="543" t="s">
        <v>2466</v>
      </c>
    </row>
    <row r="880" spans="1:14" s="543" customFormat="1" x14ac:dyDescent="0.25">
      <c r="A880" s="543" t="s">
        <v>3027</v>
      </c>
      <c r="B880" s="543" t="s">
        <v>3028</v>
      </c>
      <c r="C880" s="544" t="s">
        <v>8379</v>
      </c>
      <c r="D880" s="544" t="s">
        <v>8296</v>
      </c>
      <c r="E880" s="544" t="s">
        <v>8434</v>
      </c>
      <c r="F880" s="544" t="s">
        <v>8435</v>
      </c>
      <c r="G880" s="544" t="s">
        <v>8385</v>
      </c>
      <c r="H880" s="544"/>
      <c r="I880" s="544"/>
      <c r="L880" s="543" t="s">
        <v>2466</v>
      </c>
      <c r="M880" s="545">
        <v>16.829999999999998</v>
      </c>
      <c r="N880" s="543" t="s">
        <v>2466</v>
      </c>
    </row>
    <row r="881" spans="1:14" s="543" customFormat="1" x14ac:dyDescent="0.25">
      <c r="A881" s="543" t="s">
        <v>3029</v>
      </c>
      <c r="B881" s="543" t="s">
        <v>3030</v>
      </c>
      <c r="C881" s="544" t="s">
        <v>8379</v>
      </c>
      <c r="D881" s="544" t="s">
        <v>8296</v>
      </c>
      <c r="E881" s="544" t="s">
        <v>8434</v>
      </c>
      <c r="F881" s="544" t="s">
        <v>8435</v>
      </c>
      <c r="G881" s="544" t="s">
        <v>8439</v>
      </c>
      <c r="H881" s="544"/>
      <c r="I881" s="544"/>
      <c r="L881" s="543" t="s">
        <v>2466</v>
      </c>
      <c r="M881" s="545">
        <v>16.829999999999998</v>
      </c>
      <c r="N881" s="543" t="s">
        <v>2466</v>
      </c>
    </row>
    <row r="882" spans="1:14" s="543" customFormat="1" x14ac:dyDescent="0.25">
      <c r="A882" s="543" t="s">
        <v>3031</v>
      </c>
      <c r="B882" s="543" t="s">
        <v>3032</v>
      </c>
      <c r="C882" s="544" t="s">
        <v>8379</v>
      </c>
      <c r="D882" s="544" t="s">
        <v>8296</v>
      </c>
      <c r="E882" s="544" t="s">
        <v>8434</v>
      </c>
      <c r="F882" s="544" t="s">
        <v>8435</v>
      </c>
      <c r="G882" s="544" t="s">
        <v>8440</v>
      </c>
      <c r="H882" s="544"/>
      <c r="I882" s="544"/>
      <c r="L882" s="543" t="s">
        <v>2466</v>
      </c>
      <c r="M882" s="545">
        <v>16.829999999999998</v>
      </c>
      <c r="N882" s="543" t="s">
        <v>2466</v>
      </c>
    </row>
    <row r="883" spans="1:14" s="543" customFormat="1" x14ac:dyDescent="0.25">
      <c r="A883" s="543" t="s">
        <v>3033</v>
      </c>
      <c r="B883" s="543" t="s">
        <v>3034</v>
      </c>
      <c r="C883" s="544" t="s">
        <v>8379</v>
      </c>
      <c r="D883" s="544" t="s">
        <v>8296</v>
      </c>
      <c r="E883" s="544" t="s">
        <v>8434</v>
      </c>
      <c r="F883" s="544" t="s">
        <v>8435</v>
      </c>
      <c r="G883" s="544" t="s">
        <v>7549</v>
      </c>
      <c r="H883" s="544" t="s">
        <v>7887</v>
      </c>
      <c r="I883" s="544"/>
      <c r="L883" s="543" t="s">
        <v>2466</v>
      </c>
      <c r="M883" s="545">
        <v>16.829999999999998</v>
      </c>
      <c r="N883" s="543" t="s">
        <v>2466</v>
      </c>
    </row>
    <row r="884" spans="1:14" s="543" customFormat="1" x14ac:dyDescent="0.25">
      <c r="A884" s="543" t="s">
        <v>3035</v>
      </c>
      <c r="B884" s="543" t="s">
        <v>3036</v>
      </c>
      <c r="C884" s="544" t="s">
        <v>8379</v>
      </c>
      <c r="D884" s="544" t="s">
        <v>8296</v>
      </c>
      <c r="E884" s="544" t="s">
        <v>8434</v>
      </c>
      <c r="F884" s="544" t="s">
        <v>8435</v>
      </c>
      <c r="G884" s="544" t="s">
        <v>8176</v>
      </c>
      <c r="H884" s="544"/>
      <c r="I884" s="544"/>
      <c r="L884" s="543" t="s">
        <v>2466</v>
      </c>
      <c r="M884" s="545">
        <v>16.829999999999998</v>
      </c>
      <c r="N884" s="543" t="s">
        <v>2466</v>
      </c>
    </row>
    <row r="885" spans="1:14" s="543" customFormat="1" x14ac:dyDescent="0.25">
      <c r="A885" s="543" t="s">
        <v>3037</v>
      </c>
      <c r="B885" s="543" t="s">
        <v>3038</v>
      </c>
      <c r="C885" s="544" t="s">
        <v>8379</v>
      </c>
      <c r="D885" s="544" t="s">
        <v>8416</v>
      </c>
      <c r="E885" s="544" t="s">
        <v>8441</v>
      </c>
      <c r="F885" s="544" t="s">
        <v>8435</v>
      </c>
      <c r="G885" s="544" t="s">
        <v>8442</v>
      </c>
      <c r="H885" s="544" t="s">
        <v>7600</v>
      </c>
      <c r="I885" s="544"/>
      <c r="L885" s="543" t="s">
        <v>2466</v>
      </c>
      <c r="M885" s="545">
        <v>16.829999999999998</v>
      </c>
      <c r="N885" s="543" t="s">
        <v>2466</v>
      </c>
    </row>
    <row r="886" spans="1:14" s="543" customFormat="1" x14ac:dyDescent="0.25">
      <c r="A886" s="543" t="s">
        <v>3039</v>
      </c>
      <c r="B886" s="543" t="s">
        <v>3040</v>
      </c>
      <c r="C886" s="544" t="s">
        <v>8379</v>
      </c>
      <c r="D886" s="544" t="s">
        <v>8416</v>
      </c>
      <c r="E886" s="544" t="s">
        <v>8441</v>
      </c>
      <c r="F886" s="544" t="s">
        <v>8435</v>
      </c>
      <c r="G886" s="544" t="s">
        <v>8443</v>
      </c>
      <c r="H886" s="544" t="s">
        <v>8444</v>
      </c>
      <c r="I886" s="544"/>
      <c r="L886" s="543" t="s">
        <v>2466</v>
      </c>
      <c r="M886" s="545">
        <v>16.829999999999998</v>
      </c>
      <c r="N886" s="543" t="s">
        <v>2466</v>
      </c>
    </row>
    <row r="887" spans="1:14" s="543" customFormat="1" x14ac:dyDescent="0.25">
      <c r="A887" s="543" t="s">
        <v>3041</v>
      </c>
      <c r="B887" s="543" t="s">
        <v>3042</v>
      </c>
      <c r="C887" s="544" t="s">
        <v>8379</v>
      </c>
      <c r="D887" s="544" t="s">
        <v>8416</v>
      </c>
      <c r="E887" s="544" t="s">
        <v>8441</v>
      </c>
      <c r="F887" s="544" t="s">
        <v>8435</v>
      </c>
      <c r="G887" s="544" t="s">
        <v>8364</v>
      </c>
      <c r="H887" s="544" t="s">
        <v>7950</v>
      </c>
      <c r="I887" s="544"/>
      <c r="L887" s="543" t="s">
        <v>2466</v>
      </c>
      <c r="M887" s="545">
        <v>16.829999999999998</v>
      </c>
      <c r="N887" s="543" t="s">
        <v>2466</v>
      </c>
    </row>
    <row r="888" spans="1:14" s="543" customFormat="1" x14ac:dyDescent="0.25">
      <c r="A888" s="543" t="s">
        <v>3043</v>
      </c>
      <c r="B888" s="543" t="s">
        <v>3044</v>
      </c>
      <c r="C888" s="544" t="s">
        <v>8379</v>
      </c>
      <c r="D888" s="544" t="s">
        <v>8416</v>
      </c>
      <c r="E888" s="544" t="s">
        <v>8441</v>
      </c>
      <c r="F888" s="544" t="s">
        <v>8435</v>
      </c>
      <c r="G888" s="544" t="s">
        <v>8426</v>
      </c>
      <c r="H888" s="544" t="s">
        <v>484</v>
      </c>
      <c r="I888" s="544"/>
      <c r="L888" s="543" t="s">
        <v>2466</v>
      </c>
      <c r="M888" s="545">
        <v>16.829999999999998</v>
      </c>
      <c r="N888" s="543" t="s">
        <v>2466</v>
      </c>
    </row>
    <row r="889" spans="1:14" s="543" customFormat="1" x14ac:dyDescent="0.25">
      <c r="A889" s="543" t="s">
        <v>3045</v>
      </c>
      <c r="B889" s="543" t="s">
        <v>3046</v>
      </c>
      <c r="C889" s="544" t="s">
        <v>8379</v>
      </c>
      <c r="D889" s="544" t="s">
        <v>8416</v>
      </c>
      <c r="E889" s="544" t="s">
        <v>8441</v>
      </c>
      <c r="F889" s="544" t="s">
        <v>8435</v>
      </c>
      <c r="G889" s="544" t="s">
        <v>8445</v>
      </c>
      <c r="H889" s="544"/>
      <c r="I889" s="544"/>
      <c r="L889" s="543" t="s">
        <v>2466</v>
      </c>
      <c r="M889" s="545">
        <v>16.829999999999998</v>
      </c>
      <c r="N889" s="543" t="s">
        <v>2466</v>
      </c>
    </row>
    <row r="890" spans="1:14" s="543" customFormat="1" x14ac:dyDescent="0.25">
      <c r="A890" s="543" t="s">
        <v>3047</v>
      </c>
      <c r="B890" s="543" t="s">
        <v>3048</v>
      </c>
      <c r="C890" s="544" t="s">
        <v>8379</v>
      </c>
      <c r="D890" s="544" t="s">
        <v>8416</v>
      </c>
      <c r="E890" s="544" t="s">
        <v>8441</v>
      </c>
      <c r="F890" s="544" t="s">
        <v>8435</v>
      </c>
      <c r="G890" s="544" t="s">
        <v>8446</v>
      </c>
      <c r="H890" s="544" t="s">
        <v>8447</v>
      </c>
      <c r="I890" s="544"/>
      <c r="L890" s="543" t="s">
        <v>2466</v>
      </c>
      <c r="M890" s="545">
        <v>16.829999999999998</v>
      </c>
      <c r="N890" s="543" t="s">
        <v>2466</v>
      </c>
    </row>
    <row r="891" spans="1:14" s="543" customFormat="1" x14ac:dyDescent="0.25">
      <c r="A891" s="543" t="s">
        <v>3049</v>
      </c>
      <c r="B891" s="543" t="s">
        <v>3050</v>
      </c>
      <c r="C891" s="544" t="s">
        <v>8379</v>
      </c>
      <c r="D891" s="544" t="s">
        <v>8416</v>
      </c>
      <c r="E891" s="544" t="s">
        <v>8441</v>
      </c>
      <c r="F891" s="544" t="s">
        <v>8435</v>
      </c>
      <c r="G891" s="544" t="s">
        <v>8428</v>
      </c>
      <c r="H891" s="544" t="s">
        <v>7426</v>
      </c>
      <c r="I891" s="544"/>
      <c r="L891" s="543" t="s">
        <v>2466</v>
      </c>
      <c r="M891" s="545">
        <v>16.829999999999998</v>
      </c>
      <c r="N891" s="543" t="s">
        <v>2466</v>
      </c>
    </row>
    <row r="892" spans="1:14" s="543" customFormat="1" x14ac:dyDescent="0.25">
      <c r="A892" s="543" t="s">
        <v>3051</v>
      </c>
      <c r="B892" s="543" t="s">
        <v>3052</v>
      </c>
      <c r="C892" s="544" t="s">
        <v>8379</v>
      </c>
      <c r="D892" s="544" t="s">
        <v>8416</v>
      </c>
      <c r="E892" s="544" t="s">
        <v>8441</v>
      </c>
      <c r="F892" s="544" t="s">
        <v>8435</v>
      </c>
      <c r="G892" s="544" t="s">
        <v>8448</v>
      </c>
      <c r="H892" s="544"/>
      <c r="I892" s="544"/>
      <c r="L892" s="543" t="s">
        <v>2466</v>
      </c>
      <c r="M892" s="545">
        <v>16.829999999999998</v>
      </c>
      <c r="N892" s="543" t="s">
        <v>2466</v>
      </c>
    </row>
    <row r="893" spans="1:14" s="543" customFormat="1" x14ac:dyDescent="0.25">
      <c r="A893" s="543" t="s">
        <v>3053</v>
      </c>
      <c r="B893" s="543" t="s">
        <v>3054</v>
      </c>
      <c r="C893" s="544" t="s">
        <v>8379</v>
      </c>
      <c r="D893" s="544" t="s">
        <v>8416</v>
      </c>
      <c r="E893" s="544" t="s">
        <v>8441</v>
      </c>
      <c r="F893" s="544" t="s">
        <v>8435</v>
      </c>
      <c r="G893" s="544" t="s">
        <v>8449</v>
      </c>
      <c r="H893" s="544"/>
      <c r="I893" s="544"/>
      <c r="L893" s="543" t="s">
        <v>2466</v>
      </c>
      <c r="M893" s="545">
        <v>16.829999999999998</v>
      </c>
      <c r="N893" s="543" t="s">
        <v>2466</v>
      </c>
    </row>
    <row r="894" spans="1:14" s="543" customFormat="1" x14ac:dyDescent="0.25">
      <c r="A894" s="543" t="s">
        <v>3055</v>
      </c>
      <c r="B894" s="543" t="s">
        <v>3056</v>
      </c>
      <c r="C894" s="544" t="s">
        <v>8379</v>
      </c>
      <c r="D894" s="544" t="s">
        <v>8416</v>
      </c>
      <c r="E894" s="544" t="s">
        <v>8441</v>
      </c>
      <c r="F894" s="544" t="s">
        <v>8435</v>
      </c>
      <c r="G894" s="544" t="s">
        <v>8430</v>
      </c>
      <c r="H894" s="544"/>
      <c r="I894" s="544"/>
      <c r="L894" s="543" t="s">
        <v>2466</v>
      </c>
      <c r="M894" s="545">
        <v>16.829999999999998</v>
      </c>
      <c r="N894" s="543" t="s">
        <v>2466</v>
      </c>
    </row>
    <row r="895" spans="1:14" s="543" customFormat="1" x14ac:dyDescent="0.25">
      <c r="A895" s="543" t="s">
        <v>3057</v>
      </c>
      <c r="B895" s="543" t="s">
        <v>3058</v>
      </c>
      <c r="C895" s="544" t="s">
        <v>8379</v>
      </c>
      <c r="D895" s="544" t="s">
        <v>8416</v>
      </c>
      <c r="E895" s="544" t="s">
        <v>8441</v>
      </c>
      <c r="F895" s="544" t="s">
        <v>8435</v>
      </c>
      <c r="G895" s="544" t="s">
        <v>8431</v>
      </c>
      <c r="H895" s="544"/>
      <c r="I895" s="544"/>
      <c r="L895" s="543" t="s">
        <v>2466</v>
      </c>
      <c r="M895" s="545">
        <v>16.829999999999998</v>
      </c>
      <c r="N895" s="543" t="s">
        <v>2466</v>
      </c>
    </row>
    <row r="896" spans="1:14" s="543" customFormat="1" x14ac:dyDescent="0.25">
      <c r="A896" s="543" t="s">
        <v>3059</v>
      </c>
      <c r="B896" s="543" t="s">
        <v>3060</v>
      </c>
      <c r="C896" s="544" t="s">
        <v>8379</v>
      </c>
      <c r="D896" s="544" t="s">
        <v>8416</v>
      </c>
      <c r="E896" s="544" t="s">
        <v>8441</v>
      </c>
      <c r="F896" s="544" t="s">
        <v>8435</v>
      </c>
      <c r="G896" s="544" t="s">
        <v>7971</v>
      </c>
      <c r="H896" s="544"/>
      <c r="I896" s="544"/>
      <c r="L896" s="543" t="s">
        <v>2466</v>
      </c>
      <c r="M896" s="545">
        <v>16.829999999999998</v>
      </c>
      <c r="N896" s="543" t="s">
        <v>2466</v>
      </c>
    </row>
    <row r="897" spans="1:14" s="543" customFormat="1" x14ac:dyDescent="0.25">
      <c r="A897" s="543" t="s">
        <v>3061</v>
      </c>
      <c r="B897" s="543" t="s">
        <v>3062</v>
      </c>
      <c r="C897" s="544" t="s">
        <v>8379</v>
      </c>
      <c r="D897" s="544" t="s">
        <v>8416</v>
      </c>
      <c r="E897" s="544" t="s">
        <v>8441</v>
      </c>
      <c r="F897" s="544" t="s">
        <v>8435</v>
      </c>
      <c r="G897" s="544" t="s">
        <v>8450</v>
      </c>
      <c r="H897" s="544"/>
      <c r="I897" s="544"/>
      <c r="L897" s="543" t="s">
        <v>2466</v>
      </c>
      <c r="M897" s="545">
        <v>16.829999999999998</v>
      </c>
      <c r="N897" s="543" t="s">
        <v>2466</v>
      </c>
    </row>
    <row r="898" spans="1:14" s="543" customFormat="1" x14ac:dyDescent="0.25">
      <c r="A898" s="543" t="s">
        <v>3063</v>
      </c>
      <c r="B898" s="543" t="s">
        <v>3064</v>
      </c>
      <c r="C898" s="544" t="s">
        <v>8379</v>
      </c>
      <c r="D898" s="544" t="s">
        <v>8416</v>
      </c>
      <c r="E898" s="544" t="s">
        <v>8441</v>
      </c>
      <c r="F898" s="544" t="s">
        <v>8435</v>
      </c>
      <c r="G898" s="544" t="s">
        <v>8451</v>
      </c>
      <c r="H898" s="544"/>
      <c r="I898" s="544"/>
      <c r="L898" s="543" t="s">
        <v>2466</v>
      </c>
      <c r="M898" s="545">
        <v>16.829999999999998</v>
      </c>
      <c r="N898" s="543" t="s">
        <v>2466</v>
      </c>
    </row>
    <row r="899" spans="1:14" x14ac:dyDescent="0.25">
      <c r="A899" s="505" t="s">
        <v>3065</v>
      </c>
      <c r="B899" s="505" t="s">
        <v>3066</v>
      </c>
      <c r="C899" s="512" t="s">
        <v>8379</v>
      </c>
      <c r="D899" s="512" t="s">
        <v>8452</v>
      </c>
      <c r="E899" s="512" t="s">
        <v>8453</v>
      </c>
      <c r="F899" s="512">
        <v>5.25</v>
      </c>
      <c r="G899" s="512" t="s">
        <v>8454</v>
      </c>
      <c r="H899" s="512" t="s">
        <v>511</v>
      </c>
      <c r="L899" s="505" t="s">
        <v>1233</v>
      </c>
      <c r="M899" s="516">
        <v>10.32</v>
      </c>
      <c r="N899" s="505" t="s">
        <v>1233</v>
      </c>
    </row>
    <row r="900" spans="1:14" x14ac:dyDescent="0.25">
      <c r="A900" s="505" t="s">
        <v>3067</v>
      </c>
      <c r="B900" s="505" t="s">
        <v>3068</v>
      </c>
      <c r="C900" s="512" t="s">
        <v>8379</v>
      </c>
      <c r="D900" s="512" t="s">
        <v>8452</v>
      </c>
      <c r="E900" s="512" t="s">
        <v>8453</v>
      </c>
      <c r="F900" s="512">
        <v>5.25</v>
      </c>
      <c r="G900" s="512" t="s">
        <v>7935</v>
      </c>
      <c r="L900" s="505" t="s">
        <v>1233</v>
      </c>
      <c r="M900" s="516">
        <v>10.32</v>
      </c>
      <c r="N900" s="505" t="s">
        <v>1233</v>
      </c>
    </row>
    <row r="901" spans="1:14" s="530" customFormat="1" x14ac:dyDescent="0.25">
      <c r="A901" s="530" t="s">
        <v>3069</v>
      </c>
      <c r="B901" s="530" t="s">
        <v>3070</v>
      </c>
      <c r="C901" s="531" t="s">
        <v>8379</v>
      </c>
      <c r="D901" s="531" t="s">
        <v>8452</v>
      </c>
      <c r="E901" s="531" t="s">
        <v>8453</v>
      </c>
      <c r="F901" s="531">
        <v>5.25</v>
      </c>
      <c r="G901" s="531" t="s">
        <v>8401</v>
      </c>
      <c r="H901" s="531" t="s">
        <v>8455</v>
      </c>
      <c r="I901" s="531"/>
      <c r="L901" s="530" t="s">
        <v>1233</v>
      </c>
      <c r="M901" s="532">
        <v>0</v>
      </c>
      <c r="N901" s="530" t="s">
        <v>1544</v>
      </c>
    </row>
    <row r="902" spans="1:14" x14ac:dyDescent="0.25">
      <c r="A902" s="505" t="s">
        <v>3071</v>
      </c>
      <c r="B902" s="505" t="s">
        <v>3072</v>
      </c>
      <c r="C902" s="512" t="s">
        <v>8379</v>
      </c>
      <c r="D902" s="512" t="s">
        <v>8456</v>
      </c>
      <c r="E902" s="512" t="s">
        <v>8453</v>
      </c>
      <c r="F902" s="512">
        <v>5.25</v>
      </c>
      <c r="G902" s="512" t="s">
        <v>7755</v>
      </c>
      <c r="H902" s="512" t="s">
        <v>7489</v>
      </c>
      <c r="L902" s="505" t="s">
        <v>1233</v>
      </c>
      <c r="M902" s="516">
        <v>10.32</v>
      </c>
      <c r="N902" s="505" t="s">
        <v>1233</v>
      </c>
    </row>
    <row r="903" spans="1:14" x14ac:dyDescent="0.25">
      <c r="A903" s="505" t="s">
        <v>3073</v>
      </c>
      <c r="B903" s="505" t="s">
        <v>3074</v>
      </c>
      <c r="C903" s="512" t="s">
        <v>8379</v>
      </c>
      <c r="D903" s="512" t="s">
        <v>8456</v>
      </c>
      <c r="E903" s="512" t="s">
        <v>8453</v>
      </c>
      <c r="F903" s="512">
        <v>6.25</v>
      </c>
      <c r="G903" s="512" t="s">
        <v>8407</v>
      </c>
      <c r="L903" s="505" t="s">
        <v>1233</v>
      </c>
      <c r="M903" s="516">
        <v>9.58</v>
      </c>
      <c r="N903" s="505" t="s">
        <v>1233</v>
      </c>
    </row>
    <row r="904" spans="1:14" s="543" customFormat="1" x14ac:dyDescent="0.25">
      <c r="A904" s="543" t="s">
        <v>3075</v>
      </c>
      <c r="B904" s="543" t="s">
        <v>3076</v>
      </c>
      <c r="C904" s="544" t="s">
        <v>8379</v>
      </c>
      <c r="D904" s="544" t="s">
        <v>8456</v>
      </c>
      <c r="E904" s="544" t="s">
        <v>8453</v>
      </c>
      <c r="F904" s="544">
        <v>8.25</v>
      </c>
      <c r="G904" s="544" t="s">
        <v>8407</v>
      </c>
      <c r="H904" s="544"/>
      <c r="I904" s="544"/>
      <c r="L904" s="543" t="s">
        <v>1233</v>
      </c>
      <c r="M904" s="545">
        <v>12.61</v>
      </c>
      <c r="N904" s="543" t="s">
        <v>1233</v>
      </c>
    </row>
    <row r="905" spans="1:14" s="543" customFormat="1" x14ac:dyDescent="0.25">
      <c r="A905" s="543" t="s">
        <v>3077</v>
      </c>
      <c r="B905" s="543" t="s">
        <v>3078</v>
      </c>
      <c r="C905" s="544" t="s">
        <v>8379</v>
      </c>
      <c r="D905" s="544" t="s">
        <v>8456</v>
      </c>
      <c r="E905" s="544" t="s">
        <v>8453</v>
      </c>
      <c r="F905" s="544">
        <v>8.25</v>
      </c>
      <c r="G905" s="544" t="s">
        <v>7567</v>
      </c>
      <c r="H905" s="544" t="s">
        <v>7525</v>
      </c>
      <c r="I905" s="544"/>
      <c r="L905" s="543" t="s">
        <v>1233</v>
      </c>
      <c r="M905" s="545">
        <v>16.04</v>
      </c>
      <c r="N905" s="543" t="s">
        <v>1233</v>
      </c>
    </row>
    <row r="906" spans="1:14" s="543" customFormat="1" x14ac:dyDescent="0.25">
      <c r="A906" s="543" t="s">
        <v>3079</v>
      </c>
      <c r="B906" s="543" t="s">
        <v>3080</v>
      </c>
      <c r="C906" s="544" t="s">
        <v>8379</v>
      </c>
      <c r="D906" s="544" t="s">
        <v>8456</v>
      </c>
      <c r="E906" s="544" t="s">
        <v>8453</v>
      </c>
      <c r="F906" s="544">
        <v>8.25</v>
      </c>
      <c r="G906" s="544" t="s">
        <v>8354</v>
      </c>
      <c r="H906" s="544" t="s">
        <v>7595</v>
      </c>
      <c r="I906" s="544"/>
      <c r="L906" s="543" t="s">
        <v>1233</v>
      </c>
      <c r="M906" s="545">
        <v>16.04</v>
      </c>
      <c r="N906" s="543" t="s">
        <v>1233</v>
      </c>
    </row>
    <row r="907" spans="1:14" s="543" customFormat="1" x14ac:dyDescent="0.25">
      <c r="A907" s="543" t="s">
        <v>3081</v>
      </c>
      <c r="B907" s="543" t="s">
        <v>3082</v>
      </c>
      <c r="C907" s="544" t="s">
        <v>8379</v>
      </c>
      <c r="D907" s="544" t="s">
        <v>8456</v>
      </c>
      <c r="E907" s="544" t="s">
        <v>8453</v>
      </c>
      <c r="F907" s="544">
        <v>8.25</v>
      </c>
      <c r="G907" s="544" t="s">
        <v>7926</v>
      </c>
      <c r="H907" s="544" t="s">
        <v>7721</v>
      </c>
      <c r="I907" s="544"/>
      <c r="L907" s="543" t="s">
        <v>1233</v>
      </c>
      <c r="M907" s="545">
        <v>16.04</v>
      </c>
      <c r="N907" s="543" t="s">
        <v>1233</v>
      </c>
    </row>
    <row r="908" spans="1:14" s="543" customFormat="1" x14ac:dyDescent="0.25">
      <c r="A908" s="543" t="s">
        <v>3083</v>
      </c>
      <c r="B908" s="543" t="s">
        <v>3084</v>
      </c>
      <c r="C908" s="544" t="s">
        <v>8379</v>
      </c>
      <c r="D908" s="544" t="s">
        <v>8456</v>
      </c>
      <c r="E908" s="544" t="s">
        <v>8453</v>
      </c>
      <c r="F908" s="544">
        <v>8.25</v>
      </c>
      <c r="G908" s="544" t="s">
        <v>7928</v>
      </c>
      <c r="H908" s="544" t="s">
        <v>7445</v>
      </c>
      <c r="I908" s="544"/>
      <c r="L908" s="543" t="s">
        <v>1233</v>
      </c>
      <c r="M908" s="545">
        <v>16.04</v>
      </c>
      <c r="N908" s="543" t="s">
        <v>1233</v>
      </c>
    </row>
    <row r="909" spans="1:14" s="543" customFormat="1" x14ac:dyDescent="0.25">
      <c r="A909" s="543" t="s">
        <v>3085</v>
      </c>
      <c r="B909" s="543" t="s">
        <v>3086</v>
      </c>
      <c r="C909" s="544" t="s">
        <v>8379</v>
      </c>
      <c r="D909" s="544" t="s">
        <v>8456</v>
      </c>
      <c r="E909" s="544" t="s">
        <v>8453</v>
      </c>
      <c r="F909" s="544">
        <v>8.25</v>
      </c>
      <c r="G909" s="544" t="s">
        <v>7437</v>
      </c>
      <c r="H909" s="544" t="s">
        <v>8457</v>
      </c>
      <c r="I909" s="544"/>
      <c r="L909" s="543" t="s">
        <v>1233</v>
      </c>
      <c r="M909" s="545">
        <v>16.04</v>
      </c>
      <c r="N909" s="543" t="s">
        <v>1233</v>
      </c>
    </row>
    <row r="910" spans="1:14" s="543" customFormat="1" x14ac:dyDescent="0.25">
      <c r="A910" s="543" t="s">
        <v>3087</v>
      </c>
      <c r="B910" s="543" t="s">
        <v>3088</v>
      </c>
      <c r="C910" s="544" t="s">
        <v>8379</v>
      </c>
      <c r="D910" s="544" t="s">
        <v>8456</v>
      </c>
      <c r="E910" s="544" t="s">
        <v>8453</v>
      </c>
      <c r="F910" s="544">
        <v>8.25</v>
      </c>
      <c r="G910" s="544" t="s">
        <v>7436</v>
      </c>
      <c r="H910" s="544" t="s">
        <v>8458</v>
      </c>
      <c r="I910" s="544"/>
      <c r="L910" s="543" t="s">
        <v>1233</v>
      </c>
      <c r="M910" s="545">
        <v>16.04</v>
      </c>
      <c r="N910" s="543" t="s">
        <v>1233</v>
      </c>
    </row>
    <row r="911" spans="1:14" s="543" customFormat="1" x14ac:dyDescent="0.25">
      <c r="A911" s="543" t="s">
        <v>3089</v>
      </c>
      <c r="B911" s="543" t="s">
        <v>3090</v>
      </c>
      <c r="C911" s="544" t="s">
        <v>8379</v>
      </c>
      <c r="D911" s="544" t="s">
        <v>8456</v>
      </c>
      <c r="E911" s="544" t="s">
        <v>8453</v>
      </c>
      <c r="F911" s="544">
        <v>8.25</v>
      </c>
      <c r="G911" s="544" t="s">
        <v>7932</v>
      </c>
      <c r="H911" s="544" t="s">
        <v>7457</v>
      </c>
      <c r="I911" s="544"/>
      <c r="L911" s="543" t="s">
        <v>1233</v>
      </c>
      <c r="M911" s="545">
        <v>16.04</v>
      </c>
      <c r="N911" s="543" t="s">
        <v>1233</v>
      </c>
    </row>
    <row r="912" spans="1:14" s="543" customFormat="1" x14ac:dyDescent="0.25">
      <c r="A912" s="543" t="s">
        <v>3091</v>
      </c>
      <c r="B912" s="543" t="s">
        <v>3092</v>
      </c>
      <c r="C912" s="544" t="s">
        <v>8379</v>
      </c>
      <c r="D912" s="544" t="s">
        <v>8456</v>
      </c>
      <c r="E912" s="544" t="s">
        <v>8453</v>
      </c>
      <c r="F912" s="544">
        <v>8.25</v>
      </c>
      <c r="G912" s="544" t="s">
        <v>8459</v>
      </c>
      <c r="H912" s="544" t="s">
        <v>8341</v>
      </c>
      <c r="I912" s="544"/>
      <c r="L912" s="543" t="s">
        <v>1233</v>
      </c>
      <c r="M912" s="545">
        <v>16.04</v>
      </c>
      <c r="N912" s="543" t="s">
        <v>1233</v>
      </c>
    </row>
    <row r="913" spans="1:14" s="543" customFormat="1" x14ac:dyDescent="0.25">
      <c r="A913" s="543" t="s">
        <v>3093</v>
      </c>
      <c r="B913" s="543" t="s">
        <v>3094</v>
      </c>
      <c r="C913" s="544" t="s">
        <v>8379</v>
      </c>
      <c r="D913" s="544" t="s">
        <v>8456</v>
      </c>
      <c r="E913" s="544" t="s">
        <v>8453</v>
      </c>
      <c r="F913" s="544">
        <v>8.25</v>
      </c>
      <c r="G913" s="544" t="s">
        <v>7937</v>
      </c>
      <c r="H913" s="544" t="s">
        <v>7938</v>
      </c>
      <c r="I913" s="544"/>
      <c r="L913" s="543" t="s">
        <v>1233</v>
      </c>
      <c r="M913" s="545">
        <v>16.04</v>
      </c>
      <c r="N913" s="543" t="s">
        <v>1233</v>
      </c>
    </row>
    <row r="914" spans="1:14" s="543" customFormat="1" x14ac:dyDescent="0.25">
      <c r="A914" s="543" t="s">
        <v>3095</v>
      </c>
      <c r="B914" s="543" t="s">
        <v>3096</v>
      </c>
      <c r="C914" s="544" t="s">
        <v>8379</v>
      </c>
      <c r="D914" s="544" t="s">
        <v>8456</v>
      </c>
      <c r="E914" s="544" t="s">
        <v>8453</v>
      </c>
      <c r="F914" s="544">
        <v>8.25</v>
      </c>
      <c r="G914" s="544" t="s">
        <v>7941</v>
      </c>
      <c r="H914" s="544" t="s">
        <v>7445</v>
      </c>
      <c r="I914" s="544"/>
      <c r="L914" s="543" t="s">
        <v>1233</v>
      </c>
      <c r="M914" s="545">
        <v>16.04</v>
      </c>
      <c r="N914" s="543" t="s">
        <v>1233</v>
      </c>
    </row>
    <row r="915" spans="1:14" s="543" customFormat="1" x14ac:dyDescent="0.25">
      <c r="A915" s="543" t="s">
        <v>3097</v>
      </c>
      <c r="B915" s="543" t="s">
        <v>3098</v>
      </c>
      <c r="C915" s="544" t="s">
        <v>8379</v>
      </c>
      <c r="D915" s="544" t="s">
        <v>8456</v>
      </c>
      <c r="E915" s="544" t="s">
        <v>8453</v>
      </c>
      <c r="F915" s="544">
        <v>8.25</v>
      </c>
      <c r="G915" s="544" t="s">
        <v>7489</v>
      </c>
      <c r="H915" s="544" t="s">
        <v>7441</v>
      </c>
      <c r="I915" s="544"/>
      <c r="L915" s="543" t="s">
        <v>1233</v>
      </c>
      <c r="M915" s="545">
        <v>16.04</v>
      </c>
      <c r="N915" s="543" t="s">
        <v>1233</v>
      </c>
    </row>
    <row r="916" spans="1:14" s="543" customFormat="1" x14ac:dyDescent="0.25">
      <c r="A916" s="543" t="s">
        <v>3099</v>
      </c>
      <c r="B916" s="543" t="s">
        <v>3100</v>
      </c>
      <c r="C916" s="544" t="s">
        <v>8379</v>
      </c>
      <c r="D916" s="544" t="s">
        <v>8456</v>
      </c>
      <c r="E916" s="544" t="s">
        <v>8453</v>
      </c>
      <c r="F916" s="544">
        <v>8.25</v>
      </c>
      <c r="G916" s="544" t="s">
        <v>7943</v>
      </c>
      <c r="H916" s="544" t="s">
        <v>7892</v>
      </c>
      <c r="I916" s="544"/>
      <c r="L916" s="543" t="s">
        <v>1233</v>
      </c>
      <c r="M916" s="545">
        <v>16.04</v>
      </c>
      <c r="N916" s="543" t="s">
        <v>1233</v>
      </c>
    </row>
    <row r="917" spans="1:14" s="543" customFormat="1" x14ac:dyDescent="0.25">
      <c r="A917" s="543" t="s">
        <v>3101</v>
      </c>
      <c r="B917" s="543" t="s">
        <v>3102</v>
      </c>
      <c r="C917" s="544" t="s">
        <v>8379</v>
      </c>
      <c r="D917" s="544" t="s">
        <v>8456</v>
      </c>
      <c r="E917" s="544" t="s">
        <v>8453</v>
      </c>
      <c r="F917" s="544">
        <v>8.25</v>
      </c>
      <c r="G917" s="544" t="s">
        <v>8363</v>
      </c>
      <c r="H917" s="544" t="s">
        <v>7489</v>
      </c>
      <c r="I917" s="544"/>
      <c r="L917" s="543" t="s">
        <v>1233</v>
      </c>
      <c r="M917" s="545">
        <v>16.04</v>
      </c>
      <c r="N917" s="543" t="s">
        <v>1233</v>
      </c>
    </row>
    <row r="918" spans="1:14" s="543" customFormat="1" x14ac:dyDescent="0.25">
      <c r="A918" s="543" t="s">
        <v>3103</v>
      </c>
      <c r="B918" s="543" t="s">
        <v>3104</v>
      </c>
      <c r="C918" s="544" t="s">
        <v>8379</v>
      </c>
      <c r="D918" s="544" t="s">
        <v>8456</v>
      </c>
      <c r="E918" s="544" t="s">
        <v>8453</v>
      </c>
      <c r="F918" s="544">
        <v>8.25</v>
      </c>
      <c r="G918" s="544" t="s">
        <v>7947</v>
      </c>
      <c r="H918" s="544" t="s">
        <v>7436</v>
      </c>
      <c r="I918" s="544"/>
      <c r="L918" s="543" t="s">
        <v>1233</v>
      </c>
      <c r="M918" s="545">
        <v>16.04</v>
      </c>
      <c r="N918" s="543" t="s">
        <v>1233</v>
      </c>
    </row>
    <row r="919" spans="1:14" s="543" customFormat="1" x14ac:dyDescent="0.25">
      <c r="A919" s="543" t="s">
        <v>3105</v>
      </c>
      <c r="B919" s="543" t="s">
        <v>3106</v>
      </c>
      <c r="C919" s="544" t="s">
        <v>8379</v>
      </c>
      <c r="D919" s="544" t="s">
        <v>8456</v>
      </c>
      <c r="E919" s="544" t="s">
        <v>8453</v>
      </c>
      <c r="F919" s="544">
        <v>8.25</v>
      </c>
      <c r="G919" s="544" t="s">
        <v>8460</v>
      </c>
      <c r="H919" s="544" t="s">
        <v>8152</v>
      </c>
      <c r="I919" s="544"/>
      <c r="L919" s="543" t="s">
        <v>1233</v>
      </c>
      <c r="M919" s="545">
        <v>16.04</v>
      </c>
      <c r="N919" s="543" t="s">
        <v>1233</v>
      </c>
    </row>
    <row r="920" spans="1:14" s="543" customFormat="1" x14ac:dyDescent="0.25">
      <c r="A920" s="543" t="s">
        <v>3107</v>
      </c>
      <c r="B920" s="543" t="s">
        <v>3108</v>
      </c>
      <c r="C920" s="544" t="s">
        <v>8379</v>
      </c>
      <c r="D920" s="544" t="s">
        <v>8452</v>
      </c>
      <c r="E920" s="544" t="s">
        <v>8453</v>
      </c>
      <c r="F920" s="544">
        <v>8.25</v>
      </c>
      <c r="G920" s="544" t="s">
        <v>7531</v>
      </c>
      <c r="H920" s="544" t="s">
        <v>148</v>
      </c>
      <c r="I920" s="544"/>
      <c r="L920" s="543" t="s">
        <v>1233</v>
      </c>
      <c r="M920" s="545">
        <v>16.04</v>
      </c>
      <c r="N920" s="543" t="s">
        <v>1233</v>
      </c>
    </row>
    <row r="921" spans="1:14" s="543" customFormat="1" x14ac:dyDescent="0.25">
      <c r="A921" s="543" t="s">
        <v>3109</v>
      </c>
      <c r="B921" s="543" t="s">
        <v>3110</v>
      </c>
      <c r="C921" s="544" t="s">
        <v>8379</v>
      </c>
      <c r="D921" s="544" t="s">
        <v>8456</v>
      </c>
      <c r="E921" s="544" t="s">
        <v>8453</v>
      </c>
      <c r="F921" s="544">
        <v>8.25</v>
      </c>
      <c r="G921" s="544" t="s">
        <v>7951</v>
      </c>
      <c r="H921" s="544" t="s">
        <v>7952</v>
      </c>
      <c r="I921" s="544"/>
      <c r="L921" s="543" t="s">
        <v>1233</v>
      </c>
      <c r="M921" s="545">
        <v>16.04</v>
      </c>
      <c r="N921" s="543" t="s">
        <v>1233</v>
      </c>
    </row>
    <row r="922" spans="1:14" s="543" customFormat="1" x14ac:dyDescent="0.25">
      <c r="A922" s="543" t="s">
        <v>3111</v>
      </c>
      <c r="B922" s="543" t="s">
        <v>3112</v>
      </c>
      <c r="C922" s="544" t="s">
        <v>8379</v>
      </c>
      <c r="D922" s="544" t="s">
        <v>8452</v>
      </c>
      <c r="E922" s="544" t="s">
        <v>8453</v>
      </c>
      <c r="F922" s="544">
        <v>8.25</v>
      </c>
      <c r="G922" s="544" t="s">
        <v>7531</v>
      </c>
      <c r="H922" s="544" t="s">
        <v>8461</v>
      </c>
      <c r="I922" s="544"/>
      <c r="L922" s="543" t="s">
        <v>1233</v>
      </c>
      <c r="M922" s="545">
        <v>0</v>
      </c>
      <c r="N922" s="543" t="s">
        <v>1544</v>
      </c>
    </row>
    <row r="923" spans="1:14" s="543" customFormat="1" x14ac:dyDescent="0.25">
      <c r="A923" s="543" t="s">
        <v>3113</v>
      </c>
      <c r="B923" s="543" t="s">
        <v>3114</v>
      </c>
      <c r="C923" s="544" t="s">
        <v>8379</v>
      </c>
      <c r="D923" s="544" t="s">
        <v>8456</v>
      </c>
      <c r="E923" s="544" t="s">
        <v>8453</v>
      </c>
      <c r="F923" s="544">
        <v>8.25</v>
      </c>
      <c r="G923" s="544" t="s">
        <v>7954</v>
      </c>
      <c r="H923" s="544" t="s">
        <v>7955</v>
      </c>
      <c r="I923" s="544"/>
      <c r="L923" s="543" t="s">
        <v>1233</v>
      </c>
      <c r="M923" s="545">
        <v>16.04</v>
      </c>
      <c r="N923" s="543" t="s">
        <v>1233</v>
      </c>
    </row>
    <row r="924" spans="1:14" s="543" customFormat="1" x14ac:dyDescent="0.25">
      <c r="A924" s="543" t="s">
        <v>3115</v>
      </c>
      <c r="B924" s="543" t="s">
        <v>3116</v>
      </c>
      <c r="C924" s="544" t="s">
        <v>8379</v>
      </c>
      <c r="D924" s="544" t="s">
        <v>8456</v>
      </c>
      <c r="E924" s="544" t="s">
        <v>8453</v>
      </c>
      <c r="F924" s="544">
        <v>8.25</v>
      </c>
      <c r="G924" s="544" t="s">
        <v>7958</v>
      </c>
      <c r="H924" s="544" t="s">
        <v>7878</v>
      </c>
      <c r="I924" s="544"/>
      <c r="L924" s="543" t="s">
        <v>1233</v>
      </c>
      <c r="M924" s="545">
        <v>16.04</v>
      </c>
      <c r="N924" s="543" t="s">
        <v>1233</v>
      </c>
    </row>
    <row r="925" spans="1:14" s="543" customFormat="1" x14ac:dyDescent="0.25">
      <c r="A925" s="543" t="s">
        <v>3117</v>
      </c>
      <c r="B925" s="543" t="s">
        <v>3118</v>
      </c>
      <c r="C925" s="544" t="s">
        <v>8379</v>
      </c>
      <c r="D925" s="544" t="s">
        <v>8456</v>
      </c>
      <c r="E925" s="544" t="s">
        <v>8453</v>
      </c>
      <c r="F925" s="544">
        <v>8.25</v>
      </c>
      <c r="G925" s="544" t="s">
        <v>7961</v>
      </c>
      <c r="H925" s="544" t="s">
        <v>7489</v>
      </c>
      <c r="I925" s="544"/>
      <c r="L925" s="543" t="s">
        <v>1233</v>
      </c>
      <c r="M925" s="545">
        <v>16.04</v>
      </c>
      <c r="N925" s="543" t="s">
        <v>1233</v>
      </c>
    </row>
    <row r="926" spans="1:14" s="543" customFormat="1" x14ac:dyDescent="0.25">
      <c r="A926" s="543" t="s">
        <v>3119</v>
      </c>
      <c r="B926" s="543" t="s">
        <v>3120</v>
      </c>
      <c r="C926" s="544" t="s">
        <v>8379</v>
      </c>
      <c r="D926" s="544" t="s">
        <v>8456</v>
      </c>
      <c r="E926" s="544" t="s">
        <v>8453</v>
      </c>
      <c r="F926" s="544">
        <v>8.25</v>
      </c>
      <c r="G926" s="544" t="s">
        <v>8462</v>
      </c>
      <c r="H926" s="544" t="s">
        <v>7489</v>
      </c>
      <c r="I926" s="544"/>
      <c r="L926" s="543" t="s">
        <v>1233</v>
      </c>
      <c r="M926" s="545">
        <v>16.04</v>
      </c>
      <c r="N926" s="543" t="s">
        <v>1233</v>
      </c>
    </row>
    <row r="927" spans="1:14" s="543" customFormat="1" x14ac:dyDescent="0.25">
      <c r="A927" s="543" t="s">
        <v>3121</v>
      </c>
      <c r="B927" s="543" t="s">
        <v>3122</v>
      </c>
      <c r="C927" s="544" t="s">
        <v>8379</v>
      </c>
      <c r="D927" s="544" t="s">
        <v>8456</v>
      </c>
      <c r="E927" s="544" t="s">
        <v>8453</v>
      </c>
      <c r="F927" s="544">
        <v>8.25</v>
      </c>
      <c r="G927" s="544" t="s">
        <v>7963</v>
      </c>
      <c r="H927" s="544" t="s">
        <v>7489</v>
      </c>
      <c r="I927" s="544"/>
      <c r="L927" s="543" t="s">
        <v>1233</v>
      </c>
      <c r="M927" s="545">
        <v>16.04</v>
      </c>
      <c r="N927" s="543" t="s">
        <v>1233</v>
      </c>
    </row>
    <row r="928" spans="1:14" s="543" customFormat="1" x14ac:dyDescent="0.25">
      <c r="A928" s="543" t="s">
        <v>3123</v>
      </c>
      <c r="B928" s="543" t="s">
        <v>3124</v>
      </c>
      <c r="C928" s="544" t="s">
        <v>8379</v>
      </c>
      <c r="D928" s="544" t="s">
        <v>8456</v>
      </c>
      <c r="E928" s="544" t="s">
        <v>8453</v>
      </c>
      <c r="F928" s="544">
        <v>8.25</v>
      </c>
      <c r="G928" s="544" t="s">
        <v>7964</v>
      </c>
      <c r="H928" s="544" t="s">
        <v>7965</v>
      </c>
      <c r="I928" s="544"/>
      <c r="L928" s="543" t="s">
        <v>1233</v>
      </c>
      <c r="M928" s="545">
        <v>16.04</v>
      </c>
      <c r="N928" s="543" t="s">
        <v>1233</v>
      </c>
    </row>
    <row r="929" spans="1:14" s="543" customFormat="1" x14ac:dyDescent="0.25">
      <c r="A929" s="543" t="s">
        <v>3125</v>
      </c>
      <c r="B929" s="543" t="s">
        <v>3126</v>
      </c>
      <c r="C929" s="544" t="s">
        <v>8379</v>
      </c>
      <c r="D929" s="544" t="s">
        <v>8456</v>
      </c>
      <c r="E929" s="544" t="s">
        <v>8453</v>
      </c>
      <c r="F929" s="544">
        <v>8.25</v>
      </c>
      <c r="G929" s="544" t="s">
        <v>7969</v>
      </c>
      <c r="H929" s="544" t="s">
        <v>7970</v>
      </c>
      <c r="I929" s="544"/>
      <c r="L929" s="543" t="s">
        <v>1233</v>
      </c>
      <c r="M929" s="545">
        <v>16.04</v>
      </c>
      <c r="N929" s="543" t="s">
        <v>1233</v>
      </c>
    </row>
    <row r="930" spans="1:14" s="543" customFormat="1" x14ac:dyDescent="0.25">
      <c r="A930" s="543" t="s">
        <v>3127</v>
      </c>
      <c r="B930" s="543" t="s">
        <v>3128</v>
      </c>
      <c r="C930" s="544" t="s">
        <v>8379</v>
      </c>
      <c r="D930" s="544" t="s">
        <v>8456</v>
      </c>
      <c r="E930" s="544" t="s">
        <v>8453</v>
      </c>
      <c r="F930" s="544">
        <v>8.25</v>
      </c>
      <c r="G930" s="544" t="s">
        <v>7975</v>
      </c>
      <c r="H930" s="544" t="s">
        <v>7436</v>
      </c>
      <c r="I930" s="544"/>
      <c r="L930" s="543" t="s">
        <v>1233</v>
      </c>
      <c r="M930" s="545">
        <v>16.04</v>
      </c>
      <c r="N930" s="543" t="s">
        <v>1233</v>
      </c>
    </row>
    <row r="931" spans="1:14" x14ac:dyDescent="0.25">
      <c r="A931" s="505" t="s">
        <v>3129</v>
      </c>
      <c r="B931" s="505" t="s">
        <v>3130</v>
      </c>
      <c r="C931" s="512" t="s">
        <v>8379</v>
      </c>
      <c r="D931" s="512" t="s">
        <v>8456</v>
      </c>
      <c r="E931" s="512" t="s">
        <v>8463</v>
      </c>
      <c r="F931" s="512">
        <v>6.25</v>
      </c>
      <c r="G931" s="512" t="s">
        <v>8407</v>
      </c>
      <c r="L931" s="505" t="s">
        <v>1233</v>
      </c>
      <c r="M931" s="516">
        <v>10.4</v>
      </c>
      <c r="N931" s="505" t="s">
        <v>1233</v>
      </c>
    </row>
    <row r="932" spans="1:14" s="543" customFormat="1" x14ac:dyDescent="0.25">
      <c r="A932" s="543" t="s">
        <v>3131</v>
      </c>
      <c r="B932" s="543" t="s">
        <v>3132</v>
      </c>
      <c r="C932" s="544" t="s">
        <v>8379</v>
      </c>
      <c r="D932" s="544" t="s">
        <v>8452</v>
      </c>
      <c r="E932" s="544" t="s">
        <v>8463</v>
      </c>
      <c r="F932" s="544">
        <v>8.25</v>
      </c>
      <c r="G932" s="544" t="s">
        <v>8382</v>
      </c>
      <c r="H932" s="544"/>
      <c r="I932" s="544"/>
      <c r="L932" s="543" t="s">
        <v>1233</v>
      </c>
      <c r="M932" s="545">
        <v>12.61</v>
      </c>
      <c r="N932" s="543" t="s">
        <v>1233</v>
      </c>
    </row>
    <row r="933" spans="1:14" s="543" customFormat="1" x14ac:dyDescent="0.25">
      <c r="A933" s="543" t="s">
        <v>3133</v>
      </c>
      <c r="B933" s="543" t="s">
        <v>3134</v>
      </c>
      <c r="C933" s="544" t="s">
        <v>8379</v>
      </c>
      <c r="D933" s="544" t="s">
        <v>8452</v>
      </c>
      <c r="E933" s="544" t="s">
        <v>8463</v>
      </c>
      <c r="F933" s="544">
        <v>8.25</v>
      </c>
      <c r="G933" s="544" t="s">
        <v>7691</v>
      </c>
      <c r="H933" s="544" t="s">
        <v>511</v>
      </c>
      <c r="I933" s="544"/>
      <c r="L933" s="543" t="s">
        <v>3135</v>
      </c>
      <c r="M933" s="545">
        <v>16.04</v>
      </c>
      <c r="N933" s="543" t="s">
        <v>3135</v>
      </c>
    </row>
    <row r="934" spans="1:14" s="543" customFormat="1" x14ac:dyDescent="0.25">
      <c r="A934" s="543" t="s">
        <v>3136</v>
      </c>
      <c r="B934" s="543" t="s">
        <v>3137</v>
      </c>
      <c r="C934" s="544" t="s">
        <v>8379</v>
      </c>
      <c r="D934" s="544" t="s">
        <v>8456</v>
      </c>
      <c r="E934" s="544" t="s">
        <v>8463</v>
      </c>
      <c r="F934" s="544">
        <v>8.25</v>
      </c>
      <c r="G934" s="544" t="s">
        <v>7437</v>
      </c>
      <c r="H934" s="544" t="s">
        <v>8457</v>
      </c>
      <c r="I934" s="544"/>
      <c r="L934" s="543" t="s">
        <v>3135</v>
      </c>
      <c r="M934" s="545">
        <v>16.04</v>
      </c>
      <c r="N934" s="543" t="s">
        <v>3135</v>
      </c>
    </row>
    <row r="935" spans="1:14" s="543" customFormat="1" x14ac:dyDescent="0.25">
      <c r="A935" s="543" t="s">
        <v>3138</v>
      </c>
      <c r="B935" s="543" t="s">
        <v>3139</v>
      </c>
      <c r="C935" s="544" t="s">
        <v>8379</v>
      </c>
      <c r="D935" s="544" t="s">
        <v>8456</v>
      </c>
      <c r="E935" s="544" t="s">
        <v>8463</v>
      </c>
      <c r="F935" s="544">
        <v>8.25</v>
      </c>
      <c r="G935" s="544" t="s">
        <v>7932</v>
      </c>
      <c r="H935" s="544" t="s">
        <v>7457</v>
      </c>
      <c r="I935" s="544"/>
      <c r="L935" s="543" t="s">
        <v>1233</v>
      </c>
      <c r="M935" s="545">
        <v>16.04</v>
      </c>
      <c r="N935" s="543" t="s">
        <v>1233</v>
      </c>
    </row>
    <row r="936" spans="1:14" s="543" customFormat="1" x14ac:dyDescent="0.25">
      <c r="A936" s="543" t="s">
        <v>3140</v>
      </c>
      <c r="B936" s="543" t="s">
        <v>3141</v>
      </c>
      <c r="C936" s="544" t="s">
        <v>8379</v>
      </c>
      <c r="D936" s="544" t="s">
        <v>8452</v>
      </c>
      <c r="E936" s="544" t="s">
        <v>8463</v>
      </c>
      <c r="F936" s="544">
        <v>8.25</v>
      </c>
      <c r="G936" s="544" t="s">
        <v>7939</v>
      </c>
      <c r="H936" s="544" t="s">
        <v>7940</v>
      </c>
      <c r="I936" s="544"/>
      <c r="L936" s="543" t="s">
        <v>1233</v>
      </c>
      <c r="M936" s="545">
        <v>0</v>
      </c>
      <c r="N936" s="543" t="s">
        <v>1544</v>
      </c>
    </row>
    <row r="937" spans="1:14" s="543" customFormat="1" x14ac:dyDescent="0.25">
      <c r="A937" s="543" t="s">
        <v>3142</v>
      </c>
      <c r="B937" s="543" t="s">
        <v>3143</v>
      </c>
      <c r="C937" s="544" t="s">
        <v>8379</v>
      </c>
      <c r="D937" s="544" t="s">
        <v>8452</v>
      </c>
      <c r="E937" s="544" t="s">
        <v>8463</v>
      </c>
      <c r="F937" s="544">
        <v>8.25</v>
      </c>
      <c r="G937" s="544" t="s">
        <v>7426</v>
      </c>
      <c r="H937" s="544" t="s">
        <v>578</v>
      </c>
      <c r="I937" s="544"/>
      <c r="L937" s="543" t="s">
        <v>1233</v>
      </c>
      <c r="M937" s="545">
        <v>16.04</v>
      </c>
      <c r="N937" s="543" t="s">
        <v>1233</v>
      </c>
    </row>
    <row r="938" spans="1:14" s="543" customFormat="1" x14ac:dyDescent="0.25">
      <c r="A938" s="543" t="s">
        <v>3144</v>
      </c>
      <c r="B938" s="543" t="s">
        <v>3145</v>
      </c>
      <c r="C938" s="544" t="s">
        <v>8379</v>
      </c>
      <c r="D938" s="544" t="s">
        <v>8456</v>
      </c>
      <c r="E938" s="544" t="s">
        <v>8463</v>
      </c>
      <c r="F938" s="544">
        <v>8.25</v>
      </c>
      <c r="G938" s="544" t="s">
        <v>8363</v>
      </c>
      <c r="H938" s="544" t="s">
        <v>7489</v>
      </c>
      <c r="I938" s="544"/>
      <c r="L938" s="543" t="s">
        <v>1233</v>
      </c>
      <c r="M938" s="545">
        <v>16.04</v>
      </c>
      <c r="N938" s="543" t="s">
        <v>1233</v>
      </c>
    </row>
    <row r="939" spans="1:14" s="543" customFormat="1" x14ac:dyDescent="0.25">
      <c r="A939" s="543" t="s">
        <v>3146</v>
      </c>
      <c r="B939" s="543" t="s">
        <v>3147</v>
      </c>
      <c r="C939" s="544" t="s">
        <v>8379</v>
      </c>
      <c r="D939" s="544" t="s">
        <v>8452</v>
      </c>
      <c r="E939" s="544" t="s">
        <v>8463</v>
      </c>
      <c r="F939" s="544">
        <v>8.25</v>
      </c>
      <c r="G939" s="544" t="s">
        <v>7531</v>
      </c>
      <c r="H939" s="544" t="s">
        <v>148</v>
      </c>
      <c r="I939" s="544"/>
      <c r="L939" s="543" t="s">
        <v>3135</v>
      </c>
      <c r="M939" s="545">
        <v>16.04</v>
      </c>
      <c r="N939" s="543" t="s">
        <v>3135</v>
      </c>
    </row>
    <row r="940" spans="1:14" s="543" customFormat="1" x14ac:dyDescent="0.25">
      <c r="A940" s="543" t="s">
        <v>3148</v>
      </c>
      <c r="B940" s="543" t="s">
        <v>3149</v>
      </c>
      <c r="C940" s="544" t="s">
        <v>8379</v>
      </c>
      <c r="D940" s="544" t="s">
        <v>8452</v>
      </c>
      <c r="E940" s="544" t="s">
        <v>8463</v>
      </c>
      <c r="F940" s="544">
        <v>8.25</v>
      </c>
      <c r="G940" s="544" t="s">
        <v>7962</v>
      </c>
      <c r="H940" s="544" t="s">
        <v>7426</v>
      </c>
      <c r="I940" s="544"/>
      <c r="L940" s="543" t="s">
        <v>1233</v>
      </c>
      <c r="M940" s="545">
        <v>16.04</v>
      </c>
      <c r="N940" s="543" t="s">
        <v>1233</v>
      </c>
    </row>
    <row r="941" spans="1:14" s="543" customFormat="1" x14ac:dyDescent="0.25">
      <c r="A941" s="543" t="s">
        <v>3150</v>
      </c>
      <c r="B941" s="543" t="s">
        <v>3151</v>
      </c>
      <c r="C941" s="544" t="s">
        <v>8379</v>
      </c>
      <c r="D941" s="544" t="s">
        <v>8452</v>
      </c>
      <c r="E941" s="544" t="s">
        <v>8463</v>
      </c>
      <c r="F941" s="544">
        <v>8.25</v>
      </c>
      <c r="G941" s="544" t="s">
        <v>560</v>
      </c>
      <c r="H941" s="544" t="s">
        <v>7426</v>
      </c>
      <c r="I941" s="544"/>
      <c r="L941" s="543" t="s">
        <v>3135</v>
      </c>
      <c r="M941" s="545">
        <v>16.04</v>
      </c>
      <c r="N941" s="543" t="s">
        <v>3135</v>
      </c>
    </row>
    <row r="942" spans="1:14" s="530" customFormat="1" x14ac:dyDescent="0.25">
      <c r="A942" s="530" t="s">
        <v>3152</v>
      </c>
      <c r="B942" s="530" t="s">
        <v>3153</v>
      </c>
      <c r="C942" s="531" t="s">
        <v>8379</v>
      </c>
      <c r="D942" s="531" t="s">
        <v>8452</v>
      </c>
      <c r="E942" s="531" t="s">
        <v>8463</v>
      </c>
      <c r="F942" s="531">
        <v>8.25</v>
      </c>
      <c r="G942" s="531" t="s">
        <v>578</v>
      </c>
      <c r="H942" s="531" t="s">
        <v>8464</v>
      </c>
      <c r="I942" s="531"/>
      <c r="L942" s="530" t="s">
        <v>1233</v>
      </c>
      <c r="M942" s="532">
        <v>0</v>
      </c>
      <c r="N942" s="530" t="s">
        <v>1544</v>
      </c>
    </row>
    <row r="943" spans="1:14" s="530" customFormat="1" x14ac:dyDescent="0.25">
      <c r="A943" s="530" t="s">
        <v>3154</v>
      </c>
      <c r="B943" s="530" t="s">
        <v>3155</v>
      </c>
      <c r="C943" s="531" t="s">
        <v>8379</v>
      </c>
      <c r="D943" s="531" t="s">
        <v>8452</v>
      </c>
      <c r="E943" s="531" t="s">
        <v>8463</v>
      </c>
      <c r="F943" s="531">
        <v>9.25</v>
      </c>
      <c r="G943" s="531" t="s">
        <v>8382</v>
      </c>
      <c r="H943" s="531"/>
      <c r="I943" s="531"/>
      <c r="L943" s="530" t="s">
        <v>1233</v>
      </c>
      <c r="M943" s="532">
        <v>0</v>
      </c>
      <c r="N943" s="530" t="s">
        <v>1544</v>
      </c>
    </row>
    <row r="944" spans="1:14" s="530" customFormat="1" x14ac:dyDescent="0.25">
      <c r="A944" s="530" t="s">
        <v>3156</v>
      </c>
      <c r="B944" s="530" t="s">
        <v>3157</v>
      </c>
      <c r="C944" s="531" t="s">
        <v>8379</v>
      </c>
      <c r="D944" s="531" t="s">
        <v>8465</v>
      </c>
      <c r="E944" s="533">
        <v>45416</v>
      </c>
      <c r="F944" s="531" t="s">
        <v>8390</v>
      </c>
      <c r="G944" s="531" t="s">
        <v>8466</v>
      </c>
      <c r="H944" s="531" t="s">
        <v>7472</v>
      </c>
      <c r="I944" s="531" t="s">
        <v>7740</v>
      </c>
      <c r="L944" s="530" t="s">
        <v>1233</v>
      </c>
      <c r="M944" s="532">
        <v>0</v>
      </c>
      <c r="N944" s="530" t="s">
        <v>1544</v>
      </c>
    </row>
    <row r="945" spans="1:14" s="543" customFormat="1" x14ac:dyDescent="0.25">
      <c r="A945" s="543" t="s">
        <v>3158</v>
      </c>
      <c r="B945" s="543" t="s">
        <v>3159</v>
      </c>
      <c r="C945" s="544" t="s">
        <v>8379</v>
      </c>
      <c r="D945" s="544" t="s">
        <v>8465</v>
      </c>
      <c r="E945" s="546">
        <v>45416</v>
      </c>
      <c r="F945" s="544" t="s">
        <v>8392</v>
      </c>
      <c r="G945" s="544" t="s">
        <v>8466</v>
      </c>
      <c r="H945" s="544" t="s">
        <v>7691</v>
      </c>
      <c r="I945" s="544" t="s">
        <v>8467</v>
      </c>
      <c r="L945" s="543" t="s">
        <v>1233</v>
      </c>
      <c r="M945" s="545">
        <v>36.659999999999997</v>
      </c>
      <c r="N945" s="543" t="s">
        <v>1233</v>
      </c>
    </row>
    <row r="946" spans="1:14" s="543" customFormat="1" x14ac:dyDescent="0.25">
      <c r="A946" s="543" t="s">
        <v>3160</v>
      </c>
      <c r="B946" s="543" t="s">
        <v>3161</v>
      </c>
      <c r="C946" s="544" t="s">
        <v>8379</v>
      </c>
      <c r="D946" s="544" t="s">
        <v>8465</v>
      </c>
      <c r="E946" s="546">
        <v>45416</v>
      </c>
      <c r="F946" s="544" t="s">
        <v>8392</v>
      </c>
      <c r="G946" s="544" t="s">
        <v>8466</v>
      </c>
      <c r="H946" s="544" t="s">
        <v>7472</v>
      </c>
      <c r="I946" s="544" t="s">
        <v>7740</v>
      </c>
      <c r="L946" s="543" t="s">
        <v>1233</v>
      </c>
      <c r="M946" s="545">
        <v>36.659999999999997</v>
      </c>
      <c r="N946" s="543" t="s">
        <v>1233</v>
      </c>
    </row>
    <row r="947" spans="1:14" s="543" customFormat="1" x14ac:dyDescent="0.25">
      <c r="A947" s="543" t="s">
        <v>3162</v>
      </c>
      <c r="B947" s="543" t="s">
        <v>3163</v>
      </c>
      <c r="C947" s="544" t="s">
        <v>8379</v>
      </c>
      <c r="D947" s="544" t="s">
        <v>8465</v>
      </c>
      <c r="E947" s="546">
        <v>45416</v>
      </c>
      <c r="F947" s="544" t="s">
        <v>8393</v>
      </c>
      <c r="G947" s="544" t="s">
        <v>8466</v>
      </c>
      <c r="H947" s="544" t="s">
        <v>7691</v>
      </c>
      <c r="I947" s="544" t="s">
        <v>8467</v>
      </c>
      <c r="L947" s="543" t="s">
        <v>1233</v>
      </c>
      <c r="M947" s="545">
        <v>48.21</v>
      </c>
      <c r="N947" s="543" t="s">
        <v>1233</v>
      </c>
    </row>
    <row r="948" spans="1:14" s="543" customFormat="1" x14ac:dyDescent="0.25">
      <c r="A948" s="543" t="s">
        <v>3164</v>
      </c>
      <c r="B948" s="543" t="s">
        <v>3165</v>
      </c>
      <c r="C948" s="544" t="s">
        <v>8379</v>
      </c>
      <c r="D948" s="544" t="s">
        <v>8465</v>
      </c>
      <c r="E948" s="546">
        <v>45416</v>
      </c>
      <c r="F948" s="544" t="s">
        <v>8393</v>
      </c>
      <c r="G948" s="544" t="s">
        <v>8466</v>
      </c>
      <c r="H948" s="544" t="s">
        <v>7472</v>
      </c>
      <c r="I948" s="544" t="s">
        <v>148</v>
      </c>
      <c r="L948" s="543" t="s">
        <v>1233</v>
      </c>
      <c r="M948" s="545">
        <v>48.21</v>
      </c>
      <c r="N948" s="543" t="s">
        <v>1233</v>
      </c>
    </row>
    <row r="949" spans="1:14" s="543" customFormat="1" x14ac:dyDescent="0.25">
      <c r="A949" s="543" t="s">
        <v>3166</v>
      </c>
      <c r="B949" s="543" t="s">
        <v>3167</v>
      </c>
      <c r="C949" s="544" t="s">
        <v>8379</v>
      </c>
      <c r="D949" s="544" t="s">
        <v>8465</v>
      </c>
      <c r="E949" s="546">
        <v>45416</v>
      </c>
      <c r="F949" s="544" t="s">
        <v>8394</v>
      </c>
      <c r="G949" s="544" t="s">
        <v>8466</v>
      </c>
      <c r="H949" s="544" t="s">
        <v>8382</v>
      </c>
      <c r="I949" s="544"/>
      <c r="L949" s="543" t="s">
        <v>1233</v>
      </c>
      <c r="M949" s="545">
        <v>44.66</v>
      </c>
      <c r="N949" s="543" t="s">
        <v>1233</v>
      </c>
    </row>
    <row r="950" spans="1:14" s="543" customFormat="1" x14ac:dyDescent="0.25">
      <c r="A950" s="543" t="s">
        <v>3168</v>
      </c>
      <c r="B950" s="543" t="s">
        <v>3169</v>
      </c>
      <c r="C950" s="544" t="s">
        <v>8379</v>
      </c>
      <c r="D950" s="544" t="s">
        <v>8465</v>
      </c>
      <c r="E950" s="546">
        <v>45416</v>
      </c>
      <c r="F950" s="544" t="s">
        <v>8380</v>
      </c>
      <c r="G950" s="544" t="s">
        <v>8463</v>
      </c>
      <c r="H950" s="544" t="s">
        <v>8407</v>
      </c>
      <c r="I950" s="544"/>
      <c r="L950" s="543" t="s">
        <v>1233</v>
      </c>
      <c r="M950" s="545">
        <v>54.42</v>
      </c>
      <c r="N950" s="543" t="s">
        <v>1233</v>
      </c>
    </row>
    <row r="951" spans="1:14" s="543" customFormat="1" x14ac:dyDescent="0.25">
      <c r="A951" s="543" t="s">
        <v>3170</v>
      </c>
      <c r="B951" s="543" t="s">
        <v>3171</v>
      </c>
      <c r="C951" s="544" t="s">
        <v>8379</v>
      </c>
      <c r="D951" s="544" t="s">
        <v>8465</v>
      </c>
      <c r="E951" s="546">
        <v>45416</v>
      </c>
      <c r="F951" s="544" t="s">
        <v>8380</v>
      </c>
      <c r="G951" s="544" t="s">
        <v>8463</v>
      </c>
      <c r="H951" s="544" t="s">
        <v>7926</v>
      </c>
      <c r="I951" s="544" t="s">
        <v>8468</v>
      </c>
      <c r="L951" s="543" t="s">
        <v>1233</v>
      </c>
      <c r="M951" s="545">
        <v>77.290000000000006</v>
      </c>
      <c r="N951" s="543" t="s">
        <v>1233</v>
      </c>
    </row>
    <row r="952" spans="1:14" s="543" customFormat="1" x14ac:dyDescent="0.25">
      <c r="A952" s="543" t="s">
        <v>3172</v>
      </c>
      <c r="B952" s="543" t="s">
        <v>3173</v>
      </c>
      <c r="C952" s="544" t="s">
        <v>8379</v>
      </c>
      <c r="D952" s="544" t="s">
        <v>8465</v>
      </c>
      <c r="E952" s="546">
        <v>45416</v>
      </c>
      <c r="F952" s="544" t="s">
        <v>8380</v>
      </c>
      <c r="G952" s="544" t="s">
        <v>8463</v>
      </c>
      <c r="H952" s="544" t="s">
        <v>8363</v>
      </c>
      <c r="I952" s="544" t="s">
        <v>7433</v>
      </c>
      <c r="L952" s="543" t="s">
        <v>1233</v>
      </c>
      <c r="M952" s="545">
        <v>77.290000000000006</v>
      </c>
      <c r="N952" s="543" t="s">
        <v>1233</v>
      </c>
    </row>
    <row r="953" spans="1:14" x14ac:dyDescent="0.25">
      <c r="A953" s="505" t="s">
        <v>3174</v>
      </c>
      <c r="B953" s="505" t="s">
        <v>3175</v>
      </c>
      <c r="C953" s="512" t="s">
        <v>8379</v>
      </c>
      <c r="D953" s="512" t="s">
        <v>8465</v>
      </c>
      <c r="E953" s="515">
        <v>45416</v>
      </c>
      <c r="F953" s="512" t="s">
        <v>8380</v>
      </c>
      <c r="G953" s="512" t="s">
        <v>8463</v>
      </c>
      <c r="H953" s="512" t="s">
        <v>8469</v>
      </c>
      <c r="L953" s="505" t="s">
        <v>1233</v>
      </c>
      <c r="M953" s="516">
        <v>135.72</v>
      </c>
      <c r="N953" s="505" t="s">
        <v>1233</v>
      </c>
    </row>
    <row r="954" spans="1:14" s="543" customFormat="1" x14ac:dyDescent="0.25">
      <c r="A954" s="543" t="s">
        <v>3176</v>
      </c>
      <c r="B954" s="543" t="s">
        <v>3177</v>
      </c>
      <c r="C954" s="544" t="s">
        <v>8379</v>
      </c>
      <c r="D954" s="544" t="s">
        <v>8465</v>
      </c>
      <c r="E954" s="546">
        <v>45416</v>
      </c>
      <c r="F954" s="544" t="s">
        <v>8390</v>
      </c>
      <c r="G954" s="544" t="s">
        <v>8463</v>
      </c>
      <c r="H954" s="544" t="s">
        <v>8407</v>
      </c>
      <c r="I954" s="544"/>
      <c r="L954" s="543" t="s">
        <v>1233</v>
      </c>
      <c r="M954" s="545">
        <v>16.940000000000001</v>
      </c>
      <c r="N954" s="543" t="s">
        <v>1233</v>
      </c>
    </row>
    <row r="955" spans="1:14" s="543" customFormat="1" x14ac:dyDescent="0.25">
      <c r="A955" s="543" t="s">
        <v>3178</v>
      </c>
      <c r="B955" s="543" t="s">
        <v>3179</v>
      </c>
      <c r="C955" s="544" t="s">
        <v>8379</v>
      </c>
      <c r="D955" s="544" t="s">
        <v>8465</v>
      </c>
      <c r="E955" s="546">
        <v>45416</v>
      </c>
      <c r="F955" s="544" t="s">
        <v>8390</v>
      </c>
      <c r="G955" s="544" t="s">
        <v>8463</v>
      </c>
      <c r="H955" s="544" t="s">
        <v>7926</v>
      </c>
      <c r="I955" s="544" t="s">
        <v>8468</v>
      </c>
      <c r="L955" s="543" t="s">
        <v>1233</v>
      </c>
      <c r="M955" s="545">
        <v>24.05</v>
      </c>
      <c r="N955" s="543" t="s">
        <v>1233</v>
      </c>
    </row>
    <row r="956" spans="1:14" s="543" customFormat="1" x14ac:dyDescent="0.25">
      <c r="A956" s="543" t="s">
        <v>3180</v>
      </c>
      <c r="B956" s="543" t="s">
        <v>3181</v>
      </c>
      <c r="C956" s="544" t="s">
        <v>8379</v>
      </c>
      <c r="D956" s="544" t="s">
        <v>8465</v>
      </c>
      <c r="E956" s="546">
        <v>45416</v>
      </c>
      <c r="F956" s="544" t="s">
        <v>8390</v>
      </c>
      <c r="G956" s="544" t="s">
        <v>8463</v>
      </c>
      <c r="H956" s="544" t="s">
        <v>8470</v>
      </c>
      <c r="I956" s="544"/>
      <c r="L956" s="543" t="s">
        <v>1233</v>
      </c>
      <c r="M956" s="545">
        <v>24.05</v>
      </c>
      <c r="N956" s="543" t="s">
        <v>1233</v>
      </c>
    </row>
    <row r="957" spans="1:14" s="543" customFormat="1" x14ac:dyDescent="0.25">
      <c r="A957" s="543" t="s">
        <v>3182</v>
      </c>
      <c r="B957" s="543" t="s">
        <v>3183</v>
      </c>
      <c r="C957" s="544" t="s">
        <v>8379</v>
      </c>
      <c r="D957" s="544" t="s">
        <v>8465</v>
      </c>
      <c r="E957" s="546">
        <v>45416</v>
      </c>
      <c r="F957" s="544" t="s">
        <v>8390</v>
      </c>
      <c r="G957" s="544" t="s">
        <v>8463</v>
      </c>
      <c r="H957" s="544" t="s">
        <v>8363</v>
      </c>
      <c r="I957" s="544" t="s">
        <v>7433</v>
      </c>
      <c r="L957" s="543" t="s">
        <v>1233</v>
      </c>
      <c r="M957" s="545">
        <v>24.05</v>
      </c>
      <c r="N957" s="543" t="s">
        <v>1233</v>
      </c>
    </row>
    <row r="958" spans="1:14" s="543" customFormat="1" x14ac:dyDescent="0.25">
      <c r="A958" s="543" t="s">
        <v>3184</v>
      </c>
      <c r="B958" s="543" t="s">
        <v>3185</v>
      </c>
      <c r="C958" s="544" t="s">
        <v>8379</v>
      </c>
      <c r="D958" s="544" t="s">
        <v>8465</v>
      </c>
      <c r="E958" s="546">
        <v>45416</v>
      </c>
      <c r="F958" s="544" t="s">
        <v>8471</v>
      </c>
      <c r="G958" s="544" t="s">
        <v>8463</v>
      </c>
      <c r="H958" s="544" t="s">
        <v>8407</v>
      </c>
      <c r="I958" s="544"/>
      <c r="L958" s="543" t="s">
        <v>1233</v>
      </c>
      <c r="M958" s="545">
        <v>21.78</v>
      </c>
      <c r="N958" s="543" t="s">
        <v>1233</v>
      </c>
    </row>
    <row r="959" spans="1:14" s="543" customFormat="1" x14ac:dyDescent="0.25">
      <c r="A959" s="543" t="s">
        <v>3186</v>
      </c>
      <c r="B959" s="543" t="s">
        <v>3187</v>
      </c>
      <c r="C959" s="544" t="s">
        <v>8379</v>
      </c>
      <c r="D959" s="544" t="s">
        <v>8465</v>
      </c>
      <c r="E959" s="546">
        <v>45416</v>
      </c>
      <c r="F959" s="544" t="s">
        <v>8392</v>
      </c>
      <c r="G959" s="544" t="s">
        <v>8463</v>
      </c>
      <c r="H959" s="544" t="s">
        <v>8407</v>
      </c>
      <c r="I959" s="544"/>
      <c r="L959" s="543" t="s">
        <v>1233</v>
      </c>
      <c r="M959" s="545">
        <v>26.61</v>
      </c>
      <c r="N959" s="543" t="s">
        <v>1233</v>
      </c>
    </row>
    <row r="960" spans="1:14" s="543" customFormat="1" x14ac:dyDescent="0.25">
      <c r="A960" s="543" t="s">
        <v>3188</v>
      </c>
      <c r="B960" s="543" t="s">
        <v>3189</v>
      </c>
      <c r="C960" s="544" t="s">
        <v>8379</v>
      </c>
      <c r="D960" s="544" t="s">
        <v>8465</v>
      </c>
      <c r="E960" s="546">
        <v>45416</v>
      </c>
      <c r="F960" s="544" t="s">
        <v>8392</v>
      </c>
      <c r="G960" s="544" t="s">
        <v>8463</v>
      </c>
      <c r="H960" s="544" t="s">
        <v>7926</v>
      </c>
      <c r="I960" s="544" t="s">
        <v>8468</v>
      </c>
      <c r="L960" s="543" t="s">
        <v>1233</v>
      </c>
      <c r="M960" s="545">
        <v>37.79</v>
      </c>
      <c r="N960" s="543" t="s">
        <v>1233</v>
      </c>
    </row>
    <row r="961" spans="1:14" s="543" customFormat="1" x14ac:dyDescent="0.25">
      <c r="A961" s="543" t="s">
        <v>3190</v>
      </c>
      <c r="B961" s="543" t="s">
        <v>3191</v>
      </c>
      <c r="C961" s="544" t="s">
        <v>8379</v>
      </c>
      <c r="D961" s="544" t="s">
        <v>8465</v>
      </c>
      <c r="E961" s="546">
        <v>45416</v>
      </c>
      <c r="F961" s="544" t="s">
        <v>8392</v>
      </c>
      <c r="G961" s="544" t="s">
        <v>8463</v>
      </c>
      <c r="H961" s="544" t="s">
        <v>8363</v>
      </c>
      <c r="I961" s="544" t="s">
        <v>7433</v>
      </c>
      <c r="L961" s="543" t="s">
        <v>1233</v>
      </c>
      <c r="M961" s="545">
        <v>37.79</v>
      </c>
      <c r="N961" s="543" t="s">
        <v>1233</v>
      </c>
    </row>
    <row r="962" spans="1:14" s="543" customFormat="1" x14ac:dyDescent="0.25">
      <c r="A962" s="543" t="s">
        <v>3192</v>
      </c>
      <c r="B962" s="543" t="s">
        <v>3193</v>
      </c>
      <c r="C962" s="544" t="s">
        <v>8379</v>
      </c>
      <c r="D962" s="544" t="s">
        <v>8465</v>
      </c>
      <c r="E962" s="546">
        <v>45416</v>
      </c>
      <c r="F962" s="544" t="s">
        <v>8392</v>
      </c>
      <c r="G962" s="544" t="s">
        <v>8463</v>
      </c>
      <c r="H962" s="544" t="s">
        <v>8163</v>
      </c>
      <c r="I962" s="544" t="s">
        <v>8432</v>
      </c>
      <c r="L962" s="543" t="s">
        <v>1233</v>
      </c>
      <c r="M962" s="545">
        <v>37.79</v>
      </c>
      <c r="N962" s="543" t="s">
        <v>1233</v>
      </c>
    </row>
    <row r="963" spans="1:14" s="543" customFormat="1" x14ac:dyDescent="0.25">
      <c r="A963" s="543" t="s">
        <v>3194</v>
      </c>
      <c r="B963" s="543" t="s">
        <v>3195</v>
      </c>
      <c r="C963" s="544" t="s">
        <v>8379</v>
      </c>
      <c r="D963" s="544" t="s">
        <v>8465</v>
      </c>
      <c r="E963" s="546">
        <v>45416</v>
      </c>
      <c r="F963" s="544" t="s">
        <v>8393</v>
      </c>
      <c r="G963" s="544" t="s">
        <v>8463</v>
      </c>
      <c r="H963" s="544" t="s">
        <v>8407</v>
      </c>
      <c r="I963" s="544"/>
      <c r="L963" s="543" t="s">
        <v>1233</v>
      </c>
      <c r="M963" s="545">
        <v>35.07</v>
      </c>
      <c r="N963" s="543" t="s">
        <v>1233</v>
      </c>
    </row>
    <row r="964" spans="1:14" s="543" customFormat="1" x14ac:dyDescent="0.25">
      <c r="A964" s="543" t="s">
        <v>3196</v>
      </c>
      <c r="B964" s="543" t="s">
        <v>3197</v>
      </c>
      <c r="C964" s="544" t="s">
        <v>8379</v>
      </c>
      <c r="D964" s="544" t="s">
        <v>8465</v>
      </c>
      <c r="E964" s="546">
        <v>45416</v>
      </c>
      <c r="F964" s="544" t="s">
        <v>8393</v>
      </c>
      <c r="G964" s="544" t="s">
        <v>8463</v>
      </c>
      <c r="H964" s="544" t="s">
        <v>7926</v>
      </c>
      <c r="I964" s="544" t="s">
        <v>8468</v>
      </c>
      <c r="L964" s="543" t="s">
        <v>1233</v>
      </c>
      <c r="M964" s="545">
        <v>49.8</v>
      </c>
      <c r="N964" s="543" t="s">
        <v>1233</v>
      </c>
    </row>
    <row r="965" spans="1:14" s="543" customFormat="1" x14ac:dyDescent="0.25">
      <c r="A965" s="543" t="s">
        <v>3198</v>
      </c>
      <c r="B965" s="543" t="s">
        <v>3199</v>
      </c>
      <c r="C965" s="544" t="s">
        <v>8379</v>
      </c>
      <c r="D965" s="544" t="s">
        <v>8465</v>
      </c>
      <c r="E965" s="546">
        <v>45416</v>
      </c>
      <c r="F965" s="544" t="s">
        <v>8393</v>
      </c>
      <c r="G965" s="544" t="s">
        <v>8463</v>
      </c>
      <c r="H965" s="544" t="s">
        <v>8363</v>
      </c>
      <c r="I965" s="544" t="s">
        <v>7489</v>
      </c>
      <c r="L965" s="543" t="s">
        <v>1233</v>
      </c>
      <c r="M965" s="545">
        <v>49.8</v>
      </c>
      <c r="N965" s="543" t="s">
        <v>1233</v>
      </c>
    </row>
    <row r="966" spans="1:14" x14ac:dyDescent="0.25">
      <c r="A966" s="505" t="s">
        <v>3200</v>
      </c>
      <c r="B966" s="505" t="s">
        <v>3201</v>
      </c>
      <c r="C966" s="512" t="s">
        <v>8379</v>
      </c>
      <c r="D966" s="512" t="s">
        <v>8465</v>
      </c>
      <c r="E966" s="515">
        <v>45416</v>
      </c>
      <c r="F966" s="512" t="s">
        <v>8393</v>
      </c>
      <c r="G966" s="512" t="s">
        <v>8463</v>
      </c>
      <c r="H966" s="512" t="s">
        <v>8469</v>
      </c>
      <c r="L966" s="505" t="s">
        <v>1233</v>
      </c>
      <c r="M966" s="516">
        <v>87.51</v>
      </c>
      <c r="N966" s="505" t="s">
        <v>1233</v>
      </c>
    </row>
    <row r="967" spans="1:14" s="530" customFormat="1" x14ac:dyDescent="0.25">
      <c r="A967" s="530" t="s">
        <v>3202</v>
      </c>
      <c r="B967" s="530" t="s">
        <v>3203</v>
      </c>
      <c r="C967" s="531" t="s">
        <v>8379</v>
      </c>
      <c r="D967" s="531" t="s">
        <v>8465</v>
      </c>
      <c r="E967" s="533">
        <v>45416</v>
      </c>
      <c r="F967" s="531" t="s">
        <v>8394</v>
      </c>
      <c r="G967" s="531" t="s">
        <v>8463</v>
      </c>
      <c r="H967" s="531" t="s">
        <v>8382</v>
      </c>
      <c r="I967" s="531"/>
      <c r="L967" s="530" t="s">
        <v>1233</v>
      </c>
      <c r="M967" s="532">
        <v>0</v>
      </c>
      <c r="N967" s="530" t="s">
        <v>1544</v>
      </c>
    </row>
    <row r="968" spans="1:14" s="543" customFormat="1" x14ac:dyDescent="0.25">
      <c r="A968" s="543" t="s">
        <v>3204</v>
      </c>
      <c r="B968" s="543" t="s">
        <v>3205</v>
      </c>
      <c r="C968" s="544" t="s">
        <v>8379</v>
      </c>
      <c r="D968" s="544" t="s">
        <v>8472</v>
      </c>
      <c r="E968" s="544" t="s">
        <v>7598</v>
      </c>
      <c r="F968" s="544">
        <v>8</v>
      </c>
      <c r="G968" s="544" t="s">
        <v>8473</v>
      </c>
      <c r="H968" s="544" t="s">
        <v>8407</v>
      </c>
      <c r="I968" s="544"/>
      <c r="L968" s="543" t="s">
        <v>3135</v>
      </c>
      <c r="M968" s="545">
        <v>61.41</v>
      </c>
      <c r="N968" s="543" t="s">
        <v>3135</v>
      </c>
    </row>
    <row r="969" spans="1:14" s="543" customFormat="1" x14ac:dyDescent="0.25">
      <c r="A969" s="543" t="s">
        <v>3206</v>
      </c>
      <c r="B969" s="543" t="s">
        <v>3207</v>
      </c>
      <c r="C969" s="544" t="s">
        <v>8379</v>
      </c>
      <c r="D969" s="544" t="s">
        <v>8472</v>
      </c>
      <c r="E969" s="544" t="s">
        <v>7598</v>
      </c>
      <c r="F969" s="544">
        <v>8</v>
      </c>
      <c r="G969" s="544" t="s">
        <v>8474</v>
      </c>
      <c r="H969" s="544" t="s">
        <v>8407</v>
      </c>
      <c r="I969" s="544"/>
      <c r="L969" s="543" t="s">
        <v>3135</v>
      </c>
      <c r="M969" s="545">
        <v>49.13</v>
      </c>
      <c r="N969" s="543" t="s">
        <v>3135</v>
      </c>
    </row>
    <row r="970" spans="1:14" s="543" customFormat="1" x14ac:dyDescent="0.25">
      <c r="A970" s="543" t="s">
        <v>3208</v>
      </c>
      <c r="B970" s="543" t="s">
        <v>3209</v>
      </c>
      <c r="C970" s="544" t="s">
        <v>8379</v>
      </c>
      <c r="D970" s="544" t="s">
        <v>8472</v>
      </c>
      <c r="E970" s="544" t="s">
        <v>8453</v>
      </c>
      <c r="F970" s="544" t="s">
        <v>8473</v>
      </c>
      <c r="G970" s="544" t="s">
        <v>8407</v>
      </c>
      <c r="H970" s="544"/>
      <c r="I970" s="544"/>
      <c r="L970" s="543" t="s">
        <v>3135</v>
      </c>
      <c r="M970" s="545">
        <v>61.41</v>
      </c>
      <c r="N970" s="543" t="s">
        <v>3135</v>
      </c>
    </row>
    <row r="971" spans="1:14" s="543" customFormat="1" x14ac:dyDescent="0.25">
      <c r="A971" s="543" t="s">
        <v>3210</v>
      </c>
      <c r="B971" s="543" t="s">
        <v>3211</v>
      </c>
      <c r="C971" s="544" t="s">
        <v>8379</v>
      </c>
      <c r="D971" s="544" t="s">
        <v>8472</v>
      </c>
      <c r="E971" s="544" t="s">
        <v>8453</v>
      </c>
      <c r="F971" s="544" t="s">
        <v>8473</v>
      </c>
      <c r="G971" s="544" t="s">
        <v>7926</v>
      </c>
      <c r="H971" s="544" t="s">
        <v>7721</v>
      </c>
      <c r="I971" s="544"/>
      <c r="L971" s="543" t="s">
        <v>3135</v>
      </c>
      <c r="M971" s="545">
        <v>82.36</v>
      </c>
      <c r="N971" s="543" t="s">
        <v>3135</v>
      </c>
    </row>
    <row r="972" spans="1:14" s="543" customFormat="1" x14ac:dyDescent="0.25">
      <c r="A972" s="543" t="s">
        <v>3212</v>
      </c>
      <c r="B972" s="543" t="s">
        <v>3213</v>
      </c>
      <c r="C972" s="544" t="s">
        <v>8379</v>
      </c>
      <c r="D972" s="544" t="s">
        <v>8475</v>
      </c>
      <c r="E972" s="544" t="s">
        <v>8453</v>
      </c>
      <c r="F972" s="544" t="s">
        <v>8473</v>
      </c>
      <c r="G972" s="544" t="s">
        <v>7933</v>
      </c>
      <c r="H972" s="544" t="s">
        <v>7974</v>
      </c>
      <c r="I972" s="544"/>
      <c r="L972" s="543" t="s">
        <v>3135</v>
      </c>
      <c r="M972" s="545">
        <v>78.44</v>
      </c>
      <c r="N972" s="543" t="s">
        <v>3135</v>
      </c>
    </row>
    <row r="973" spans="1:14" s="543" customFormat="1" x14ac:dyDescent="0.25">
      <c r="A973" s="543" t="s">
        <v>3214</v>
      </c>
      <c r="B973" s="543" t="s">
        <v>3215</v>
      </c>
      <c r="C973" s="544" t="s">
        <v>8379</v>
      </c>
      <c r="D973" s="544" t="s">
        <v>8472</v>
      </c>
      <c r="E973" s="544" t="s">
        <v>8453</v>
      </c>
      <c r="F973" s="544" t="s">
        <v>8473</v>
      </c>
      <c r="G973" s="544" t="s">
        <v>8459</v>
      </c>
      <c r="H973" s="544" t="s">
        <v>8341</v>
      </c>
      <c r="I973" s="544"/>
      <c r="L973" s="543" t="s">
        <v>3135</v>
      </c>
      <c r="M973" s="545">
        <v>82.36</v>
      </c>
      <c r="N973" s="543" t="s">
        <v>3135</v>
      </c>
    </row>
    <row r="974" spans="1:14" s="543" customFormat="1" x14ac:dyDescent="0.25">
      <c r="A974" s="543" t="s">
        <v>3216</v>
      </c>
      <c r="B974" s="543" t="s">
        <v>3217</v>
      </c>
      <c r="C974" s="544" t="s">
        <v>8379</v>
      </c>
      <c r="D974" s="544" t="s">
        <v>8472</v>
      </c>
      <c r="E974" s="544" t="s">
        <v>8453</v>
      </c>
      <c r="F974" s="544" t="s">
        <v>8473</v>
      </c>
      <c r="G974" s="544" t="s">
        <v>7748</v>
      </c>
      <c r="H974" s="544"/>
      <c r="I974" s="544"/>
      <c r="L974" s="543" t="s">
        <v>3135</v>
      </c>
      <c r="M974" s="545">
        <v>61.41</v>
      </c>
      <c r="N974" s="543" t="s">
        <v>3135</v>
      </c>
    </row>
    <row r="975" spans="1:14" s="543" customFormat="1" x14ac:dyDescent="0.25">
      <c r="A975" s="543" t="s">
        <v>3218</v>
      </c>
      <c r="B975" s="543" t="s">
        <v>3219</v>
      </c>
      <c r="C975" s="544" t="s">
        <v>8379</v>
      </c>
      <c r="D975" s="544" t="s">
        <v>8475</v>
      </c>
      <c r="E975" s="544" t="s">
        <v>8453</v>
      </c>
      <c r="F975" s="544" t="s">
        <v>8473</v>
      </c>
      <c r="G975" s="544" t="s">
        <v>7939</v>
      </c>
      <c r="H975" s="544" t="s">
        <v>7940</v>
      </c>
      <c r="I975" s="544"/>
      <c r="L975" s="543" t="s">
        <v>3135</v>
      </c>
      <c r="M975" s="545">
        <v>78.44</v>
      </c>
      <c r="N975" s="543" t="s">
        <v>3135</v>
      </c>
    </row>
    <row r="976" spans="1:14" s="543" customFormat="1" x14ac:dyDescent="0.25">
      <c r="A976" s="543" t="s">
        <v>3220</v>
      </c>
      <c r="B976" s="543" t="s">
        <v>3221</v>
      </c>
      <c r="C976" s="544" t="s">
        <v>8379</v>
      </c>
      <c r="D976" s="544" t="s">
        <v>8475</v>
      </c>
      <c r="E976" s="544" t="s">
        <v>8453</v>
      </c>
      <c r="F976" s="544" t="s">
        <v>8473</v>
      </c>
      <c r="G976" s="544" t="s">
        <v>7531</v>
      </c>
      <c r="H976" s="544" t="s">
        <v>148</v>
      </c>
      <c r="I976" s="544"/>
      <c r="L976" s="543" t="s">
        <v>3135</v>
      </c>
      <c r="M976" s="545">
        <v>78.44</v>
      </c>
      <c r="N976" s="543" t="s">
        <v>3135</v>
      </c>
    </row>
    <row r="977" spans="1:14" s="543" customFormat="1" x14ac:dyDescent="0.25">
      <c r="A977" s="543" t="s">
        <v>3222</v>
      </c>
      <c r="B977" s="543" t="s">
        <v>3223</v>
      </c>
      <c r="C977" s="544" t="s">
        <v>8379</v>
      </c>
      <c r="D977" s="544" t="s">
        <v>8472</v>
      </c>
      <c r="E977" s="544" t="s">
        <v>8453</v>
      </c>
      <c r="F977" s="544" t="s">
        <v>8473</v>
      </c>
      <c r="G977" s="544" t="s">
        <v>7964</v>
      </c>
      <c r="H977" s="544" t="s">
        <v>7965</v>
      </c>
      <c r="I977" s="544"/>
      <c r="L977" s="543" t="s">
        <v>3135</v>
      </c>
      <c r="M977" s="545">
        <v>82.36</v>
      </c>
      <c r="N977" s="543" t="s">
        <v>3135</v>
      </c>
    </row>
    <row r="978" spans="1:14" s="543" customFormat="1" x14ac:dyDescent="0.25">
      <c r="A978" s="543" t="s">
        <v>3224</v>
      </c>
      <c r="B978" s="543" t="s">
        <v>3225</v>
      </c>
      <c r="C978" s="544" t="s">
        <v>8379</v>
      </c>
      <c r="D978" s="544" t="s">
        <v>8475</v>
      </c>
      <c r="E978" s="544" t="s">
        <v>8453</v>
      </c>
      <c r="F978" s="544" t="s">
        <v>8473</v>
      </c>
      <c r="G978" s="544" t="s">
        <v>8476</v>
      </c>
      <c r="H978" s="544" t="s">
        <v>8477</v>
      </c>
      <c r="I978" s="544" t="s">
        <v>8478</v>
      </c>
      <c r="L978" s="543" t="s">
        <v>3135</v>
      </c>
      <c r="M978" s="545">
        <v>82.36</v>
      </c>
      <c r="N978" s="543" t="s">
        <v>3135</v>
      </c>
    </row>
    <row r="979" spans="1:14" s="543" customFormat="1" x14ac:dyDescent="0.25">
      <c r="A979" s="543" t="s">
        <v>3226</v>
      </c>
      <c r="B979" s="543" t="s">
        <v>3227</v>
      </c>
      <c r="C979" s="544" t="s">
        <v>8379</v>
      </c>
      <c r="D979" s="544" t="s">
        <v>8472</v>
      </c>
      <c r="E979" s="544" t="s">
        <v>8453</v>
      </c>
      <c r="F979" s="544" t="s">
        <v>8474</v>
      </c>
      <c r="G979" s="544" t="s">
        <v>8407</v>
      </c>
      <c r="H979" s="544"/>
      <c r="I979" s="544"/>
      <c r="L979" s="543" t="s">
        <v>3135</v>
      </c>
      <c r="M979" s="545">
        <v>49.13</v>
      </c>
      <c r="N979" s="543" t="s">
        <v>3135</v>
      </c>
    </row>
    <row r="980" spans="1:14" s="543" customFormat="1" x14ac:dyDescent="0.25">
      <c r="A980" s="543" t="s">
        <v>3228</v>
      </c>
      <c r="B980" s="543" t="s">
        <v>3229</v>
      </c>
      <c r="C980" s="544" t="s">
        <v>8379</v>
      </c>
      <c r="D980" s="544" t="s">
        <v>8472</v>
      </c>
      <c r="E980" s="544" t="s">
        <v>8453</v>
      </c>
      <c r="F980" s="544" t="s">
        <v>8474</v>
      </c>
      <c r="G980" s="544" t="s">
        <v>7926</v>
      </c>
      <c r="H980" s="544" t="s">
        <v>7721</v>
      </c>
      <c r="I980" s="544"/>
      <c r="L980" s="543" t="s">
        <v>3135</v>
      </c>
      <c r="M980" s="545">
        <v>65.900000000000006</v>
      </c>
      <c r="N980" s="543" t="s">
        <v>3135</v>
      </c>
    </row>
    <row r="981" spans="1:14" s="543" customFormat="1" x14ac:dyDescent="0.25">
      <c r="A981" s="543" t="s">
        <v>3230</v>
      </c>
      <c r="B981" s="543" t="s">
        <v>3231</v>
      </c>
      <c r="C981" s="544" t="s">
        <v>8379</v>
      </c>
      <c r="D981" s="544" t="s">
        <v>8472</v>
      </c>
      <c r="E981" s="544" t="s">
        <v>8453</v>
      </c>
      <c r="F981" s="544" t="s">
        <v>8474</v>
      </c>
      <c r="G981" s="544" t="s">
        <v>7932</v>
      </c>
      <c r="H981" s="544" t="s">
        <v>7457</v>
      </c>
      <c r="I981" s="544"/>
      <c r="L981" s="543" t="s">
        <v>3135</v>
      </c>
      <c r="M981" s="545">
        <v>65.900000000000006</v>
      </c>
      <c r="N981" s="543" t="s">
        <v>3135</v>
      </c>
    </row>
    <row r="982" spans="1:14" s="543" customFormat="1" x14ac:dyDescent="0.25">
      <c r="A982" s="543" t="s">
        <v>3232</v>
      </c>
      <c r="B982" s="543" t="s">
        <v>3233</v>
      </c>
      <c r="C982" s="544" t="s">
        <v>8379</v>
      </c>
      <c r="D982" s="544" t="s">
        <v>8475</v>
      </c>
      <c r="E982" s="544" t="s">
        <v>8453</v>
      </c>
      <c r="F982" s="544" t="s">
        <v>8474</v>
      </c>
      <c r="G982" s="544" t="s">
        <v>8479</v>
      </c>
      <c r="H982" s="544" t="s">
        <v>8480</v>
      </c>
      <c r="I982" s="544"/>
      <c r="L982" s="543" t="s">
        <v>3135</v>
      </c>
      <c r="M982" s="545">
        <v>62.76</v>
      </c>
      <c r="N982" s="543" t="s">
        <v>3135</v>
      </c>
    </row>
    <row r="983" spans="1:14" s="543" customFormat="1" x14ac:dyDescent="0.25">
      <c r="A983" s="543" t="s">
        <v>3234</v>
      </c>
      <c r="B983" s="543" t="s">
        <v>3235</v>
      </c>
      <c r="C983" s="544" t="s">
        <v>8379</v>
      </c>
      <c r="D983" s="544" t="s">
        <v>8475</v>
      </c>
      <c r="E983" s="544" t="s">
        <v>8453</v>
      </c>
      <c r="F983" s="544" t="s">
        <v>8474</v>
      </c>
      <c r="G983" s="544" t="s">
        <v>7939</v>
      </c>
      <c r="H983" s="544" t="s">
        <v>7940</v>
      </c>
      <c r="I983" s="544"/>
      <c r="L983" s="543" t="s">
        <v>3135</v>
      </c>
      <c r="M983" s="545">
        <v>62.76</v>
      </c>
      <c r="N983" s="543" t="s">
        <v>3135</v>
      </c>
    </row>
    <row r="984" spans="1:14" s="543" customFormat="1" x14ac:dyDescent="0.25">
      <c r="A984" s="543" t="s">
        <v>3236</v>
      </c>
      <c r="B984" s="543" t="s">
        <v>3237</v>
      </c>
      <c r="C984" s="544" t="s">
        <v>8379</v>
      </c>
      <c r="D984" s="544" t="s">
        <v>8475</v>
      </c>
      <c r="E984" s="544" t="s">
        <v>8453</v>
      </c>
      <c r="F984" s="544" t="s">
        <v>8474</v>
      </c>
      <c r="G984" s="544" t="s">
        <v>8476</v>
      </c>
      <c r="H984" s="544" t="s">
        <v>8477</v>
      </c>
      <c r="I984" s="544" t="s">
        <v>8478</v>
      </c>
      <c r="L984" s="543" t="s">
        <v>3135</v>
      </c>
      <c r="M984" s="545">
        <v>65.900000000000006</v>
      </c>
      <c r="N984" s="543" t="s">
        <v>3135</v>
      </c>
    </row>
    <row r="985" spans="1:14" s="543" customFormat="1" x14ac:dyDescent="0.25">
      <c r="A985" s="543" t="s">
        <v>3238</v>
      </c>
      <c r="B985" s="543" t="s">
        <v>3239</v>
      </c>
      <c r="C985" s="544" t="s">
        <v>8379</v>
      </c>
      <c r="D985" s="544" t="s">
        <v>8472</v>
      </c>
      <c r="E985" s="544" t="s">
        <v>8406</v>
      </c>
      <c r="F985" s="544" t="s">
        <v>8473</v>
      </c>
      <c r="G985" s="544" t="s">
        <v>8407</v>
      </c>
      <c r="H985" s="544"/>
      <c r="I985" s="544"/>
      <c r="L985" s="543" t="s">
        <v>3135</v>
      </c>
      <c r="M985" s="545">
        <v>61.41</v>
      </c>
      <c r="N985" s="543" t="s">
        <v>3135</v>
      </c>
    </row>
    <row r="986" spans="1:14" s="543" customFormat="1" x14ac:dyDescent="0.25">
      <c r="A986" s="543" t="s">
        <v>3240</v>
      </c>
      <c r="B986" s="543" t="s">
        <v>3241</v>
      </c>
      <c r="C986" s="544" t="s">
        <v>8379</v>
      </c>
      <c r="D986" s="544" t="s">
        <v>8472</v>
      </c>
      <c r="E986" s="544" t="s">
        <v>8406</v>
      </c>
      <c r="F986" s="544" t="s">
        <v>8473</v>
      </c>
      <c r="G986" s="544" t="s">
        <v>7567</v>
      </c>
      <c r="H986" s="544" t="s">
        <v>7525</v>
      </c>
      <c r="I986" s="544"/>
      <c r="L986" s="543" t="s">
        <v>3135</v>
      </c>
      <c r="M986" s="545">
        <v>82.36</v>
      </c>
      <c r="N986" s="543" t="s">
        <v>3135</v>
      </c>
    </row>
    <row r="987" spans="1:14" s="543" customFormat="1" x14ac:dyDescent="0.25">
      <c r="A987" s="543" t="s">
        <v>3242</v>
      </c>
      <c r="B987" s="543" t="s">
        <v>3243</v>
      </c>
      <c r="C987" s="544" t="s">
        <v>8379</v>
      </c>
      <c r="D987" s="544" t="s">
        <v>8472</v>
      </c>
      <c r="E987" s="544" t="s">
        <v>8406</v>
      </c>
      <c r="F987" s="544" t="s">
        <v>8473</v>
      </c>
      <c r="G987" s="544" t="s">
        <v>7926</v>
      </c>
      <c r="H987" s="544" t="s">
        <v>7721</v>
      </c>
      <c r="I987" s="544"/>
      <c r="L987" s="543" t="s">
        <v>3135</v>
      </c>
      <c r="M987" s="545">
        <v>82.36</v>
      </c>
      <c r="N987" s="543" t="s">
        <v>3135</v>
      </c>
    </row>
    <row r="988" spans="1:14" s="543" customFormat="1" x14ac:dyDescent="0.25">
      <c r="A988" s="543" t="s">
        <v>3244</v>
      </c>
      <c r="B988" s="543" t="s">
        <v>3245</v>
      </c>
      <c r="C988" s="544" t="s">
        <v>8379</v>
      </c>
      <c r="D988" s="544" t="s">
        <v>8472</v>
      </c>
      <c r="E988" s="544" t="s">
        <v>8406</v>
      </c>
      <c r="F988" s="544" t="s">
        <v>8473</v>
      </c>
      <c r="G988" s="544" t="s">
        <v>7928</v>
      </c>
      <c r="H988" s="544" t="s">
        <v>7445</v>
      </c>
      <c r="I988" s="544"/>
      <c r="L988" s="543" t="s">
        <v>3135</v>
      </c>
      <c r="M988" s="545">
        <v>82.36</v>
      </c>
      <c r="N988" s="543" t="s">
        <v>3135</v>
      </c>
    </row>
    <row r="989" spans="1:14" s="543" customFormat="1" x14ac:dyDescent="0.25">
      <c r="A989" s="543" t="s">
        <v>3246</v>
      </c>
      <c r="B989" s="543" t="s">
        <v>3247</v>
      </c>
      <c r="C989" s="544" t="s">
        <v>8379</v>
      </c>
      <c r="D989" s="544" t="s">
        <v>8472</v>
      </c>
      <c r="E989" s="544" t="s">
        <v>8406</v>
      </c>
      <c r="F989" s="544" t="s">
        <v>8473</v>
      </c>
      <c r="G989" s="544" t="s">
        <v>7932</v>
      </c>
      <c r="H989" s="544"/>
      <c r="I989" s="544"/>
      <c r="L989" s="543" t="s">
        <v>3135</v>
      </c>
      <c r="M989" s="545">
        <v>82.36</v>
      </c>
      <c r="N989" s="543" t="s">
        <v>3135</v>
      </c>
    </row>
    <row r="990" spans="1:14" s="543" customFormat="1" x14ac:dyDescent="0.25">
      <c r="A990" s="543" t="s">
        <v>3248</v>
      </c>
      <c r="B990" s="543" t="s">
        <v>3249</v>
      </c>
      <c r="C990" s="544" t="s">
        <v>8379</v>
      </c>
      <c r="D990" s="544" t="s">
        <v>8472</v>
      </c>
      <c r="E990" s="544" t="s">
        <v>8406</v>
      </c>
      <c r="F990" s="544" t="s">
        <v>8473</v>
      </c>
      <c r="G990" s="544" t="s">
        <v>8459</v>
      </c>
      <c r="H990" s="544" t="s">
        <v>8341</v>
      </c>
      <c r="I990" s="544"/>
      <c r="L990" s="543" t="s">
        <v>3135</v>
      </c>
      <c r="M990" s="545">
        <v>82.36</v>
      </c>
      <c r="N990" s="543" t="s">
        <v>3135</v>
      </c>
    </row>
    <row r="991" spans="1:14" s="543" customFormat="1" x14ac:dyDescent="0.25">
      <c r="A991" s="543" t="s">
        <v>3250</v>
      </c>
      <c r="B991" s="543" t="s">
        <v>3251</v>
      </c>
      <c r="C991" s="544" t="s">
        <v>8379</v>
      </c>
      <c r="D991" s="544" t="s">
        <v>8472</v>
      </c>
      <c r="E991" s="544" t="s">
        <v>8406</v>
      </c>
      <c r="F991" s="544" t="s">
        <v>8473</v>
      </c>
      <c r="G991" s="544" t="s">
        <v>7937</v>
      </c>
      <c r="H991" s="544" t="s">
        <v>7938</v>
      </c>
      <c r="I991" s="544"/>
      <c r="L991" s="543" t="s">
        <v>3135</v>
      </c>
      <c r="M991" s="545">
        <v>82.36</v>
      </c>
      <c r="N991" s="543" t="s">
        <v>3135</v>
      </c>
    </row>
    <row r="992" spans="1:14" s="543" customFormat="1" x14ac:dyDescent="0.25">
      <c r="A992" s="543" t="s">
        <v>3252</v>
      </c>
      <c r="B992" s="543" t="s">
        <v>3253</v>
      </c>
      <c r="C992" s="544" t="s">
        <v>8379</v>
      </c>
      <c r="D992" s="544" t="s">
        <v>8472</v>
      </c>
      <c r="E992" s="544" t="s">
        <v>8406</v>
      </c>
      <c r="F992" s="544" t="s">
        <v>8473</v>
      </c>
      <c r="G992" s="544" t="s">
        <v>7941</v>
      </c>
      <c r="H992" s="544" t="s">
        <v>7445</v>
      </c>
      <c r="I992" s="544"/>
      <c r="L992" s="543" t="s">
        <v>3135</v>
      </c>
      <c r="M992" s="545">
        <v>82.36</v>
      </c>
      <c r="N992" s="543" t="s">
        <v>3135</v>
      </c>
    </row>
    <row r="993" spans="1:14" s="543" customFormat="1" x14ac:dyDescent="0.25">
      <c r="A993" s="543" t="s">
        <v>3254</v>
      </c>
      <c r="B993" s="543" t="s">
        <v>3255</v>
      </c>
      <c r="C993" s="544" t="s">
        <v>8379</v>
      </c>
      <c r="D993" s="544" t="s">
        <v>8472</v>
      </c>
      <c r="E993" s="544" t="s">
        <v>8406</v>
      </c>
      <c r="F993" s="544" t="s">
        <v>8473</v>
      </c>
      <c r="G993" s="544" t="s">
        <v>7549</v>
      </c>
      <c r="H993" s="544" t="s">
        <v>7441</v>
      </c>
      <c r="I993" s="544"/>
      <c r="L993" s="543" t="s">
        <v>3135</v>
      </c>
      <c r="M993" s="545">
        <v>82.36</v>
      </c>
      <c r="N993" s="543" t="s">
        <v>3135</v>
      </c>
    </row>
    <row r="994" spans="1:14" s="543" customFormat="1" x14ac:dyDescent="0.25">
      <c r="A994" s="543" t="s">
        <v>3256</v>
      </c>
      <c r="B994" s="543" t="s">
        <v>3257</v>
      </c>
      <c r="C994" s="544" t="s">
        <v>8379</v>
      </c>
      <c r="D994" s="544" t="s">
        <v>8472</v>
      </c>
      <c r="E994" s="544" t="s">
        <v>8406</v>
      </c>
      <c r="F994" s="544" t="s">
        <v>8473</v>
      </c>
      <c r="G994" s="544" t="s">
        <v>8176</v>
      </c>
      <c r="H994" s="544" t="s">
        <v>7892</v>
      </c>
      <c r="I994" s="544"/>
      <c r="L994" s="543" t="s">
        <v>3135</v>
      </c>
      <c r="M994" s="545">
        <v>82.36</v>
      </c>
      <c r="N994" s="543" t="s">
        <v>3135</v>
      </c>
    </row>
    <row r="995" spans="1:14" s="543" customFormat="1" x14ac:dyDescent="0.25">
      <c r="A995" s="543" t="s">
        <v>3258</v>
      </c>
      <c r="B995" s="543" t="s">
        <v>3259</v>
      </c>
      <c r="C995" s="544" t="s">
        <v>8379</v>
      </c>
      <c r="D995" s="544" t="s">
        <v>8472</v>
      </c>
      <c r="E995" s="544" t="s">
        <v>8406</v>
      </c>
      <c r="F995" s="544" t="s">
        <v>8473</v>
      </c>
      <c r="G995" s="544" t="s">
        <v>8363</v>
      </c>
      <c r="H995" s="544" t="s">
        <v>7489</v>
      </c>
      <c r="I995" s="544"/>
      <c r="L995" s="543" t="s">
        <v>3135</v>
      </c>
      <c r="M995" s="545">
        <v>82.36</v>
      </c>
      <c r="N995" s="543" t="s">
        <v>3135</v>
      </c>
    </row>
    <row r="996" spans="1:14" s="543" customFormat="1" x14ac:dyDescent="0.25">
      <c r="A996" s="543" t="s">
        <v>3260</v>
      </c>
      <c r="B996" s="543" t="s">
        <v>3261</v>
      </c>
      <c r="C996" s="544" t="s">
        <v>8379</v>
      </c>
      <c r="D996" s="544" t="s">
        <v>8472</v>
      </c>
      <c r="E996" s="544" t="s">
        <v>8406</v>
      </c>
      <c r="F996" s="544" t="s">
        <v>8473</v>
      </c>
      <c r="G996" s="544" t="s">
        <v>7947</v>
      </c>
      <c r="H996" s="544" t="s">
        <v>7436</v>
      </c>
      <c r="I996" s="544"/>
      <c r="L996" s="543" t="s">
        <v>3135</v>
      </c>
      <c r="M996" s="545">
        <v>82.36</v>
      </c>
      <c r="N996" s="543" t="s">
        <v>3135</v>
      </c>
    </row>
    <row r="997" spans="1:14" s="543" customFormat="1" x14ac:dyDescent="0.25">
      <c r="A997" s="543" t="s">
        <v>3262</v>
      </c>
      <c r="B997" s="543" t="s">
        <v>3263</v>
      </c>
      <c r="C997" s="544" t="s">
        <v>8379</v>
      </c>
      <c r="D997" s="544" t="s">
        <v>8475</v>
      </c>
      <c r="E997" s="544" t="s">
        <v>8481</v>
      </c>
      <c r="F997" s="544" t="s">
        <v>8473</v>
      </c>
      <c r="G997" s="544" t="s">
        <v>7949</v>
      </c>
      <c r="H997" s="544" t="s">
        <v>7950</v>
      </c>
      <c r="I997" s="544"/>
      <c r="L997" s="543" t="s">
        <v>3135</v>
      </c>
      <c r="M997" s="545">
        <v>82.36</v>
      </c>
      <c r="N997" s="543" t="s">
        <v>3135</v>
      </c>
    </row>
    <row r="998" spans="1:14" s="543" customFormat="1" x14ac:dyDescent="0.25">
      <c r="A998" s="543" t="s">
        <v>3264</v>
      </c>
      <c r="B998" s="543" t="s">
        <v>3265</v>
      </c>
      <c r="C998" s="544" t="s">
        <v>8379</v>
      </c>
      <c r="D998" s="544" t="s">
        <v>8475</v>
      </c>
      <c r="E998" s="544" t="s">
        <v>8481</v>
      </c>
      <c r="F998" s="544" t="s">
        <v>8473</v>
      </c>
      <c r="G998" s="544" t="s">
        <v>7531</v>
      </c>
      <c r="H998" s="544" t="s">
        <v>7473</v>
      </c>
      <c r="I998" s="544"/>
      <c r="L998" s="543" t="s">
        <v>3135</v>
      </c>
      <c r="M998" s="545">
        <v>82.36</v>
      </c>
      <c r="N998" s="543" t="s">
        <v>3135</v>
      </c>
    </row>
    <row r="999" spans="1:14" s="543" customFormat="1" x14ac:dyDescent="0.25">
      <c r="A999" s="543" t="s">
        <v>3266</v>
      </c>
      <c r="B999" s="543" t="s">
        <v>3267</v>
      </c>
      <c r="C999" s="544" t="s">
        <v>8379</v>
      </c>
      <c r="D999" s="544" t="s">
        <v>8472</v>
      </c>
      <c r="E999" s="544" t="s">
        <v>8406</v>
      </c>
      <c r="F999" s="544" t="s">
        <v>8473</v>
      </c>
      <c r="G999" s="544" t="s">
        <v>7951</v>
      </c>
      <c r="H999" s="544" t="s">
        <v>7952</v>
      </c>
      <c r="I999" s="544"/>
      <c r="L999" s="543" t="s">
        <v>3135</v>
      </c>
      <c r="M999" s="545">
        <v>82.36</v>
      </c>
      <c r="N999" s="543" t="s">
        <v>3135</v>
      </c>
    </row>
    <row r="1000" spans="1:14" s="543" customFormat="1" x14ac:dyDescent="0.25">
      <c r="A1000" s="543" t="s">
        <v>3268</v>
      </c>
      <c r="B1000" s="543" t="s">
        <v>3269</v>
      </c>
      <c r="C1000" s="544" t="s">
        <v>8379</v>
      </c>
      <c r="D1000" s="544" t="s">
        <v>8472</v>
      </c>
      <c r="E1000" s="544" t="s">
        <v>8406</v>
      </c>
      <c r="F1000" s="544" t="s">
        <v>8473</v>
      </c>
      <c r="G1000" s="544" t="s">
        <v>7954</v>
      </c>
      <c r="H1000" s="544" t="s">
        <v>8367</v>
      </c>
      <c r="I1000" s="544"/>
      <c r="L1000" s="543" t="s">
        <v>3135</v>
      </c>
      <c r="M1000" s="545">
        <v>82.36</v>
      </c>
      <c r="N1000" s="543" t="s">
        <v>3135</v>
      </c>
    </row>
    <row r="1001" spans="1:14" s="543" customFormat="1" x14ac:dyDescent="0.25">
      <c r="A1001" s="543" t="s">
        <v>3270</v>
      </c>
      <c r="B1001" s="543" t="s">
        <v>3271</v>
      </c>
      <c r="C1001" s="544" t="s">
        <v>8379</v>
      </c>
      <c r="D1001" s="544" t="s">
        <v>8472</v>
      </c>
      <c r="E1001" s="544" t="s">
        <v>8406</v>
      </c>
      <c r="F1001" s="544" t="s">
        <v>8473</v>
      </c>
      <c r="G1001" s="544" t="s">
        <v>7958</v>
      </c>
      <c r="H1001" s="544" t="s">
        <v>7878</v>
      </c>
      <c r="I1001" s="544"/>
      <c r="L1001" s="543" t="s">
        <v>3135</v>
      </c>
      <c r="M1001" s="545">
        <v>82.36</v>
      </c>
      <c r="N1001" s="543" t="s">
        <v>3135</v>
      </c>
    </row>
    <row r="1002" spans="1:14" s="543" customFormat="1" x14ac:dyDescent="0.25">
      <c r="A1002" s="543" t="s">
        <v>3272</v>
      </c>
      <c r="B1002" s="543" t="s">
        <v>3273</v>
      </c>
      <c r="C1002" s="544" t="s">
        <v>8379</v>
      </c>
      <c r="D1002" s="544" t="s">
        <v>8475</v>
      </c>
      <c r="E1002" s="544" t="s">
        <v>8481</v>
      </c>
      <c r="F1002" s="544" t="s">
        <v>8473</v>
      </c>
      <c r="G1002" s="544" t="s">
        <v>7962</v>
      </c>
      <c r="H1002" s="544" t="s">
        <v>7426</v>
      </c>
      <c r="I1002" s="544"/>
      <c r="L1002" s="543" t="s">
        <v>3135</v>
      </c>
      <c r="M1002" s="545">
        <v>82.36</v>
      </c>
      <c r="N1002" s="543" t="s">
        <v>3135</v>
      </c>
    </row>
    <row r="1003" spans="1:14" s="543" customFormat="1" x14ac:dyDescent="0.25">
      <c r="A1003" s="543" t="s">
        <v>3274</v>
      </c>
      <c r="B1003" s="543" t="s">
        <v>3275</v>
      </c>
      <c r="C1003" s="544" t="s">
        <v>8379</v>
      </c>
      <c r="D1003" s="544" t="s">
        <v>8472</v>
      </c>
      <c r="E1003" s="544" t="s">
        <v>8406</v>
      </c>
      <c r="F1003" s="544" t="s">
        <v>8473</v>
      </c>
      <c r="G1003" s="544" t="s">
        <v>7963</v>
      </c>
      <c r="H1003" s="544" t="s">
        <v>7489</v>
      </c>
      <c r="I1003" s="544"/>
      <c r="L1003" s="543" t="s">
        <v>3135</v>
      </c>
      <c r="M1003" s="545">
        <v>82.36</v>
      </c>
      <c r="N1003" s="543" t="s">
        <v>3135</v>
      </c>
    </row>
    <row r="1004" spans="1:14" s="543" customFormat="1" x14ac:dyDescent="0.25">
      <c r="A1004" s="543" t="s">
        <v>3276</v>
      </c>
      <c r="B1004" s="543" t="s">
        <v>3277</v>
      </c>
      <c r="C1004" s="544" t="s">
        <v>8379</v>
      </c>
      <c r="D1004" s="544" t="s">
        <v>8472</v>
      </c>
      <c r="E1004" s="544" t="s">
        <v>8406</v>
      </c>
      <c r="F1004" s="544" t="s">
        <v>8473</v>
      </c>
      <c r="G1004" s="544" t="s">
        <v>7964</v>
      </c>
      <c r="H1004" s="544" t="s">
        <v>7965</v>
      </c>
      <c r="I1004" s="544"/>
      <c r="L1004" s="543" t="s">
        <v>3135</v>
      </c>
      <c r="M1004" s="545">
        <v>82.36</v>
      </c>
      <c r="N1004" s="543" t="s">
        <v>3135</v>
      </c>
    </row>
    <row r="1005" spans="1:14" s="543" customFormat="1" x14ac:dyDescent="0.25">
      <c r="A1005" s="543" t="s">
        <v>3278</v>
      </c>
      <c r="B1005" s="543" t="s">
        <v>3279</v>
      </c>
      <c r="C1005" s="544" t="s">
        <v>8379</v>
      </c>
      <c r="D1005" s="544" t="s">
        <v>8472</v>
      </c>
      <c r="E1005" s="544" t="s">
        <v>8406</v>
      </c>
      <c r="F1005" s="544" t="s">
        <v>8473</v>
      </c>
      <c r="G1005" s="544" t="s">
        <v>7969</v>
      </c>
      <c r="H1005" s="544" t="s">
        <v>7970</v>
      </c>
      <c r="I1005" s="544"/>
      <c r="L1005" s="543" t="s">
        <v>3135</v>
      </c>
      <c r="M1005" s="545">
        <v>82.36</v>
      </c>
      <c r="N1005" s="543" t="s">
        <v>3135</v>
      </c>
    </row>
    <row r="1006" spans="1:14" s="543" customFormat="1" x14ac:dyDescent="0.25">
      <c r="A1006" s="543" t="s">
        <v>3280</v>
      </c>
      <c r="B1006" s="543" t="s">
        <v>3281</v>
      </c>
      <c r="C1006" s="544" t="s">
        <v>8379</v>
      </c>
      <c r="D1006" s="544" t="s">
        <v>8472</v>
      </c>
      <c r="E1006" s="544" t="s">
        <v>8406</v>
      </c>
      <c r="F1006" s="544" t="s">
        <v>8474</v>
      </c>
      <c r="G1006" s="544" t="s">
        <v>8407</v>
      </c>
      <c r="H1006" s="544"/>
      <c r="I1006" s="544"/>
      <c r="L1006" s="543" t="s">
        <v>3135</v>
      </c>
      <c r="M1006" s="545">
        <v>49.13</v>
      </c>
      <c r="N1006" s="543" t="s">
        <v>3135</v>
      </c>
    </row>
    <row r="1007" spans="1:14" s="543" customFormat="1" x14ac:dyDescent="0.25">
      <c r="A1007" s="543" t="s">
        <v>3282</v>
      </c>
      <c r="B1007" s="543" t="s">
        <v>3283</v>
      </c>
      <c r="C1007" s="544" t="s">
        <v>8379</v>
      </c>
      <c r="D1007" s="544" t="s">
        <v>8472</v>
      </c>
      <c r="E1007" s="544" t="s">
        <v>8406</v>
      </c>
      <c r="F1007" s="544" t="s">
        <v>8474</v>
      </c>
      <c r="G1007" s="544" t="s">
        <v>7567</v>
      </c>
      <c r="H1007" s="544" t="s">
        <v>7525</v>
      </c>
      <c r="I1007" s="544"/>
      <c r="L1007" s="543" t="s">
        <v>3135</v>
      </c>
      <c r="M1007" s="545">
        <v>65.900000000000006</v>
      </c>
      <c r="N1007" s="543" t="s">
        <v>3135</v>
      </c>
    </row>
    <row r="1008" spans="1:14" s="543" customFormat="1" x14ac:dyDescent="0.25">
      <c r="A1008" s="543" t="s">
        <v>3284</v>
      </c>
      <c r="B1008" s="543" t="s">
        <v>3285</v>
      </c>
      <c r="C1008" s="544" t="s">
        <v>8379</v>
      </c>
      <c r="D1008" s="544" t="s">
        <v>8472</v>
      </c>
      <c r="E1008" s="544" t="s">
        <v>8406</v>
      </c>
      <c r="F1008" s="544" t="s">
        <v>8474</v>
      </c>
      <c r="G1008" s="544" t="s">
        <v>8354</v>
      </c>
      <c r="H1008" s="544" t="s">
        <v>7595</v>
      </c>
      <c r="I1008" s="544"/>
      <c r="L1008" s="543" t="s">
        <v>3135</v>
      </c>
      <c r="M1008" s="545">
        <v>65.900000000000006</v>
      </c>
      <c r="N1008" s="543" t="s">
        <v>3135</v>
      </c>
    </row>
    <row r="1009" spans="1:14" s="543" customFormat="1" x14ac:dyDescent="0.25">
      <c r="A1009" s="543" t="s">
        <v>3286</v>
      </c>
      <c r="B1009" s="543" t="s">
        <v>3287</v>
      </c>
      <c r="C1009" s="544" t="s">
        <v>8379</v>
      </c>
      <c r="D1009" s="544" t="s">
        <v>8472</v>
      </c>
      <c r="E1009" s="544" t="s">
        <v>8406</v>
      </c>
      <c r="F1009" s="544" t="s">
        <v>8474</v>
      </c>
      <c r="G1009" s="544" t="s">
        <v>7926</v>
      </c>
      <c r="H1009" s="544" t="s">
        <v>7721</v>
      </c>
      <c r="I1009" s="544"/>
      <c r="L1009" s="543" t="s">
        <v>3135</v>
      </c>
      <c r="M1009" s="545">
        <v>65.900000000000006</v>
      </c>
      <c r="N1009" s="543" t="s">
        <v>3135</v>
      </c>
    </row>
    <row r="1010" spans="1:14" s="543" customFormat="1" x14ac:dyDescent="0.25">
      <c r="A1010" s="543" t="s">
        <v>3288</v>
      </c>
      <c r="B1010" s="543" t="s">
        <v>3289</v>
      </c>
      <c r="C1010" s="544" t="s">
        <v>8379</v>
      </c>
      <c r="D1010" s="544" t="s">
        <v>8475</v>
      </c>
      <c r="E1010" s="544" t="s">
        <v>8481</v>
      </c>
      <c r="F1010" s="544" t="s">
        <v>8474</v>
      </c>
      <c r="G1010" s="544" t="s">
        <v>7929</v>
      </c>
      <c r="H1010" s="544" t="s">
        <v>7557</v>
      </c>
      <c r="I1010" s="544"/>
      <c r="L1010" s="543" t="s">
        <v>3135</v>
      </c>
      <c r="M1010" s="545">
        <v>65.900000000000006</v>
      </c>
      <c r="N1010" s="543" t="s">
        <v>3135</v>
      </c>
    </row>
    <row r="1011" spans="1:14" s="543" customFormat="1" x14ac:dyDescent="0.25">
      <c r="A1011" s="543" t="s">
        <v>3290</v>
      </c>
      <c r="B1011" s="543" t="s">
        <v>3291</v>
      </c>
      <c r="C1011" s="544" t="s">
        <v>8379</v>
      </c>
      <c r="D1011" s="544" t="s">
        <v>8472</v>
      </c>
      <c r="E1011" s="544" t="s">
        <v>8406</v>
      </c>
      <c r="F1011" s="544" t="s">
        <v>8474</v>
      </c>
      <c r="G1011" s="544" t="s">
        <v>7932</v>
      </c>
      <c r="H1011" s="544"/>
      <c r="I1011" s="544"/>
      <c r="L1011" s="543" t="s">
        <v>3135</v>
      </c>
      <c r="M1011" s="545">
        <v>65.900000000000006</v>
      </c>
      <c r="N1011" s="543" t="s">
        <v>3135</v>
      </c>
    </row>
    <row r="1012" spans="1:14" s="543" customFormat="1" x14ac:dyDescent="0.25">
      <c r="A1012" s="543" t="s">
        <v>3292</v>
      </c>
      <c r="B1012" s="543" t="s">
        <v>3293</v>
      </c>
      <c r="C1012" s="544" t="s">
        <v>8379</v>
      </c>
      <c r="D1012" s="544" t="s">
        <v>8472</v>
      </c>
      <c r="E1012" s="544" t="s">
        <v>8406</v>
      </c>
      <c r="F1012" s="544" t="s">
        <v>8474</v>
      </c>
      <c r="G1012" s="544" t="s">
        <v>8459</v>
      </c>
      <c r="H1012" s="544" t="s">
        <v>8341</v>
      </c>
      <c r="I1012" s="544"/>
      <c r="L1012" s="543" t="s">
        <v>3135</v>
      </c>
      <c r="M1012" s="545">
        <v>65.900000000000006</v>
      </c>
      <c r="N1012" s="543" t="s">
        <v>3135</v>
      </c>
    </row>
    <row r="1013" spans="1:14" s="543" customFormat="1" x14ac:dyDescent="0.25">
      <c r="A1013" s="543" t="s">
        <v>3294</v>
      </c>
      <c r="B1013" s="543" t="s">
        <v>3295</v>
      </c>
      <c r="C1013" s="544" t="s">
        <v>8379</v>
      </c>
      <c r="D1013" s="544" t="s">
        <v>8472</v>
      </c>
      <c r="E1013" s="544" t="s">
        <v>8406</v>
      </c>
      <c r="F1013" s="544" t="s">
        <v>8474</v>
      </c>
      <c r="G1013" s="544" t="s">
        <v>7937</v>
      </c>
      <c r="H1013" s="544" t="s">
        <v>7938</v>
      </c>
      <c r="I1013" s="544"/>
      <c r="L1013" s="543" t="s">
        <v>3135</v>
      </c>
      <c r="M1013" s="545">
        <v>65.900000000000006</v>
      </c>
      <c r="N1013" s="543" t="s">
        <v>3135</v>
      </c>
    </row>
    <row r="1014" spans="1:14" s="543" customFormat="1" x14ac:dyDescent="0.25">
      <c r="A1014" s="543" t="s">
        <v>3296</v>
      </c>
      <c r="B1014" s="543" t="s">
        <v>3297</v>
      </c>
      <c r="C1014" s="544" t="s">
        <v>8379</v>
      </c>
      <c r="D1014" s="544" t="s">
        <v>8472</v>
      </c>
      <c r="E1014" s="544" t="s">
        <v>8406</v>
      </c>
      <c r="F1014" s="544" t="s">
        <v>8474</v>
      </c>
      <c r="G1014" s="544" t="s">
        <v>7941</v>
      </c>
      <c r="H1014" s="544" t="s">
        <v>7445</v>
      </c>
      <c r="I1014" s="544"/>
      <c r="L1014" s="543" t="s">
        <v>3135</v>
      </c>
      <c r="M1014" s="545">
        <v>65.900000000000006</v>
      </c>
      <c r="N1014" s="543" t="s">
        <v>3135</v>
      </c>
    </row>
    <row r="1015" spans="1:14" s="543" customFormat="1" x14ac:dyDescent="0.25">
      <c r="A1015" s="543" t="s">
        <v>3298</v>
      </c>
      <c r="B1015" s="543" t="s">
        <v>3299</v>
      </c>
      <c r="C1015" s="544" t="s">
        <v>8379</v>
      </c>
      <c r="D1015" s="544" t="s">
        <v>8472</v>
      </c>
      <c r="E1015" s="544" t="s">
        <v>8406</v>
      </c>
      <c r="F1015" s="544" t="s">
        <v>8474</v>
      </c>
      <c r="G1015" s="544" t="s">
        <v>7549</v>
      </c>
      <c r="H1015" s="544" t="s">
        <v>7441</v>
      </c>
      <c r="I1015" s="544"/>
      <c r="L1015" s="543" t="s">
        <v>3135</v>
      </c>
      <c r="M1015" s="545">
        <v>65.900000000000006</v>
      </c>
      <c r="N1015" s="543" t="s">
        <v>3135</v>
      </c>
    </row>
    <row r="1016" spans="1:14" s="543" customFormat="1" x14ac:dyDescent="0.25">
      <c r="A1016" s="543" t="s">
        <v>3300</v>
      </c>
      <c r="B1016" s="543" t="s">
        <v>3301</v>
      </c>
      <c r="C1016" s="544" t="s">
        <v>8379</v>
      </c>
      <c r="D1016" s="544" t="s">
        <v>8472</v>
      </c>
      <c r="E1016" s="544" t="s">
        <v>8406</v>
      </c>
      <c r="F1016" s="544" t="s">
        <v>8474</v>
      </c>
      <c r="G1016" s="544" t="s">
        <v>8176</v>
      </c>
      <c r="H1016" s="544" t="s">
        <v>7892</v>
      </c>
      <c r="I1016" s="544"/>
      <c r="L1016" s="543" t="s">
        <v>3135</v>
      </c>
      <c r="M1016" s="545">
        <v>65.900000000000006</v>
      </c>
      <c r="N1016" s="543" t="s">
        <v>3135</v>
      </c>
    </row>
    <row r="1017" spans="1:14" s="543" customFormat="1" x14ac:dyDescent="0.25">
      <c r="A1017" s="543" t="s">
        <v>3302</v>
      </c>
      <c r="B1017" s="543" t="s">
        <v>3303</v>
      </c>
      <c r="C1017" s="544" t="s">
        <v>8379</v>
      </c>
      <c r="D1017" s="544" t="s">
        <v>8472</v>
      </c>
      <c r="E1017" s="544" t="s">
        <v>8406</v>
      </c>
      <c r="F1017" s="544" t="s">
        <v>8474</v>
      </c>
      <c r="G1017" s="544" t="s">
        <v>8363</v>
      </c>
      <c r="H1017" s="544" t="s">
        <v>7489</v>
      </c>
      <c r="I1017" s="544"/>
      <c r="L1017" s="543" t="s">
        <v>3135</v>
      </c>
      <c r="M1017" s="545">
        <v>65.900000000000006</v>
      </c>
      <c r="N1017" s="543" t="s">
        <v>3135</v>
      </c>
    </row>
    <row r="1018" spans="1:14" s="543" customFormat="1" x14ac:dyDescent="0.25">
      <c r="A1018" s="543" t="s">
        <v>3304</v>
      </c>
      <c r="B1018" s="543" t="s">
        <v>3305</v>
      </c>
      <c r="C1018" s="544" t="s">
        <v>8379</v>
      </c>
      <c r="D1018" s="544" t="s">
        <v>8472</v>
      </c>
      <c r="E1018" s="544" t="s">
        <v>8406</v>
      </c>
      <c r="F1018" s="544" t="s">
        <v>8474</v>
      </c>
      <c r="G1018" s="544" t="s">
        <v>7947</v>
      </c>
      <c r="H1018" s="544" t="s">
        <v>7436</v>
      </c>
      <c r="I1018" s="544"/>
      <c r="L1018" s="543" t="s">
        <v>3135</v>
      </c>
      <c r="M1018" s="545">
        <v>65.900000000000006</v>
      </c>
      <c r="N1018" s="543" t="s">
        <v>3135</v>
      </c>
    </row>
    <row r="1019" spans="1:14" s="543" customFormat="1" x14ac:dyDescent="0.25">
      <c r="A1019" s="543" t="s">
        <v>3306</v>
      </c>
      <c r="B1019" s="543" t="s">
        <v>3307</v>
      </c>
      <c r="C1019" s="544" t="s">
        <v>8379</v>
      </c>
      <c r="D1019" s="544" t="s">
        <v>8472</v>
      </c>
      <c r="E1019" s="544" t="s">
        <v>8406</v>
      </c>
      <c r="F1019" s="544" t="s">
        <v>8474</v>
      </c>
      <c r="G1019" s="544" t="s">
        <v>8460</v>
      </c>
      <c r="H1019" s="544" t="s">
        <v>8152</v>
      </c>
      <c r="I1019" s="544"/>
      <c r="L1019" s="543" t="s">
        <v>3135</v>
      </c>
      <c r="M1019" s="545">
        <v>65.900000000000006</v>
      </c>
      <c r="N1019" s="543" t="s">
        <v>3135</v>
      </c>
    </row>
    <row r="1020" spans="1:14" s="543" customFormat="1" x14ac:dyDescent="0.25">
      <c r="A1020" s="543" t="s">
        <v>3308</v>
      </c>
      <c r="B1020" s="543" t="s">
        <v>3309</v>
      </c>
      <c r="C1020" s="544" t="s">
        <v>8379</v>
      </c>
      <c r="D1020" s="544" t="s">
        <v>8475</v>
      </c>
      <c r="E1020" s="544" t="s">
        <v>8481</v>
      </c>
      <c r="F1020" s="544" t="s">
        <v>8474</v>
      </c>
      <c r="G1020" s="544" t="s">
        <v>7531</v>
      </c>
      <c r="H1020" s="544" t="s">
        <v>148</v>
      </c>
      <c r="I1020" s="544"/>
      <c r="L1020" s="543" t="s">
        <v>3135</v>
      </c>
      <c r="M1020" s="545">
        <v>65.900000000000006</v>
      </c>
      <c r="N1020" s="543" t="s">
        <v>3135</v>
      </c>
    </row>
    <row r="1021" spans="1:14" s="543" customFormat="1" x14ac:dyDescent="0.25">
      <c r="A1021" s="543" t="s">
        <v>3310</v>
      </c>
      <c r="B1021" s="543" t="s">
        <v>3311</v>
      </c>
      <c r="C1021" s="544" t="s">
        <v>8379</v>
      </c>
      <c r="D1021" s="544" t="s">
        <v>8472</v>
      </c>
      <c r="E1021" s="544" t="s">
        <v>8406</v>
      </c>
      <c r="F1021" s="544" t="s">
        <v>8474</v>
      </c>
      <c r="G1021" s="544" t="s">
        <v>7951</v>
      </c>
      <c r="H1021" s="544" t="s">
        <v>7952</v>
      </c>
      <c r="I1021" s="544"/>
      <c r="L1021" s="543" t="s">
        <v>3135</v>
      </c>
      <c r="M1021" s="545">
        <v>65.900000000000006</v>
      </c>
      <c r="N1021" s="543" t="s">
        <v>3135</v>
      </c>
    </row>
    <row r="1022" spans="1:14" s="543" customFormat="1" x14ac:dyDescent="0.25">
      <c r="A1022" s="543" t="s">
        <v>3312</v>
      </c>
      <c r="B1022" s="543" t="s">
        <v>3313</v>
      </c>
      <c r="C1022" s="544" t="s">
        <v>8379</v>
      </c>
      <c r="D1022" s="544" t="s">
        <v>8472</v>
      </c>
      <c r="E1022" s="544" t="s">
        <v>8406</v>
      </c>
      <c r="F1022" s="544" t="s">
        <v>8474</v>
      </c>
      <c r="G1022" s="544" t="s">
        <v>7954</v>
      </c>
      <c r="H1022" s="544" t="s">
        <v>8367</v>
      </c>
      <c r="I1022" s="544"/>
      <c r="L1022" s="543" t="s">
        <v>3135</v>
      </c>
      <c r="M1022" s="545">
        <v>65.900000000000006</v>
      </c>
      <c r="N1022" s="543" t="s">
        <v>3135</v>
      </c>
    </row>
    <row r="1023" spans="1:14" s="543" customFormat="1" x14ac:dyDescent="0.25">
      <c r="A1023" s="543" t="s">
        <v>3314</v>
      </c>
      <c r="B1023" s="543" t="s">
        <v>3315</v>
      </c>
      <c r="C1023" s="544" t="s">
        <v>8379</v>
      </c>
      <c r="D1023" s="544" t="s">
        <v>8475</v>
      </c>
      <c r="E1023" s="544" t="s">
        <v>8481</v>
      </c>
      <c r="F1023" s="544" t="s">
        <v>8474</v>
      </c>
      <c r="G1023" s="544" t="s">
        <v>7959</v>
      </c>
      <c r="H1023" s="544" t="s">
        <v>7960</v>
      </c>
      <c r="I1023" s="544"/>
      <c r="L1023" s="543" t="s">
        <v>3135</v>
      </c>
      <c r="M1023" s="545">
        <v>65.900000000000006</v>
      </c>
      <c r="N1023" s="543" t="s">
        <v>3135</v>
      </c>
    </row>
    <row r="1024" spans="1:14" s="543" customFormat="1" x14ac:dyDescent="0.25">
      <c r="A1024" s="543" t="s">
        <v>3316</v>
      </c>
      <c r="B1024" s="543" t="s">
        <v>3317</v>
      </c>
      <c r="C1024" s="544" t="s">
        <v>8379</v>
      </c>
      <c r="D1024" s="544" t="s">
        <v>8475</v>
      </c>
      <c r="E1024" s="544" t="s">
        <v>8481</v>
      </c>
      <c r="F1024" s="544" t="s">
        <v>8474</v>
      </c>
      <c r="G1024" s="544" t="s">
        <v>7962</v>
      </c>
      <c r="H1024" s="544" t="s">
        <v>7426</v>
      </c>
      <c r="I1024" s="544"/>
      <c r="L1024" s="543" t="s">
        <v>3135</v>
      </c>
      <c r="M1024" s="545">
        <v>65.900000000000006</v>
      </c>
      <c r="N1024" s="543" t="s">
        <v>3135</v>
      </c>
    </row>
    <row r="1025" spans="1:14" s="543" customFormat="1" x14ac:dyDescent="0.25">
      <c r="A1025" s="543" t="s">
        <v>3318</v>
      </c>
      <c r="B1025" s="543" t="s">
        <v>3319</v>
      </c>
      <c r="C1025" s="544" t="s">
        <v>8379</v>
      </c>
      <c r="D1025" s="544" t="s">
        <v>8472</v>
      </c>
      <c r="E1025" s="544" t="s">
        <v>8406</v>
      </c>
      <c r="F1025" s="544" t="s">
        <v>8474</v>
      </c>
      <c r="G1025" s="544" t="s">
        <v>7963</v>
      </c>
      <c r="H1025" s="544" t="s">
        <v>7489</v>
      </c>
      <c r="I1025" s="544"/>
      <c r="L1025" s="543" t="s">
        <v>3135</v>
      </c>
      <c r="M1025" s="545">
        <v>65.900000000000006</v>
      </c>
      <c r="N1025" s="543" t="s">
        <v>3135</v>
      </c>
    </row>
    <row r="1026" spans="1:14" s="543" customFormat="1" x14ac:dyDescent="0.25">
      <c r="A1026" s="543" t="s">
        <v>3320</v>
      </c>
      <c r="B1026" s="543" t="s">
        <v>3321</v>
      </c>
      <c r="C1026" s="544" t="s">
        <v>8379</v>
      </c>
      <c r="D1026" s="544" t="s">
        <v>8472</v>
      </c>
      <c r="E1026" s="544" t="s">
        <v>8406</v>
      </c>
      <c r="F1026" s="544" t="s">
        <v>8474</v>
      </c>
      <c r="G1026" s="544" t="s">
        <v>7964</v>
      </c>
      <c r="H1026" s="544" t="s">
        <v>7965</v>
      </c>
      <c r="I1026" s="544"/>
      <c r="L1026" s="543" t="s">
        <v>3135</v>
      </c>
      <c r="M1026" s="545">
        <v>65.900000000000006</v>
      </c>
      <c r="N1026" s="543" t="s">
        <v>3135</v>
      </c>
    </row>
    <row r="1027" spans="1:14" s="543" customFormat="1" x14ac:dyDescent="0.25">
      <c r="A1027" s="543" t="s">
        <v>3322</v>
      </c>
      <c r="B1027" s="543" t="s">
        <v>3323</v>
      </c>
      <c r="C1027" s="544" t="s">
        <v>8379</v>
      </c>
      <c r="D1027" s="544" t="s">
        <v>8472</v>
      </c>
      <c r="E1027" s="544" t="s">
        <v>8406</v>
      </c>
      <c r="F1027" s="544" t="s">
        <v>8474</v>
      </c>
      <c r="G1027" s="544" t="s">
        <v>7969</v>
      </c>
      <c r="H1027" s="544" t="s">
        <v>7970</v>
      </c>
      <c r="I1027" s="544"/>
      <c r="L1027" s="543" t="s">
        <v>3135</v>
      </c>
      <c r="M1027" s="545">
        <v>65.900000000000006</v>
      </c>
      <c r="N1027" s="543" t="s">
        <v>3135</v>
      </c>
    </row>
    <row r="1028" spans="1:14" s="543" customFormat="1" x14ac:dyDescent="0.25">
      <c r="A1028" s="543" t="s">
        <v>3324</v>
      </c>
      <c r="B1028" s="543" t="s">
        <v>3325</v>
      </c>
      <c r="C1028" s="544" t="s">
        <v>8379</v>
      </c>
      <c r="D1028" s="544" t="s">
        <v>8472</v>
      </c>
      <c r="E1028" s="544" t="s">
        <v>8482</v>
      </c>
      <c r="F1028" s="544" t="s">
        <v>8473</v>
      </c>
      <c r="G1028" s="544" t="s">
        <v>8407</v>
      </c>
      <c r="H1028" s="544"/>
      <c r="I1028" s="544"/>
      <c r="L1028" s="543" t="s">
        <v>3135</v>
      </c>
      <c r="M1028" s="545">
        <v>61.41</v>
      </c>
      <c r="N1028" s="543" t="s">
        <v>3135</v>
      </c>
    </row>
    <row r="1029" spans="1:14" s="543" customFormat="1" x14ac:dyDescent="0.25">
      <c r="A1029" s="543" t="s">
        <v>3326</v>
      </c>
      <c r="B1029" s="543" t="s">
        <v>3327</v>
      </c>
      <c r="C1029" s="544" t="s">
        <v>8379</v>
      </c>
      <c r="D1029" s="544" t="s">
        <v>8483</v>
      </c>
      <c r="E1029" s="544" t="s">
        <v>8453</v>
      </c>
      <c r="F1029" s="544" t="s">
        <v>8484</v>
      </c>
      <c r="G1029" s="544" t="s">
        <v>8485</v>
      </c>
      <c r="H1029" s="544" t="s">
        <v>8382</v>
      </c>
      <c r="I1029" s="544"/>
      <c r="L1029" s="543" t="s">
        <v>2466</v>
      </c>
      <c r="M1029" s="545">
        <v>37.770000000000003</v>
      </c>
      <c r="N1029" s="543" t="s">
        <v>2466</v>
      </c>
    </row>
    <row r="1030" spans="1:14" s="543" customFormat="1" x14ac:dyDescent="0.25">
      <c r="A1030" s="543" t="s">
        <v>3328</v>
      </c>
      <c r="B1030" s="543" t="s">
        <v>3329</v>
      </c>
      <c r="C1030" s="544" t="s">
        <v>8379</v>
      </c>
      <c r="D1030" s="544" t="s">
        <v>8483</v>
      </c>
      <c r="E1030" s="544" t="s">
        <v>8453</v>
      </c>
      <c r="F1030" s="544" t="s">
        <v>8484</v>
      </c>
      <c r="G1030" s="544" t="s">
        <v>8485</v>
      </c>
      <c r="H1030" s="544" t="s">
        <v>7946</v>
      </c>
      <c r="I1030" s="544" t="s">
        <v>7426</v>
      </c>
      <c r="L1030" s="543" t="s">
        <v>2466</v>
      </c>
      <c r="M1030" s="545">
        <v>56.92</v>
      </c>
      <c r="N1030" s="543" t="s">
        <v>2466</v>
      </c>
    </row>
    <row r="1031" spans="1:14" s="543" customFormat="1" x14ac:dyDescent="0.25">
      <c r="A1031" s="543" t="s">
        <v>3330</v>
      </c>
      <c r="B1031" s="543" t="s">
        <v>3331</v>
      </c>
      <c r="C1031" s="544" t="s">
        <v>8486</v>
      </c>
      <c r="D1031" s="544" t="s">
        <v>7797</v>
      </c>
      <c r="E1031" s="544" t="s">
        <v>8034</v>
      </c>
      <c r="F1031" s="544" t="s">
        <v>8487</v>
      </c>
      <c r="G1031" s="544" t="s">
        <v>8488</v>
      </c>
      <c r="H1031" s="544"/>
      <c r="I1031" s="544"/>
      <c r="L1031" s="543" t="s">
        <v>1233</v>
      </c>
      <c r="M1031" s="545">
        <v>1</v>
      </c>
      <c r="N1031" s="543" t="s">
        <v>1233</v>
      </c>
    </row>
    <row r="1032" spans="1:14" s="543" customFormat="1" x14ac:dyDescent="0.25">
      <c r="A1032" s="543" t="s">
        <v>3332</v>
      </c>
      <c r="B1032" s="543" t="s">
        <v>3333</v>
      </c>
      <c r="C1032" s="544" t="s">
        <v>8486</v>
      </c>
      <c r="D1032" s="544" t="s">
        <v>7797</v>
      </c>
      <c r="E1032" s="544" t="s">
        <v>8037</v>
      </c>
      <c r="F1032" s="544" t="s">
        <v>8487</v>
      </c>
      <c r="G1032" s="544" t="s">
        <v>8488</v>
      </c>
      <c r="H1032" s="544"/>
      <c r="I1032" s="544"/>
      <c r="L1032" s="543" t="s">
        <v>1233</v>
      </c>
      <c r="M1032" s="545">
        <v>1.64</v>
      </c>
      <c r="N1032" s="543" t="s">
        <v>1233</v>
      </c>
    </row>
    <row r="1033" spans="1:14" s="543" customFormat="1" x14ac:dyDescent="0.25">
      <c r="A1033" s="543" t="s">
        <v>3334</v>
      </c>
      <c r="B1033" s="543" t="s">
        <v>3335</v>
      </c>
      <c r="C1033" s="544" t="s">
        <v>8486</v>
      </c>
      <c r="D1033" s="544" t="s">
        <v>7797</v>
      </c>
      <c r="E1033" s="544" t="s">
        <v>7735</v>
      </c>
      <c r="F1033" s="544" t="s">
        <v>8489</v>
      </c>
      <c r="G1033" s="544" t="s">
        <v>8488</v>
      </c>
      <c r="H1033" s="544"/>
      <c r="I1033" s="544"/>
      <c r="L1033" s="543" t="s">
        <v>1233</v>
      </c>
      <c r="M1033" s="545">
        <v>0.4</v>
      </c>
      <c r="N1033" s="543" t="s">
        <v>1233</v>
      </c>
    </row>
    <row r="1034" spans="1:14" x14ac:dyDescent="0.25">
      <c r="A1034" s="505" t="s">
        <v>3336</v>
      </c>
      <c r="B1034" s="505" t="s">
        <v>3337</v>
      </c>
      <c r="C1034" s="512" t="s">
        <v>8371</v>
      </c>
      <c r="D1034" s="512" t="s">
        <v>8490</v>
      </c>
      <c r="E1034" s="515">
        <v>45359</v>
      </c>
      <c r="F1034" s="512" t="s">
        <v>8491</v>
      </c>
      <c r="G1034" s="512" t="s">
        <v>8492</v>
      </c>
      <c r="H1034" s="512" t="s">
        <v>8326</v>
      </c>
      <c r="I1034" s="512" t="s">
        <v>8493</v>
      </c>
      <c r="L1034" s="505" t="s">
        <v>2466</v>
      </c>
      <c r="M1034" s="516">
        <v>60.43</v>
      </c>
      <c r="N1034" s="505" t="s">
        <v>2466</v>
      </c>
    </row>
    <row r="1035" spans="1:14" x14ac:dyDescent="0.25">
      <c r="A1035" s="505" t="s">
        <v>3338</v>
      </c>
      <c r="B1035" s="505" t="s">
        <v>3339</v>
      </c>
      <c r="C1035" s="512" t="s">
        <v>8371</v>
      </c>
      <c r="D1035" s="512" t="s">
        <v>8490</v>
      </c>
      <c r="E1035" s="515">
        <v>45359</v>
      </c>
      <c r="F1035" s="512" t="s">
        <v>8473</v>
      </c>
      <c r="G1035" s="512" t="s">
        <v>8494</v>
      </c>
      <c r="H1035" s="512" t="s">
        <v>8326</v>
      </c>
      <c r="I1035" s="512" t="s">
        <v>8495</v>
      </c>
      <c r="J1035" s="505" t="s">
        <v>8467</v>
      </c>
      <c r="L1035" s="505" t="s">
        <v>3135</v>
      </c>
      <c r="M1035" s="516">
        <v>92.23</v>
      </c>
      <c r="N1035" s="505" t="s">
        <v>3135</v>
      </c>
    </row>
    <row r="1036" spans="1:14" x14ac:dyDescent="0.25">
      <c r="A1036" s="505" t="s">
        <v>3340</v>
      </c>
      <c r="B1036" s="505" t="s">
        <v>3341</v>
      </c>
      <c r="C1036" s="512" t="s">
        <v>8371</v>
      </c>
      <c r="D1036" s="512" t="s">
        <v>8496</v>
      </c>
      <c r="E1036" s="512" t="s">
        <v>8497</v>
      </c>
      <c r="F1036" s="512" t="s">
        <v>8498</v>
      </c>
      <c r="G1036" s="512" t="s">
        <v>8322</v>
      </c>
      <c r="H1036" s="512" t="s">
        <v>8045</v>
      </c>
      <c r="I1036" s="512" t="s">
        <v>7721</v>
      </c>
      <c r="L1036" s="505" t="s">
        <v>1233</v>
      </c>
      <c r="M1036" s="516">
        <v>18.149999999999999</v>
      </c>
      <c r="N1036" s="505" t="s">
        <v>1233</v>
      </c>
    </row>
    <row r="1037" spans="1:14" x14ac:dyDescent="0.25">
      <c r="A1037" s="505" t="s">
        <v>3342</v>
      </c>
      <c r="B1037" s="505" t="s">
        <v>3343</v>
      </c>
      <c r="C1037" s="512" t="s">
        <v>8371</v>
      </c>
      <c r="D1037" s="512" t="s">
        <v>8490</v>
      </c>
      <c r="E1037" s="515">
        <v>45359</v>
      </c>
      <c r="F1037" s="512" t="s">
        <v>8491</v>
      </c>
      <c r="G1037" s="512" t="s">
        <v>8492</v>
      </c>
      <c r="H1037" s="512" t="s">
        <v>8326</v>
      </c>
      <c r="I1037" s="512" t="s">
        <v>8499</v>
      </c>
      <c r="L1037" s="505" t="s">
        <v>2466</v>
      </c>
      <c r="M1037" s="516">
        <v>60.43</v>
      </c>
      <c r="N1037" s="505" t="s">
        <v>2466</v>
      </c>
    </row>
    <row r="1038" spans="1:14" x14ac:dyDescent="0.25">
      <c r="A1038" s="505" t="s">
        <v>3344</v>
      </c>
      <c r="B1038" s="505" t="s">
        <v>3345</v>
      </c>
      <c r="C1038" s="512" t="s">
        <v>8371</v>
      </c>
      <c r="D1038" s="512" t="s">
        <v>8490</v>
      </c>
      <c r="E1038" s="515">
        <v>45359</v>
      </c>
      <c r="F1038" s="512" t="s">
        <v>8474</v>
      </c>
      <c r="G1038" s="512" t="s">
        <v>8494</v>
      </c>
      <c r="H1038" s="512" t="s">
        <v>8326</v>
      </c>
      <c r="I1038" s="512" t="s">
        <v>8495</v>
      </c>
      <c r="J1038" s="505" t="s">
        <v>8467</v>
      </c>
      <c r="L1038" s="505" t="s">
        <v>3135</v>
      </c>
      <c r="M1038" s="516">
        <v>73.790000000000006</v>
      </c>
      <c r="N1038" s="505" t="s">
        <v>3135</v>
      </c>
    </row>
    <row r="1039" spans="1:14" x14ac:dyDescent="0.25">
      <c r="A1039" s="505" t="s">
        <v>3346</v>
      </c>
      <c r="B1039" s="505" t="s">
        <v>3347</v>
      </c>
      <c r="C1039" s="512" t="s">
        <v>8371</v>
      </c>
      <c r="D1039" s="512" t="s">
        <v>8490</v>
      </c>
      <c r="E1039" s="515">
        <v>45359</v>
      </c>
      <c r="F1039" s="512" t="s">
        <v>8473</v>
      </c>
      <c r="G1039" s="512" t="s">
        <v>8494</v>
      </c>
      <c r="H1039" s="512" t="s">
        <v>8326</v>
      </c>
      <c r="I1039" s="512" t="s">
        <v>8500</v>
      </c>
      <c r="L1039" s="505" t="s">
        <v>3135</v>
      </c>
      <c r="M1039" s="516">
        <v>92.23</v>
      </c>
      <c r="N1039" s="505" t="s">
        <v>3135</v>
      </c>
    </row>
    <row r="1040" spans="1:14" x14ac:dyDescent="0.25">
      <c r="A1040" s="505" t="s">
        <v>3348</v>
      </c>
      <c r="B1040" s="505" t="s">
        <v>3349</v>
      </c>
      <c r="C1040" s="512" t="s">
        <v>8371</v>
      </c>
      <c r="D1040" s="512" t="s">
        <v>8490</v>
      </c>
      <c r="E1040" s="515">
        <v>45359</v>
      </c>
      <c r="F1040" s="512" t="s">
        <v>8501</v>
      </c>
      <c r="G1040" s="512" t="s">
        <v>8326</v>
      </c>
      <c r="H1040" s="512" t="s">
        <v>8502</v>
      </c>
      <c r="I1040" s="512" t="s">
        <v>148</v>
      </c>
      <c r="L1040" s="505" t="s">
        <v>1233</v>
      </c>
      <c r="M1040" s="516">
        <v>25.78</v>
      </c>
      <c r="N1040" s="505" t="s">
        <v>1233</v>
      </c>
    </row>
    <row r="1041" spans="1:14" x14ac:dyDescent="0.25">
      <c r="A1041" s="505" t="s">
        <v>3350</v>
      </c>
      <c r="B1041" s="505" t="s">
        <v>3351</v>
      </c>
      <c r="C1041" s="512" t="s">
        <v>8371</v>
      </c>
      <c r="D1041" s="512" t="s">
        <v>8490</v>
      </c>
      <c r="E1041" s="515">
        <v>45359</v>
      </c>
      <c r="F1041" s="512" t="s">
        <v>8491</v>
      </c>
      <c r="G1041" s="512" t="s">
        <v>8492</v>
      </c>
      <c r="H1041" s="512" t="s">
        <v>8326</v>
      </c>
      <c r="I1041" s="512" t="s">
        <v>8503</v>
      </c>
      <c r="L1041" s="505" t="s">
        <v>2466</v>
      </c>
      <c r="M1041" s="516">
        <v>60.43</v>
      </c>
      <c r="N1041" s="505" t="s">
        <v>2466</v>
      </c>
    </row>
    <row r="1042" spans="1:14" x14ac:dyDescent="0.25">
      <c r="A1042" s="505" t="s">
        <v>3352</v>
      </c>
      <c r="B1042" s="505" t="s">
        <v>3353</v>
      </c>
      <c r="C1042" s="512" t="s">
        <v>8371</v>
      </c>
      <c r="D1042" s="512" t="s">
        <v>8490</v>
      </c>
      <c r="E1042" s="512" t="s">
        <v>8497</v>
      </c>
      <c r="F1042" s="512" t="s">
        <v>8498</v>
      </c>
      <c r="G1042" s="512" t="s">
        <v>8326</v>
      </c>
      <c r="H1042" s="512" t="s">
        <v>8502</v>
      </c>
      <c r="I1042" s="512" t="s">
        <v>7473</v>
      </c>
      <c r="L1042" s="505" t="s">
        <v>1233</v>
      </c>
      <c r="M1042" s="516">
        <v>18.149999999999999</v>
      </c>
      <c r="N1042" s="505" t="s">
        <v>1233</v>
      </c>
    </row>
    <row r="1043" spans="1:14" x14ac:dyDescent="0.25">
      <c r="A1043" s="505" t="s">
        <v>3354</v>
      </c>
      <c r="B1043" s="505" t="s">
        <v>3355</v>
      </c>
      <c r="C1043" s="512" t="s">
        <v>8371</v>
      </c>
      <c r="D1043" s="512" t="s">
        <v>8490</v>
      </c>
      <c r="E1043" s="515">
        <v>45359</v>
      </c>
      <c r="F1043" s="512" t="s">
        <v>8474</v>
      </c>
      <c r="G1043" s="512" t="s">
        <v>8494</v>
      </c>
      <c r="H1043" s="512" t="s">
        <v>8326</v>
      </c>
      <c r="I1043" s="512" t="s">
        <v>8500</v>
      </c>
      <c r="L1043" s="505" t="s">
        <v>3135</v>
      </c>
      <c r="M1043" s="516">
        <v>73.790000000000006</v>
      </c>
      <c r="N1043" s="505" t="s">
        <v>3135</v>
      </c>
    </row>
    <row r="1044" spans="1:14" x14ac:dyDescent="0.25">
      <c r="A1044" s="505" t="s">
        <v>3356</v>
      </c>
      <c r="B1044" s="505" t="s">
        <v>3357</v>
      </c>
      <c r="C1044" s="512" t="s">
        <v>8371</v>
      </c>
      <c r="D1044" s="512" t="s">
        <v>8490</v>
      </c>
      <c r="E1044" s="515">
        <v>45359</v>
      </c>
      <c r="F1044" s="512" t="s">
        <v>8501</v>
      </c>
      <c r="G1044" s="512" t="s">
        <v>8326</v>
      </c>
      <c r="H1044" s="512" t="s">
        <v>8504</v>
      </c>
      <c r="I1044" s="512" t="s">
        <v>8505</v>
      </c>
      <c r="L1044" s="505" t="s">
        <v>1233</v>
      </c>
      <c r="M1044" s="516">
        <v>25.78</v>
      </c>
      <c r="N1044" s="505" t="s">
        <v>1233</v>
      </c>
    </row>
    <row r="1045" spans="1:14" x14ac:dyDescent="0.25">
      <c r="A1045" s="505" t="s">
        <v>3358</v>
      </c>
      <c r="B1045" s="505" t="s">
        <v>3359</v>
      </c>
      <c r="C1045" s="512" t="s">
        <v>8371</v>
      </c>
      <c r="D1045" s="512" t="s">
        <v>8490</v>
      </c>
      <c r="E1045" s="515">
        <v>45359</v>
      </c>
      <c r="F1045" s="512" t="s">
        <v>8501</v>
      </c>
      <c r="G1045" s="512" t="s">
        <v>8326</v>
      </c>
      <c r="H1045" s="512" t="s">
        <v>8506</v>
      </c>
      <c r="I1045" s="512" t="s">
        <v>8467</v>
      </c>
      <c r="L1045" s="505" t="s">
        <v>1233</v>
      </c>
      <c r="M1045" s="516">
        <v>25.78</v>
      </c>
      <c r="N1045" s="505" t="s">
        <v>1233</v>
      </c>
    </row>
    <row r="1046" spans="1:14" x14ac:dyDescent="0.25">
      <c r="A1046" s="505" t="s">
        <v>3360</v>
      </c>
      <c r="B1046" s="505" t="s">
        <v>3361</v>
      </c>
      <c r="C1046" s="512" t="s">
        <v>8371</v>
      </c>
      <c r="D1046" s="512" t="s">
        <v>8490</v>
      </c>
      <c r="E1046" s="515">
        <v>45359</v>
      </c>
      <c r="F1046" s="512" t="s">
        <v>8501</v>
      </c>
      <c r="G1046" s="512" t="s">
        <v>8326</v>
      </c>
      <c r="H1046" s="512" t="s">
        <v>510</v>
      </c>
      <c r="I1046" s="512" t="s">
        <v>8507</v>
      </c>
      <c r="L1046" s="505" t="s">
        <v>1233</v>
      </c>
      <c r="M1046" s="516">
        <v>25.78</v>
      </c>
      <c r="N1046" s="505" t="s">
        <v>1233</v>
      </c>
    </row>
    <row r="1047" spans="1:14" x14ac:dyDescent="0.25">
      <c r="A1047" s="505" t="s">
        <v>3362</v>
      </c>
      <c r="B1047" s="505" t="s">
        <v>3363</v>
      </c>
      <c r="C1047" s="512" t="s">
        <v>8371</v>
      </c>
      <c r="D1047" s="512" t="s">
        <v>8490</v>
      </c>
      <c r="E1047" s="515">
        <v>45359</v>
      </c>
      <c r="F1047" s="512" t="s">
        <v>8501</v>
      </c>
      <c r="G1047" s="512" t="s">
        <v>8326</v>
      </c>
      <c r="H1047" s="512" t="s">
        <v>8508</v>
      </c>
      <c r="I1047" s="512" t="s">
        <v>361</v>
      </c>
      <c r="L1047" s="505" t="s">
        <v>1233</v>
      </c>
      <c r="M1047" s="516">
        <v>25.78</v>
      </c>
      <c r="N1047" s="505" t="s">
        <v>1233</v>
      </c>
    </row>
    <row r="1048" spans="1:14" x14ac:dyDescent="0.25">
      <c r="A1048" s="505" t="s">
        <v>3364</v>
      </c>
      <c r="B1048" s="505" t="s">
        <v>3365</v>
      </c>
      <c r="C1048" s="512" t="s">
        <v>8371</v>
      </c>
      <c r="D1048" s="512" t="s">
        <v>8490</v>
      </c>
      <c r="E1048" s="515">
        <v>45359</v>
      </c>
      <c r="F1048" s="512" t="s">
        <v>8501</v>
      </c>
      <c r="G1048" s="512" t="s">
        <v>8326</v>
      </c>
      <c r="H1048" s="512" t="s">
        <v>8509</v>
      </c>
      <c r="I1048" s="512" t="s">
        <v>477</v>
      </c>
      <c r="L1048" s="505" t="s">
        <v>1233</v>
      </c>
      <c r="M1048" s="516">
        <v>25.78</v>
      </c>
      <c r="N1048" s="505" t="s">
        <v>1233</v>
      </c>
    </row>
    <row r="1049" spans="1:14" x14ac:dyDescent="0.25">
      <c r="A1049" s="505" t="s">
        <v>3366</v>
      </c>
      <c r="B1049" s="505" t="s">
        <v>3349</v>
      </c>
      <c r="C1049" s="512" t="s">
        <v>8371</v>
      </c>
      <c r="D1049" s="512" t="s">
        <v>8490</v>
      </c>
      <c r="E1049" s="515">
        <v>45359</v>
      </c>
      <c r="F1049" s="512" t="s">
        <v>8501</v>
      </c>
      <c r="G1049" s="512" t="s">
        <v>8326</v>
      </c>
      <c r="H1049" s="512" t="s">
        <v>8502</v>
      </c>
      <c r="I1049" s="512" t="s">
        <v>148</v>
      </c>
      <c r="L1049" s="505" t="s">
        <v>1233</v>
      </c>
      <c r="M1049" s="516">
        <v>25.78</v>
      </c>
      <c r="N1049" s="505" t="s">
        <v>1233</v>
      </c>
    </row>
    <row r="1050" spans="1:14" x14ac:dyDescent="0.25">
      <c r="A1050" s="505" t="s">
        <v>3367</v>
      </c>
      <c r="B1050" s="505" t="s">
        <v>3368</v>
      </c>
      <c r="C1050" s="512" t="s">
        <v>8371</v>
      </c>
      <c r="D1050" s="512" t="s">
        <v>8490</v>
      </c>
      <c r="E1050" s="515">
        <v>45359</v>
      </c>
      <c r="F1050" s="512" t="s">
        <v>8501</v>
      </c>
      <c r="G1050" s="512" t="s">
        <v>8326</v>
      </c>
      <c r="H1050" s="512" t="s">
        <v>8510</v>
      </c>
      <c r="I1050" s="512" t="s">
        <v>7557</v>
      </c>
      <c r="L1050" s="505" t="s">
        <v>1233</v>
      </c>
      <c r="M1050" s="516">
        <v>25.78</v>
      </c>
      <c r="N1050" s="505" t="s">
        <v>1233</v>
      </c>
    </row>
    <row r="1051" spans="1:14" x14ac:dyDescent="0.25">
      <c r="A1051" s="505" t="s">
        <v>3369</v>
      </c>
      <c r="B1051" s="505" t="s">
        <v>3370</v>
      </c>
      <c r="C1051" s="512" t="s">
        <v>8371</v>
      </c>
      <c r="D1051" s="512" t="s">
        <v>8490</v>
      </c>
      <c r="E1051" s="515">
        <v>45359</v>
      </c>
      <c r="F1051" s="512" t="s">
        <v>8501</v>
      </c>
      <c r="G1051" s="512" t="s">
        <v>8326</v>
      </c>
      <c r="H1051" s="512" t="s">
        <v>7498</v>
      </c>
      <c r="I1051" s="512" t="s">
        <v>7426</v>
      </c>
      <c r="L1051" s="505" t="s">
        <v>1233</v>
      </c>
      <c r="M1051" s="516">
        <v>25.78</v>
      </c>
      <c r="N1051" s="505" t="s">
        <v>1233</v>
      </c>
    </row>
    <row r="1052" spans="1:14" x14ac:dyDescent="0.25">
      <c r="A1052" s="505" t="s">
        <v>3371</v>
      </c>
      <c r="B1052" s="505" t="s">
        <v>3372</v>
      </c>
      <c r="C1052" s="512" t="s">
        <v>8371</v>
      </c>
      <c r="D1052" s="512" t="s">
        <v>8490</v>
      </c>
      <c r="E1052" s="515">
        <v>45359</v>
      </c>
      <c r="F1052" s="512" t="s">
        <v>8501</v>
      </c>
      <c r="G1052" s="512" t="s">
        <v>8326</v>
      </c>
      <c r="H1052" s="512" t="s">
        <v>530</v>
      </c>
      <c r="I1052" s="512" t="s">
        <v>7974</v>
      </c>
      <c r="L1052" s="505" t="s">
        <v>1233</v>
      </c>
      <c r="M1052" s="516">
        <v>25.78</v>
      </c>
      <c r="N1052" s="505" t="s">
        <v>1233</v>
      </c>
    </row>
    <row r="1053" spans="1:14" x14ac:dyDescent="0.25">
      <c r="A1053" s="505" t="s">
        <v>3373</v>
      </c>
      <c r="B1053" s="505" t="s">
        <v>3374</v>
      </c>
      <c r="C1053" s="512" t="s">
        <v>8371</v>
      </c>
      <c r="D1053" s="512" t="s">
        <v>8490</v>
      </c>
      <c r="E1053" s="515">
        <v>45359</v>
      </c>
      <c r="F1053" s="512" t="s">
        <v>8501</v>
      </c>
      <c r="G1053" s="512" t="s">
        <v>8326</v>
      </c>
      <c r="H1053" s="512" t="s">
        <v>8511</v>
      </c>
      <c r="I1053" s="512" t="s">
        <v>8512</v>
      </c>
      <c r="L1053" s="505" t="s">
        <v>1233</v>
      </c>
      <c r="M1053" s="516">
        <v>25.78</v>
      </c>
      <c r="N1053" s="505" t="s">
        <v>1233</v>
      </c>
    </row>
    <row r="1054" spans="1:14" x14ac:dyDescent="0.25">
      <c r="A1054" s="505" t="s">
        <v>3375</v>
      </c>
      <c r="B1054" s="505" t="s">
        <v>3376</v>
      </c>
      <c r="C1054" s="512" t="s">
        <v>8371</v>
      </c>
      <c r="D1054" s="512" t="s">
        <v>8490</v>
      </c>
      <c r="E1054" s="515">
        <v>45359</v>
      </c>
      <c r="F1054" s="512" t="s">
        <v>8474</v>
      </c>
      <c r="G1054" s="512" t="s">
        <v>8494</v>
      </c>
      <c r="H1054" s="512" t="s">
        <v>8326</v>
      </c>
      <c r="I1054" s="512" t="s">
        <v>8513</v>
      </c>
      <c r="L1054" s="505" t="s">
        <v>3135</v>
      </c>
      <c r="M1054" s="516">
        <v>73.790000000000006</v>
      </c>
      <c r="N1054" s="505" t="s">
        <v>3135</v>
      </c>
    </row>
    <row r="1055" spans="1:14" x14ac:dyDescent="0.25">
      <c r="A1055" s="505" t="s">
        <v>3377</v>
      </c>
      <c r="B1055" s="505" t="s">
        <v>3378</v>
      </c>
      <c r="C1055" s="512" t="s">
        <v>8371</v>
      </c>
      <c r="D1055" s="512" t="s">
        <v>8490</v>
      </c>
      <c r="E1055" s="515">
        <v>45359</v>
      </c>
      <c r="F1055" s="512" t="s">
        <v>8501</v>
      </c>
      <c r="G1055" s="512" t="s">
        <v>8326</v>
      </c>
      <c r="H1055" s="512" t="s">
        <v>8514</v>
      </c>
      <c r="I1055" s="512" t="s">
        <v>8515</v>
      </c>
      <c r="L1055" s="505" t="s">
        <v>1233</v>
      </c>
      <c r="M1055" s="516">
        <v>25.78</v>
      </c>
      <c r="N1055" s="505" t="s">
        <v>1233</v>
      </c>
    </row>
    <row r="1056" spans="1:14" x14ac:dyDescent="0.25">
      <c r="A1056" s="505" t="s">
        <v>3379</v>
      </c>
      <c r="B1056" s="505" t="s">
        <v>3380</v>
      </c>
      <c r="C1056" s="512" t="s">
        <v>8371</v>
      </c>
      <c r="D1056" s="512" t="s">
        <v>8496</v>
      </c>
      <c r="E1056" s="515">
        <v>45359</v>
      </c>
      <c r="F1056" s="512" t="s">
        <v>8501</v>
      </c>
      <c r="G1056" s="512" t="s">
        <v>8322</v>
      </c>
      <c r="H1056" s="512" t="s">
        <v>8516</v>
      </c>
      <c r="I1056" s="512" t="s">
        <v>7952</v>
      </c>
      <c r="L1056" s="505" t="s">
        <v>1233</v>
      </c>
      <c r="M1056" s="516">
        <v>25.78</v>
      </c>
      <c r="N1056" s="505" t="s">
        <v>1233</v>
      </c>
    </row>
    <row r="1057" spans="1:14" x14ac:dyDescent="0.25">
      <c r="A1057" s="505" t="s">
        <v>3381</v>
      </c>
      <c r="B1057" s="505" t="s">
        <v>3382</v>
      </c>
      <c r="C1057" s="512" t="s">
        <v>8371</v>
      </c>
      <c r="D1057" s="512" t="s">
        <v>8490</v>
      </c>
      <c r="E1057" s="515">
        <v>45359</v>
      </c>
      <c r="F1057" s="512" t="s">
        <v>8501</v>
      </c>
      <c r="G1057" s="512" t="s">
        <v>8326</v>
      </c>
      <c r="H1057" s="512" t="s">
        <v>8517</v>
      </c>
      <c r="I1057" s="512" t="s">
        <v>8518</v>
      </c>
      <c r="L1057" s="505" t="s">
        <v>1233</v>
      </c>
      <c r="M1057" s="516">
        <v>25.78</v>
      </c>
      <c r="N1057" s="505" t="s">
        <v>1233</v>
      </c>
    </row>
    <row r="1058" spans="1:14" x14ac:dyDescent="0.25">
      <c r="A1058" s="505" t="s">
        <v>3383</v>
      </c>
      <c r="B1058" s="505" t="s">
        <v>3384</v>
      </c>
      <c r="C1058" s="512" t="s">
        <v>8371</v>
      </c>
      <c r="D1058" s="512" t="s">
        <v>8490</v>
      </c>
      <c r="E1058" s="512" t="s">
        <v>8497</v>
      </c>
      <c r="F1058" s="512" t="s">
        <v>8498</v>
      </c>
      <c r="G1058" s="512" t="s">
        <v>8326</v>
      </c>
      <c r="H1058" s="512" t="s">
        <v>8517</v>
      </c>
      <c r="I1058" s="512" t="s">
        <v>8519</v>
      </c>
      <c r="L1058" s="505" t="s">
        <v>1233</v>
      </c>
      <c r="M1058" s="516">
        <v>18.149999999999999</v>
      </c>
      <c r="N1058" s="505" t="s">
        <v>1233</v>
      </c>
    </row>
    <row r="1059" spans="1:14" x14ac:dyDescent="0.25">
      <c r="A1059" s="505" t="s">
        <v>3385</v>
      </c>
      <c r="B1059" s="505" t="s">
        <v>3386</v>
      </c>
      <c r="C1059" s="512" t="s">
        <v>8371</v>
      </c>
      <c r="D1059" s="512" t="s">
        <v>8490</v>
      </c>
      <c r="E1059" s="515">
        <v>45359</v>
      </c>
      <c r="F1059" s="512" t="s">
        <v>8473</v>
      </c>
      <c r="G1059" s="512" t="s">
        <v>8494</v>
      </c>
      <c r="H1059" s="512" t="s">
        <v>8326</v>
      </c>
      <c r="I1059" s="512" t="s">
        <v>8520</v>
      </c>
      <c r="L1059" s="505" t="s">
        <v>3135</v>
      </c>
      <c r="M1059" s="516">
        <v>92.23</v>
      </c>
      <c r="N1059" s="505" t="s">
        <v>3135</v>
      </c>
    </row>
    <row r="1060" spans="1:14" x14ac:dyDescent="0.25">
      <c r="A1060" s="505" t="s">
        <v>3387</v>
      </c>
      <c r="B1060" s="505" t="s">
        <v>3388</v>
      </c>
      <c r="C1060" s="512" t="s">
        <v>8371</v>
      </c>
      <c r="D1060" s="512" t="s">
        <v>8490</v>
      </c>
      <c r="E1060" s="512" t="s">
        <v>8521</v>
      </c>
      <c r="F1060" s="512" t="s">
        <v>8522</v>
      </c>
      <c r="G1060" s="512" t="s">
        <v>8326</v>
      </c>
      <c r="H1060" s="512" t="s">
        <v>8514</v>
      </c>
      <c r="I1060" s="512" t="s">
        <v>8523</v>
      </c>
      <c r="L1060" s="505" t="s">
        <v>2466</v>
      </c>
      <c r="M1060" s="516">
        <v>14.55</v>
      </c>
      <c r="N1060" s="505" t="s">
        <v>2466</v>
      </c>
    </row>
    <row r="1061" spans="1:14" x14ac:dyDescent="0.25">
      <c r="A1061" s="505" t="s">
        <v>3389</v>
      </c>
      <c r="B1061" s="505" t="s">
        <v>3390</v>
      </c>
      <c r="C1061" s="512" t="s">
        <v>8371</v>
      </c>
      <c r="D1061" s="512" t="s">
        <v>8524</v>
      </c>
      <c r="E1061" s="512" t="s">
        <v>7554</v>
      </c>
      <c r="F1061" s="512" t="s">
        <v>8525</v>
      </c>
      <c r="G1061" s="515">
        <v>45359</v>
      </c>
      <c r="H1061" s="512" t="s">
        <v>8521</v>
      </c>
      <c r="I1061" s="512" t="s">
        <v>2293</v>
      </c>
      <c r="L1061" s="505" t="s">
        <v>1233</v>
      </c>
      <c r="M1061" s="516">
        <v>14.55</v>
      </c>
      <c r="N1061" s="505" t="s">
        <v>1233</v>
      </c>
    </row>
    <row r="1062" spans="1:14" x14ac:dyDescent="0.25">
      <c r="A1062" s="505" t="s">
        <v>3391</v>
      </c>
      <c r="B1062" s="505" t="s">
        <v>3392</v>
      </c>
      <c r="C1062" s="512" t="s">
        <v>8371</v>
      </c>
      <c r="D1062" s="512" t="s">
        <v>8526</v>
      </c>
      <c r="E1062" s="512" t="s">
        <v>8337</v>
      </c>
      <c r="F1062" s="512" t="s">
        <v>8336</v>
      </c>
      <c r="G1062" s="512" t="s">
        <v>8527</v>
      </c>
      <c r="H1062" s="512" t="s">
        <v>8528</v>
      </c>
      <c r="L1062" s="505" t="s">
        <v>1233</v>
      </c>
      <c r="M1062" s="516">
        <v>29.17</v>
      </c>
      <c r="N1062" s="505" t="s">
        <v>1233</v>
      </c>
    </row>
    <row r="1063" spans="1:14" x14ac:dyDescent="0.25">
      <c r="A1063" s="505" t="s">
        <v>3393</v>
      </c>
      <c r="B1063" s="505" t="s">
        <v>3394</v>
      </c>
      <c r="C1063" s="512" t="s">
        <v>8371</v>
      </c>
      <c r="D1063" s="512" t="s">
        <v>8526</v>
      </c>
      <c r="E1063" s="512" t="s">
        <v>8337</v>
      </c>
      <c r="F1063" s="512" t="s">
        <v>8336</v>
      </c>
      <c r="G1063" s="512" t="s">
        <v>8529</v>
      </c>
      <c r="H1063" s="512" t="s">
        <v>8382</v>
      </c>
      <c r="L1063" s="505" t="s">
        <v>1233</v>
      </c>
      <c r="M1063" s="516">
        <v>16.559999999999999</v>
      </c>
      <c r="N1063" s="505" t="s">
        <v>1233</v>
      </c>
    </row>
    <row r="1064" spans="1:14" x14ac:dyDescent="0.25">
      <c r="A1064" s="505" t="s">
        <v>3395</v>
      </c>
      <c r="B1064" s="505" t="s">
        <v>3396</v>
      </c>
      <c r="C1064" s="512" t="s">
        <v>8371</v>
      </c>
      <c r="D1064" s="512" t="s">
        <v>8524</v>
      </c>
      <c r="E1064" s="512" t="s">
        <v>2466</v>
      </c>
      <c r="F1064" s="515">
        <v>45359</v>
      </c>
      <c r="G1064" s="512" t="s">
        <v>8473</v>
      </c>
      <c r="H1064" s="512" t="s">
        <v>8530</v>
      </c>
      <c r="I1064" s="512" t="s">
        <v>8531</v>
      </c>
      <c r="L1064" s="505" t="s">
        <v>2466</v>
      </c>
      <c r="M1064" s="516">
        <v>67.78</v>
      </c>
      <c r="N1064" s="505" t="s">
        <v>2466</v>
      </c>
    </row>
    <row r="1065" spans="1:14" x14ac:dyDescent="0.25">
      <c r="A1065" s="505" t="s">
        <v>3397</v>
      </c>
      <c r="B1065" s="505" t="s">
        <v>3398</v>
      </c>
      <c r="C1065" s="512" t="s">
        <v>8371</v>
      </c>
      <c r="D1065" s="512" t="s">
        <v>8524</v>
      </c>
      <c r="E1065" s="512" t="s">
        <v>2466</v>
      </c>
      <c r="F1065" s="515">
        <v>45359</v>
      </c>
      <c r="G1065" s="512" t="s">
        <v>8473</v>
      </c>
      <c r="H1065" s="512" t="s">
        <v>8532</v>
      </c>
      <c r="I1065" s="512" t="s">
        <v>8533</v>
      </c>
      <c r="L1065" s="505" t="s">
        <v>2466</v>
      </c>
      <c r="M1065" s="516">
        <v>69.599999999999994</v>
      </c>
      <c r="N1065" s="505" t="s">
        <v>2466</v>
      </c>
    </row>
    <row r="1066" spans="1:14" x14ac:dyDescent="0.25">
      <c r="A1066" s="505" t="s">
        <v>3399</v>
      </c>
      <c r="B1066" s="505" t="s">
        <v>3400</v>
      </c>
      <c r="C1066" s="512" t="s">
        <v>8371</v>
      </c>
      <c r="D1066" s="512" t="s">
        <v>8524</v>
      </c>
      <c r="E1066" s="512" t="s">
        <v>2466</v>
      </c>
      <c r="F1066" s="515">
        <v>45359</v>
      </c>
      <c r="G1066" s="512" t="s">
        <v>8474</v>
      </c>
      <c r="H1066" s="512" t="s">
        <v>8037</v>
      </c>
      <c r="I1066" s="512" t="s">
        <v>7478</v>
      </c>
      <c r="J1066" s="505" t="s">
        <v>8533</v>
      </c>
      <c r="L1066" s="505" t="s">
        <v>2466</v>
      </c>
      <c r="M1066" s="516">
        <v>58.13</v>
      </c>
      <c r="N1066" s="505" t="s">
        <v>2466</v>
      </c>
    </row>
    <row r="1067" spans="1:14" x14ac:dyDescent="0.25">
      <c r="A1067" s="505" t="s">
        <v>3401</v>
      </c>
      <c r="B1067" s="505" t="s">
        <v>3402</v>
      </c>
      <c r="C1067" s="512" t="s">
        <v>8371</v>
      </c>
      <c r="D1067" s="512" t="s">
        <v>8524</v>
      </c>
      <c r="E1067" s="512" t="s">
        <v>2466</v>
      </c>
      <c r="F1067" s="515">
        <v>45359</v>
      </c>
      <c r="G1067" s="512" t="s">
        <v>8474</v>
      </c>
      <c r="H1067" s="512" t="s">
        <v>8530</v>
      </c>
      <c r="I1067" s="512" t="s">
        <v>8531</v>
      </c>
      <c r="L1067" s="505" t="s">
        <v>2466</v>
      </c>
      <c r="M1067" s="516">
        <v>57.7</v>
      </c>
      <c r="N1067" s="505" t="s">
        <v>2466</v>
      </c>
    </row>
    <row r="1068" spans="1:14" x14ac:dyDescent="0.25">
      <c r="A1068" s="505" t="s">
        <v>3403</v>
      </c>
      <c r="B1068" s="505" t="s">
        <v>3404</v>
      </c>
      <c r="C1068" s="512" t="s">
        <v>8534</v>
      </c>
      <c r="D1068" s="512" t="s">
        <v>8535</v>
      </c>
      <c r="E1068" s="512" t="s">
        <v>8536</v>
      </c>
      <c r="F1068" s="512" t="s">
        <v>8475</v>
      </c>
      <c r="G1068" s="512" t="s">
        <v>8537</v>
      </c>
      <c r="H1068" s="512" t="s">
        <v>530</v>
      </c>
      <c r="I1068" s="512" t="s">
        <v>7719</v>
      </c>
      <c r="L1068" s="505" t="s">
        <v>1233</v>
      </c>
      <c r="M1068" s="516">
        <v>43.7</v>
      </c>
      <c r="N1068" s="505" t="s">
        <v>1233</v>
      </c>
    </row>
    <row r="1069" spans="1:14" x14ac:dyDescent="0.25">
      <c r="A1069" s="505" t="s">
        <v>3405</v>
      </c>
      <c r="B1069" s="505" t="s">
        <v>3406</v>
      </c>
      <c r="C1069" s="512" t="s">
        <v>8534</v>
      </c>
      <c r="D1069" s="512" t="s">
        <v>8535</v>
      </c>
      <c r="E1069" s="512" t="s">
        <v>8536</v>
      </c>
      <c r="F1069" s="512" t="s">
        <v>8475</v>
      </c>
      <c r="G1069" s="512" t="s">
        <v>8537</v>
      </c>
      <c r="H1069" s="512" t="s">
        <v>530</v>
      </c>
      <c r="I1069" s="512" t="s">
        <v>8538</v>
      </c>
      <c r="L1069" s="505" t="s">
        <v>1233</v>
      </c>
      <c r="M1069" s="516">
        <v>55.3</v>
      </c>
      <c r="N1069" s="505" t="s">
        <v>1233</v>
      </c>
    </row>
    <row r="1070" spans="1:14" x14ac:dyDescent="0.25">
      <c r="A1070" s="505" t="s">
        <v>3407</v>
      </c>
      <c r="B1070" s="505" t="s">
        <v>3408</v>
      </c>
      <c r="C1070" s="512" t="s">
        <v>8534</v>
      </c>
      <c r="D1070" s="512" t="s">
        <v>8539</v>
      </c>
      <c r="E1070" s="512" t="s">
        <v>8540</v>
      </c>
      <c r="F1070" s="512" t="s">
        <v>8475</v>
      </c>
      <c r="G1070" s="512" t="s">
        <v>8537</v>
      </c>
      <c r="H1070" s="512" t="s">
        <v>530</v>
      </c>
      <c r="I1070" s="512" t="s">
        <v>8538</v>
      </c>
      <c r="L1070" s="505" t="s">
        <v>1233</v>
      </c>
      <c r="M1070" s="516">
        <v>30</v>
      </c>
      <c r="N1070" s="505" t="s">
        <v>1233</v>
      </c>
    </row>
    <row r="1071" spans="1:14" x14ac:dyDescent="0.25">
      <c r="A1071" s="505" t="s">
        <v>3409</v>
      </c>
      <c r="B1071" s="505" t="s">
        <v>3410</v>
      </c>
      <c r="C1071" s="512" t="s">
        <v>8534</v>
      </c>
      <c r="D1071" s="512" t="s">
        <v>8541</v>
      </c>
      <c r="E1071" s="512" t="s">
        <v>8542</v>
      </c>
      <c r="F1071" s="512" t="s">
        <v>8475</v>
      </c>
      <c r="G1071" s="512" t="s">
        <v>8537</v>
      </c>
      <c r="H1071" s="512" t="s">
        <v>530</v>
      </c>
      <c r="I1071" s="512" t="s">
        <v>8538</v>
      </c>
      <c r="L1071" s="505" t="s">
        <v>1233</v>
      </c>
      <c r="M1071" s="516">
        <v>38.299999999999997</v>
      </c>
      <c r="N1071" s="505" t="s">
        <v>1233</v>
      </c>
    </row>
    <row r="1072" spans="1:14" x14ac:dyDescent="0.25">
      <c r="A1072" s="505" t="s">
        <v>3411</v>
      </c>
      <c r="B1072" s="505" t="s">
        <v>3412</v>
      </c>
      <c r="C1072" s="512" t="s">
        <v>8534</v>
      </c>
      <c r="D1072" s="512" t="s">
        <v>8543</v>
      </c>
      <c r="E1072" s="512" t="s">
        <v>8041</v>
      </c>
      <c r="F1072" s="512" t="s">
        <v>8544</v>
      </c>
      <c r="G1072" s="512" t="s">
        <v>7719</v>
      </c>
      <c r="H1072" s="512" t="s">
        <v>8545</v>
      </c>
      <c r="I1072" s="512" t="s">
        <v>8546</v>
      </c>
      <c r="L1072" s="505" t="s">
        <v>3135</v>
      </c>
      <c r="M1072" s="516">
        <v>78.7</v>
      </c>
      <c r="N1072" s="505" t="s">
        <v>3135</v>
      </c>
    </row>
    <row r="1073" spans="1:14" x14ac:dyDescent="0.25">
      <c r="A1073" s="505" t="s">
        <v>3413</v>
      </c>
      <c r="B1073" s="505" t="s">
        <v>3414</v>
      </c>
      <c r="C1073" s="512" t="s">
        <v>8534</v>
      </c>
      <c r="D1073" s="512" t="s">
        <v>8543</v>
      </c>
      <c r="E1073" s="512" t="s">
        <v>8041</v>
      </c>
      <c r="F1073" s="512" t="s">
        <v>8544</v>
      </c>
      <c r="G1073" s="512" t="s">
        <v>7719</v>
      </c>
      <c r="H1073" s="512" t="s">
        <v>8336</v>
      </c>
      <c r="L1073" s="505" t="s">
        <v>3135</v>
      </c>
      <c r="M1073" s="516">
        <v>78.7</v>
      </c>
      <c r="N1073" s="505" t="s">
        <v>3135</v>
      </c>
    </row>
    <row r="1074" spans="1:14" x14ac:dyDescent="0.25">
      <c r="A1074" s="505" t="s">
        <v>3415</v>
      </c>
      <c r="B1074" s="505" t="s">
        <v>3416</v>
      </c>
      <c r="C1074" s="512" t="s">
        <v>8534</v>
      </c>
      <c r="D1074" s="512" t="s">
        <v>8543</v>
      </c>
      <c r="E1074" s="512" t="s">
        <v>8041</v>
      </c>
      <c r="F1074" s="512" t="s">
        <v>8544</v>
      </c>
      <c r="G1074" s="512" t="s">
        <v>7719</v>
      </c>
      <c r="H1074" s="512" t="s">
        <v>8547</v>
      </c>
      <c r="I1074" s="512" t="s">
        <v>7492</v>
      </c>
      <c r="J1074" s="505" t="s">
        <v>7471</v>
      </c>
      <c r="L1074" s="505" t="s">
        <v>3135</v>
      </c>
      <c r="M1074" s="516">
        <v>78.7</v>
      </c>
      <c r="N1074" s="505" t="s">
        <v>3135</v>
      </c>
    </row>
    <row r="1075" spans="1:14" x14ac:dyDescent="0.25">
      <c r="A1075" s="505" t="s">
        <v>3417</v>
      </c>
      <c r="B1075" s="505" t="s">
        <v>3418</v>
      </c>
      <c r="C1075" s="512" t="s">
        <v>8534</v>
      </c>
      <c r="D1075" s="512" t="s">
        <v>7736</v>
      </c>
      <c r="E1075" s="512" t="s">
        <v>8548</v>
      </c>
      <c r="F1075" s="512" t="s">
        <v>8475</v>
      </c>
      <c r="G1075" s="512" t="s">
        <v>8549</v>
      </c>
      <c r="H1075" s="512" t="s">
        <v>8546</v>
      </c>
      <c r="L1075" s="505" t="s">
        <v>1233</v>
      </c>
      <c r="M1075" s="516">
        <v>38.69</v>
      </c>
      <c r="N1075" s="505" t="s">
        <v>1233</v>
      </c>
    </row>
    <row r="1076" spans="1:14" x14ac:dyDescent="0.25">
      <c r="A1076" s="505" t="s">
        <v>3419</v>
      </c>
      <c r="B1076" s="505" t="s">
        <v>3420</v>
      </c>
      <c r="C1076" s="512" t="s">
        <v>8534</v>
      </c>
      <c r="D1076" s="512" t="s">
        <v>7736</v>
      </c>
      <c r="E1076" s="512" t="s">
        <v>8548</v>
      </c>
      <c r="F1076" s="512" t="s">
        <v>8475</v>
      </c>
      <c r="G1076" s="512" t="s">
        <v>8336</v>
      </c>
      <c r="L1076" s="505" t="s">
        <v>1233</v>
      </c>
      <c r="M1076" s="516">
        <v>38.69</v>
      </c>
      <c r="N1076" s="505" t="s">
        <v>1233</v>
      </c>
    </row>
    <row r="1077" spans="1:14" x14ac:dyDescent="0.25">
      <c r="A1077" s="505" t="s">
        <v>3421</v>
      </c>
      <c r="B1077" s="505" t="s">
        <v>3422</v>
      </c>
      <c r="C1077" s="512" t="s">
        <v>8534</v>
      </c>
      <c r="D1077" s="512" t="s">
        <v>7736</v>
      </c>
      <c r="E1077" s="512" t="s">
        <v>8548</v>
      </c>
      <c r="F1077" s="512" t="s">
        <v>8475</v>
      </c>
      <c r="G1077" s="512" t="s">
        <v>8550</v>
      </c>
      <c r="H1077" s="512" t="s">
        <v>8546</v>
      </c>
      <c r="L1077" s="505" t="s">
        <v>1233</v>
      </c>
      <c r="M1077" s="516">
        <v>38.69</v>
      </c>
      <c r="N1077" s="505" t="s">
        <v>1233</v>
      </c>
    </row>
    <row r="1078" spans="1:14" x14ac:dyDescent="0.25">
      <c r="A1078" s="505" t="s">
        <v>3423</v>
      </c>
      <c r="B1078" s="505" t="s">
        <v>3424</v>
      </c>
      <c r="C1078" s="512" t="s">
        <v>8534</v>
      </c>
      <c r="D1078" s="512" t="s">
        <v>7736</v>
      </c>
      <c r="E1078" s="512" t="s">
        <v>8548</v>
      </c>
      <c r="F1078" s="512" t="s">
        <v>8475</v>
      </c>
      <c r="G1078" s="512" t="s">
        <v>8551</v>
      </c>
      <c r="L1078" s="505" t="s">
        <v>1233</v>
      </c>
      <c r="M1078" s="516">
        <v>38.69</v>
      </c>
      <c r="N1078" s="505" t="s">
        <v>1233</v>
      </c>
    </row>
    <row r="1079" spans="1:14" x14ac:dyDescent="0.25">
      <c r="A1079" s="505" t="s">
        <v>3425</v>
      </c>
      <c r="B1079" s="505" t="s">
        <v>3426</v>
      </c>
      <c r="C1079" s="512" t="s">
        <v>8534</v>
      </c>
      <c r="D1079" s="512" t="s">
        <v>7736</v>
      </c>
      <c r="E1079" s="512" t="s">
        <v>8548</v>
      </c>
      <c r="F1079" s="512" t="s">
        <v>8475</v>
      </c>
      <c r="G1079" s="512" t="s">
        <v>715</v>
      </c>
      <c r="H1079" s="512" t="s">
        <v>511</v>
      </c>
      <c r="L1079" s="505" t="s">
        <v>1233</v>
      </c>
      <c r="M1079" s="516">
        <v>38.69</v>
      </c>
      <c r="N1079" s="505" t="s">
        <v>1233</v>
      </c>
    </row>
    <row r="1080" spans="1:14" x14ac:dyDescent="0.25">
      <c r="A1080" s="505" t="s">
        <v>3427</v>
      </c>
      <c r="B1080" s="505" t="s">
        <v>3428</v>
      </c>
      <c r="C1080" s="512" t="s">
        <v>8534</v>
      </c>
      <c r="D1080" s="512" t="s">
        <v>7736</v>
      </c>
      <c r="E1080" s="512" t="s">
        <v>8548</v>
      </c>
      <c r="F1080" s="512" t="s">
        <v>8475</v>
      </c>
      <c r="G1080" s="512" t="s">
        <v>8537</v>
      </c>
      <c r="H1080" s="512" t="s">
        <v>8552</v>
      </c>
      <c r="I1080" s="512" t="s">
        <v>7471</v>
      </c>
      <c r="L1080" s="505" t="s">
        <v>1233</v>
      </c>
      <c r="M1080" s="516">
        <v>38.69</v>
      </c>
      <c r="N1080" s="505" t="s">
        <v>1233</v>
      </c>
    </row>
    <row r="1081" spans="1:14" x14ac:dyDescent="0.25">
      <c r="A1081" s="505" t="s">
        <v>3429</v>
      </c>
      <c r="B1081" s="505" t="s">
        <v>3430</v>
      </c>
      <c r="C1081" s="512" t="s">
        <v>8534</v>
      </c>
      <c r="D1081" s="512" t="s">
        <v>7736</v>
      </c>
      <c r="E1081" s="512" t="s">
        <v>8548</v>
      </c>
      <c r="F1081" s="512" t="s">
        <v>8475</v>
      </c>
      <c r="G1081" s="512" t="s">
        <v>8553</v>
      </c>
      <c r="L1081" s="505" t="s">
        <v>1233</v>
      </c>
      <c r="M1081" s="516">
        <v>38.69</v>
      </c>
      <c r="N1081" s="505" t="s">
        <v>1233</v>
      </c>
    </row>
    <row r="1082" spans="1:14" x14ac:dyDescent="0.25">
      <c r="A1082" s="505" t="s">
        <v>3431</v>
      </c>
      <c r="B1082" s="505" t="s">
        <v>3432</v>
      </c>
      <c r="C1082" s="512" t="s">
        <v>8534</v>
      </c>
      <c r="D1082" s="512" t="s">
        <v>7736</v>
      </c>
      <c r="E1082" s="512" t="s">
        <v>8548</v>
      </c>
      <c r="F1082" s="512" t="s">
        <v>8475</v>
      </c>
      <c r="G1082" s="512" t="s">
        <v>8537</v>
      </c>
      <c r="H1082" s="512" t="s">
        <v>530</v>
      </c>
      <c r="L1082" s="505" t="s">
        <v>1233</v>
      </c>
      <c r="M1082" s="516">
        <v>38.69</v>
      </c>
      <c r="N1082" s="505" t="s">
        <v>1233</v>
      </c>
    </row>
    <row r="1083" spans="1:14" x14ac:dyDescent="0.25">
      <c r="A1083" s="505" t="s">
        <v>3433</v>
      </c>
      <c r="B1083" s="505" t="s">
        <v>3434</v>
      </c>
      <c r="C1083" s="512" t="s">
        <v>8534</v>
      </c>
      <c r="D1083" s="512" t="s">
        <v>7736</v>
      </c>
      <c r="E1083" s="512" t="s">
        <v>8548</v>
      </c>
      <c r="F1083" s="512" t="s">
        <v>8475</v>
      </c>
      <c r="G1083" s="512" t="s">
        <v>8537</v>
      </c>
      <c r="H1083" s="512" t="s">
        <v>593</v>
      </c>
      <c r="L1083" s="505" t="s">
        <v>1233</v>
      </c>
      <c r="M1083" s="516">
        <v>38.69</v>
      </c>
      <c r="N1083" s="505" t="s">
        <v>1233</v>
      </c>
    </row>
    <row r="1084" spans="1:14" x14ac:dyDescent="0.25">
      <c r="A1084" s="505" t="s">
        <v>3435</v>
      </c>
      <c r="B1084" s="505" t="s">
        <v>3436</v>
      </c>
      <c r="C1084" s="512" t="s">
        <v>8534</v>
      </c>
      <c r="D1084" s="512" t="s">
        <v>7736</v>
      </c>
      <c r="E1084" s="512" t="s">
        <v>8548</v>
      </c>
      <c r="F1084" s="512" t="s">
        <v>8475</v>
      </c>
      <c r="G1084" s="512" t="s">
        <v>8554</v>
      </c>
      <c r="H1084" s="512" t="s">
        <v>8555</v>
      </c>
      <c r="L1084" s="505" t="s">
        <v>1233</v>
      </c>
      <c r="M1084" s="516">
        <v>38.69</v>
      </c>
      <c r="N1084" s="505" t="s">
        <v>1233</v>
      </c>
    </row>
    <row r="1085" spans="1:14" x14ac:dyDescent="0.25">
      <c r="A1085" s="505" t="s">
        <v>3437</v>
      </c>
      <c r="B1085" s="505" t="s">
        <v>3438</v>
      </c>
      <c r="C1085" s="512" t="s">
        <v>8534</v>
      </c>
      <c r="D1085" s="512" t="s">
        <v>7736</v>
      </c>
      <c r="E1085" s="512" t="s">
        <v>8548</v>
      </c>
      <c r="F1085" s="512" t="s">
        <v>8475</v>
      </c>
      <c r="G1085" s="512" t="s">
        <v>8505</v>
      </c>
      <c r="L1085" s="505" t="s">
        <v>1233</v>
      </c>
      <c r="M1085" s="516">
        <v>38.69</v>
      </c>
      <c r="N1085" s="505" t="s">
        <v>1233</v>
      </c>
    </row>
    <row r="1086" spans="1:14" x14ac:dyDescent="0.25">
      <c r="A1086" s="505" t="s">
        <v>3439</v>
      </c>
      <c r="B1086" s="505" t="s">
        <v>3440</v>
      </c>
      <c r="C1086" s="512" t="s">
        <v>8534</v>
      </c>
      <c r="D1086" s="512" t="s">
        <v>7736</v>
      </c>
      <c r="E1086" s="512" t="s">
        <v>8548</v>
      </c>
      <c r="F1086" s="512" t="s">
        <v>8475</v>
      </c>
      <c r="G1086" s="512" t="s">
        <v>8556</v>
      </c>
      <c r="H1086" s="512" t="s">
        <v>148</v>
      </c>
      <c r="I1086" s="512" t="s">
        <v>7497</v>
      </c>
      <c r="L1086" s="505" t="s">
        <v>1233</v>
      </c>
      <c r="M1086" s="516">
        <v>38.69</v>
      </c>
      <c r="N1086" s="505" t="s">
        <v>1233</v>
      </c>
    </row>
    <row r="1087" spans="1:14" x14ac:dyDescent="0.25">
      <c r="A1087" s="505" t="s">
        <v>3441</v>
      </c>
      <c r="B1087" s="505" t="s">
        <v>3442</v>
      </c>
      <c r="C1087" s="512" t="s">
        <v>8534</v>
      </c>
      <c r="D1087" s="512" t="s">
        <v>7736</v>
      </c>
      <c r="E1087" s="512" t="s">
        <v>8548</v>
      </c>
      <c r="F1087" s="512" t="s">
        <v>8475</v>
      </c>
      <c r="G1087" s="512" t="s">
        <v>522</v>
      </c>
      <c r="L1087" s="505" t="s">
        <v>1233</v>
      </c>
      <c r="M1087" s="516">
        <v>38.69</v>
      </c>
      <c r="N1087" s="505" t="s">
        <v>1233</v>
      </c>
    </row>
    <row r="1088" spans="1:14" x14ac:dyDescent="0.25">
      <c r="A1088" s="505" t="s">
        <v>3443</v>
      </c>
      <c r="B1088" s="505" t="s">
        <v>3444</v>
      </c>
      <c r="C1088" s="512" t="s">
        <v>8534</v>
      </c>
      <c r="D1088" s="512" t="s">
        <v>8035</v>
      </c>
      <c r="E1088" s="512" t="s">
        <v>8548</v>
      </c>
      <c r="F1088" s="512" t="s">
        <v>8475</v>
      </c>
      <c r="G1088" s="512" t="s">
        <v>8549</v>
      </c>
      <c r="H1088" s="512" t="s">
        <v>8546</v>
      </c>
      <c r="L1088" s="505" t="s">
        <v>1233</v>
      </c>
      <c r="M1088" s="516">
        <v>57.29</v>
      </c>
      <c r="N1088" s="505" t="s">
        <v>1233</v>
      </c>
    </row>
    <row r="1089" spans="1:14" x14ac:dyDescent="0.25">
      <c r="A1089" s="505" t="s">
        <v>3445</v>
      </c>
      <c r="B1089" s="505" t="s">
        <v>3446</v>
      </c>
      <c r="C1089" s="512" t="s">
        <v>8534</v>
      </c>
      <c r="D1089" s="512" t="s">
        <v>8035</v>
      </c>
      <c r="E1089" s="512" t="s">
        <v>8548</v>
      </c>
      <c r="F1089" s="512" t="s">
        <v>8475</v>
      </c>
      <c r="G1089" s="512" t="s">
        <v>8336</v>
      </c>
      <c r="L1089" s="505" t="s">
        <v>1233</v>
      </c>
      <c r="M1089" s="516">
        <v>57.29</v>
      </c>
      <c r="N1089" s="505" t="s">
        <v>1233</v>
      </c>
    </row>
    <row r="1090" spans="1:14" x14ac:dyDescent="0.25">
      <c r="A1090" s="505" t="s">
        <v>3447</v>
      </c>
      <c r="B1090" s="505" t="s">
        <v>3448</v>
      </c>
      <c r="C1090" s="512" t="s">
        <v>8534</v>
      </c>
      <c r="D1090" s="512" t="s">
        <v>8035</v>
      </c>
      <c r="E1090" s="512" t="s">
        <v>8548</v>
      </c>
      <c r="F1090" s="512" t="s">
        <v>8475</v>
      </c>
      <c r="G1090" s="512" t="s">
        <v>8550</v>
      </c>
      <c r="H1090" s="512" t="s">
        <v>8546</v>
      </c>
      <c r="L1090" s="505" t="s">
        <v>1233</v>
      </c>
      <c r="M1090" s="516">
        <v>57.29</v>
      </c>
      <c r="N1090" s="505" t="s">
        <v>1233</v>
      </c>
    </row>
    <row r="1091" spans="1:14" x14ac:dyDescent="0.25">
      <c r="A1091" s="505" t="s">
        <v>3449</v>
      </c>
      <c r="B1091" s="505" t="s">
        <v>3450</v>
      </c>
      <c r="C1091" s="512" t="s">
        <v>8534</v>
      </c>
      <c r="D1091" s="512" t="s">
        <v>8035</v>
      </c>
      <c r="E1091" s="512" t="s">
        <v>8548</v>
      </c>
      <c r="F1091" s="512" t="s">
        <v>8475</v>
      </c>
      <c r="G1091" s="512" t="s">
        <v>563</v>
      </c>
      <c r="L1091" s="505" t="s">
        <v>1233</v>
      </c>
      <c r="M1091" s="516">
        <v>57.29</v>
      </c>
      <c r="N1091" s="505" t="s">
        <v>1233</v>
      </c>
    </row>
    <row r="1092" spans="1:14" x14ac:dyDescent="0.25">
      <c r="A1092" s="505" t="s">
        <v>3451</v>
      </c>
      <c r="B1092" s="505" t="s">
        <v>3452</v>
      </c>
      <c r="C1092" s="512" t="s">
        <v>8534</v>
      </c>
      <c r="D1092" s="512" t="s">
        <v>8035</v>
      </c>
      <c r="E1092" s="512" t="s">
        <v>8548</v>
      </c>
      <c r="F1092" s="512" t="s">
        <v>8475</v>
      </c>
      <c r="G1092" s="512" t="s">
        <v>8551</v>
      </c>
      <c r="L1092" s="505" t="s">
        <v>1233</v>
      </c>
      <c r="M1092" s="516">
        <v>57.29</v>
      </c>
      <c r="N1092" s="505" t="s">
        <v>1233</v>
      </c>
    </row>
    <row r="1093" spans="1:14" x14ac:dyDescent="0.25">
      <c r="A1093" s="505" t="s">
        <v>3453</v>
      </c>
      <c r="B1093" s="505" t="s">
        <v>3454</v>
      </c>
      <c r="C1093" s="512" t="s">
        <v>8534</v>
      </c>
      <c r="D1093" s="512" t="s">
        <v>8035</v>
      </c>
      <c r="E1093" s="512" t="s">
        <v>8548</v>
      </c>
      <c r="F1093" s="512" t="s">
        <v>8475</v>
      </c>
      <c r="G1093" s="512" t="s">
        <v>8547</v>
      </c>
      <c r="H1093" s="512" t="s">
        <v>7931</v>
      </c>
      <c r="L1093" s="505" t="s">
        <v>1233</v>
      </c>
      <c r="M1093" s="516">
        <v>57.29</v>
      </c>
      <c r="N1093" s="505" t="s">
        <v>1233</v>
      </c>
    </row>
    <row r="1094" spans="1:14" x14ac:dyDescent="0.25">
      <c r="A1094" s="505" t="s">
        <v>3455</v>
      </c>
      <c r="B1094" s="505" t="s">
        <v>3456</v>
      </c>
      <c r="C1094" s="512" t="s">
        <v>8534</v>
      </c>
      <c r="D1094" s="512" t="s">
        <v>8035</v>
      </c>
      <c r="E1094" s="512" t="s">
        <v>8548</v>
      </c>
      <c r="F1094" s="512" t="s">
        <v>8475</v>
      </c>
      <c r="G1094" s="512" t="s">
        <v>8537</v>
      </c>
      <c r="H1094" s="512" t="s">
        <v>8552</v>
      </c>
      <c r="I1094" s="512" t="s">
        <v>7471</v>
      </c>
      <c r="L1094" s="505" t="s">
        <v>1233</v>
      </c>
      <c r="M1094" s="516">
        <v>57.29</v>
      </c>
      <c r="N1094" s="505" t="s">
        <v>1233</v>
      </c>
    </row>
    <row r="1095" spans="1:14" x14ac:dyDescent="0.25">
      <c r="A1095" s="505" t="s">
        <v>3457</v>
      </c>
      <c r="B1095" s="505" t="s">
        <v>3458</v>
      </c>
      <c r="C1095" s="512" t="s">
        <v>8534</v>
      </c>
      <c r="D1095" s="512" t="s">
        <v>8035</v>
      </c>
      <c r="E1095" s="512" t="s">
        <v>8548</v>
      </c>
      <c r="F1095" s="512" t="s">
        <v>8475</v>
      </c>
      <c r="G1095" s="512" t="s">
        <v>8547</v>
      </c>
      <c r="H1095" s="512" t="s">
        <v>8557</v>
      </c>
      <c r="L1095" s="505" t="s">
        <v>1233</v>
      </c>
      <c r="M1095" s="516">
        <v>57.29</v>
      </c>
      <c r="N1095" s="505" t="s">
        <v>1233</v>
      </c>
    </row>
    <row r="1096" spans="1:14" x14ac:dyDescent="0.25">
      <c r="A1096" s="505" t="s">
        <v>3459</v>
      </c>
      <c r="B1096" s="505" t="s">
        <v>3460</v>
      </c>
      <c r="C1096" s="512" t="s">
        <v>8534</v>
      </c>
      <c r="D1096" s="512" t="s">
        <v>8035</v>
      </c>
      <c r="E1096" s="512" t="s">
        <v>8548</v>
      </c>
      <c r="F1096" s="512" t="s">
        <v>8475</v>
      </c>
      <c r="G1096" s="512" t="s">
        <v>8553</v>
      </c>
      <c r="L1096" s="505" t="s">
        <v>1233</v>
      </c>
      <c r="M1096" s="516">
        <v>57.29</v>
      </c>
      <c r="N1096" s="505" t="s">
        <v>1233</v>
      </c>
    </row>
    <row r="1097" spans="1:14" x14ac:dyDescent="0.25">
      <c r="A1097" s="505" t="s">
        <v>3461</v>
      </c>
      <c r="B1097" s="505" t="s">
        <v>3462</v>
      </c>
      <c r="C1097" s="512" t="s">
        <v>8534</v>
      </c>
      <c r="D1097" s="512" t="s">
        <v>8035</v>
      </c>
      <c r="E1097" s="512" t="s">
        <v>8548</v>
      </c>
      <c r="F1097" s="512" t="s">
        <v>8475</v>
      </c>
      <c r="G1097" s="512" t="s">
        <v>8537</v>
      </c>
      <c r="H1097" s="512" t="s">
        <v>530</v>
      </c>
      <c r="L1097" s="505" t="s">
        <v>1233</v>
      </c>
      <c r="M1097" s="516">
        <v>57.29</v>
      </c>
      <c r="N1097" s="505" t="s">
        <v>1233</v>
      </c>
    </row>
    <row r="1098" spans="1:14" x14ac:dyDescent="0.25">
      <c r="A1098" s="505" t="s">
        <v>3463</v>
      </c>
      <c r="B1098" s="505" t="s">
        <v>3464</v>
      </c>
      <c r="C1098" s="512" t="s">
        <v>8534</v>
      </c>
      <c r="D1098" s="512" t="s">
        <v>8035</v>
      </c>
      <c r="E1098" s="512" t="s">
        <v>8548</v>
      </c>
      <c r="F1098" s="512" t="s">
        <v>8475</v>
      </c>
      <c r="G1098" s="512" t="s">
        <v>8537</v>
      </c>
      <c r="H1098" s="512" t="s">
        <v>593</v>
      </c>
      <c r="L1098" s="505" t="s">
        <v>1233</v>
      </c>
      <c r="M1098" s="516">
        <v>57.29</v>
      </c>
      <c r="N1098" s="505" t="s">
        <v>1233</v>
      </c>
    </row>
    <row r="1099" spans="1:14" x14ac:dyDescent="0.25">
      <c r="A1099" s="505" t="s">
        <v>3465</v>
      </c>
      <c r="B1099" s="505" t="s">
        <v>3466</v>
      </c>
      <c r="C1099" s="512" t="s">
        <v>8534</v>
      </c>
      <c r="D1099" s="512" t="s">
        <v>8035</v>
      </c>
      <c r="E1099" s="512" t="s">
        <v>8548</v>
      </c>
      <c r="F1099" s="512" t="s">
        <v>8475</v>
      </c>
      <c r="G1099" s="512" t="s">
        <v>7583</v>
      </c>
      <c r="H1099" s="512" t="s">
        <v>8558</v>
      </c>
      <c r="L1099" s="505" t="s">
        <v>1233</v>
      </c>
      <c r="M1099" s="516">
        <v>57.29</v>
      </c>
      <c r="N1099" s="505" t="s">
        <v>1233</v>
      </c>
    </row>
    <row r="1100" spans="1:14" x14ac:dyDescent="0.25">
      <c r="A1100" s="505" t="s">
        <v>3467</v>
      </c>
      <c r="B1100" s="505" t="s">
        <v>3468</v>
      </c>
      <c r="C1100" s="512" t="s">
        <v>8534</v>
      </c>
      <c r="D1100" s="512" t="s">
        <v>8035</v>
      </c>
      <c r="E1100" s="512" t="s">
        <v>8548</v>
      </c>
      <c r="F1100" s="512" t="s">
        <v>8475</v>
      </c>
      <c r="G1100" s="512" t="s">
        <v>7577</v>
      </c>
      <c r="H1100" s="512" t="s">
        <v>8559</v>
      </c>
      <c r="L1100" s="505" t="s">
        <v>1233</v>
      </c>
      <c r="M1100" s="516">
        <v>57.29</v>
      </c>
      <c r="N1100" s="505" t="s">
        <v>1233</v>
      </c>
    </row>
    <row r="1101" spans="1:14" x14ac:dyDescent="0.25">
      <c r="A1101" s="505" t="s">
        <v>3469</v>
      </c>
      <c r="B1101" s="505" t="s">
        <v>3470</v>
      </c>
      <c r="C1101" s="512" t="s">
        <v>8534</v>
      </c>
      <c r="D1101" s="512" t="s">
        <v>8035</v>
      </c>
      <c r="E1101" s="512" t="s">
        <v>8548</v>
      </c>
      <c r="F1101" s="512" t="s">
        <v>8475</v>
      </c>
      <c r="G1101" s="512" t="s">
        <v>8560</v>
      </c>
      <c r="L1101" s="505" t="s">
        <v>1233</v>
      </c>
      <c r="M1101" s="516">
        <v>57.29</v>
      </c>
      <c r="N1101" s="505" t="s">
        <v>1233</v>
      </c>
    </row>
    <row r="1102" spans="1:14" x14ac:dyDescent="0.25">
      <c r="A1102" s="505" t="s">
        <v>3471</v>
      </c>
      <c r="B1102" s="505" t="s">
        <v>3472</v>
      </c>
      <c r="C1102" s="512" t="s">
        <v>8534</v>
      </c>
      <c r="D1102" s="512" t="s">
        <v>8035</v>
      </c>
      <c r="E1102" s="512" t="s">
        <v>8548</v>
      </c>
      <c r="F1102" s="512" t="s">
        <v>8475</v>
      </c>
      <c r="G1102" s="512" t="s">
        <v>8505</v>
      </c>
      <c r="L1102" s="505" t="s">
        <v>1233</v>
      </c>
      <c r="M1102" s="516">
        <v>57.29</v>
      </c>
      <c r="N1102" s="505" t="s">
        <v>1233</v>
      </c>
    </row>
    <row r="1103" spans="1:14" x14ac:dyDescent="0.25">
      <c r="A1103" s="505" t="s">
        <v>3473</v>
      </c>
      <c r="B1103" s="505" t="s">
        <v>3474</v>
      </c>
      <c r="C1103" s="512" t="s">
        <v>8534</v>
      </c>
      <c r="D1103" s="512" t="s">
        <v>8035</v>
      </c>
      <c r="E1103" s="512" t="s">
        <v>8548</v>
      </c>
      <c r="F1103" s="512" t="s">
        <v>8475</v>
      </c>
      <c r="G1103" s="512" t="s">
        <v>8556</v>
      </c>
      <c r="H1103" s="512" t="s">
        <v>8561</v>
      </c>
      <c r="L1103" s="505" t="s">
        <v>1233</v>
      </c>
      <c r="M1103" s="516">
        <v>57.29</v>
      </c>
      <c r="N1103" s="505" t="s">
        <v>1233</v>
      </c>
    </row>
    <row r="1104" spans="1:14" x14ac:dyDescent="0.25">
      <c r="A1104" s="505" t="s">
        <v>3475</v>
      </c>
      <c r="B1104" s="505" t="s">
        <v>3476</v>
      </c>
      <c r="C1104" s="512" t="s">
        <v>8534</v>
      </c>
      <c r="D1104" s="512" t="s">
        <v>8035</v>
      </c>
      <c r="E1104" s="512" t="s">
        <v>8548</v>
      </c>
      <c r="F1104" s="512" t="s">
        <v>8475</v>
      </c>
      <c r="G1104" s="512" t="s">
        <v>522</v>
      </c>
      <c r="L1104" s="505" t="s">
        <v>1233</v>
      </c>
      <c r="M1104" s="516">
        <v>57.29</v>
      </c>
      <c r="N1104" s="505" t="s">
        <v>1233</v>
      </c>
    </row>
    <row r="1105" spans="1:14" x14ac:dyDescent="0.25">
      <c r="A1105" s="505" t="s">
        <v>3477</v>
      </c>
      <c r="B1105" s="505" t="s">
        <v>3478</v>
      </c>
      <c r="C1105" s="512" t="s">
        <v>8534</v>
      </c>
      <c r="D1105" s="512" t="s">
        <v>8035</v>
      </c>
      <c r="E1105" s="512" t="s">
        <v>8548</v>
      </c>
      <c r="F1105" s="512" t="s">
        <v>8475</v>
      </c>
      <c r="G1105" s="512" t="s">
        <v>511</v>
      </c>
      <c r="H1105" s="512" t="s">
        <v>7471</v>
      </c>
      <c r="L1105" s="505" t="s">
        <v>1233</v>
      </c>
      <c r="M1105" s="516">
        <v>57.29</v>
      </c>
      <c r="N1105" s="505" t="s">
        <v>1233</v>
      </c>
    </row>
    <row r="1106" spans="1:14" x14ac:dyDescent="0.25">
      <c r="A1106" s="505" t="s">
        <v>3479</v>
      </c>
      <c r="B1106" s="505" t="s">
        <v>3480</v>
      </c>
      <c r="C1106" s="512" t="s">
        <v>7847</v>
      </c>
      <c r="D1106" s="512" t="s">
        <v>7848</v>
      </c>
      <c r="E1106" s="512" t="s">
        <v>8562</v>
      </c>
      <c r="F1106" s="512" t="s">
        <v>8563</v>
      </c>
      <c r="G1106" s="512" t="s">
        <v>8043</v>
      </c>
      <c r="H1106" s="512" t="s">
        <v>148</v>
      </c>
      <c r="L1106" s="505" t="s">
        <v>1233</v>
      </c>
      <c r="M1106" s="516">
        <v>31.46</v>
      </c>
      <c r="N1106" s="505" t="s">
        <v>1233</v>
      </c>
    </row>
    <row r="1107" spans="1:14" x14ac:dyDescent="0.25">
      <c r="A1107" s="505" t="s">
        <v>3481</v>
      </c>
      <c r="B1107" s="505" t="s">
        <v>3482</v>
      </c>
      <c r="C1107" s="512" t="s">
        <v>7847</v>
      </c>
      <c r="D1107" s="512" t="s">
        <v>7848</v>
      </c>
      <c r="E1107" s="512" t="s">
        <v>8562</v>
      </c>
      <c r="F1107" s="512" t="s">
        <v>8563</v>
      </c>
      <c r="G1107" s="512" t="s">
        <v>8043</v>
      </c>
      <c r="H1107" s="512" t="s">
        <v>8564</v>
      </c>
      <c r="L1107" s="505" t="s">
        <v>1233</v>
      </c>
      <c r="M1107" s="516">
        <v>31.46</v>
      </c>
      <c r="N1107" s="505" t="s">
        <v>1233</v>
      </c>
    </row>
    <row r="1108" spans="1:14" x14ac:dyDescent="0.25">
      <c r="A1108" s="505" t="s">
        <v>3483</v>
      </c>
      <c r="B1108" s="505" t="s">
        <v>3484</v>
      </c>
      <c r="C1108" s="512" t="s">
        <v>7847</v>
      </c>
      <c r="D1108" s="512" t="s">
        <v>7848</v>
      </c>
      <c r="E1108" s="512" t="s">
        <v>8562</v>
      </c>
      <c r="F1108" s="512" t="s">
        <v>8563</v>
      </c>
      <c r="G1108" s="512" t="s">
        <v>8043</v>
      </c>
      <c r="H1108" s="512" t="s">
        <v>524</v>
      </c>
      <c r="L1108" s="505" t="s">
        <v>1233</v>
      </c>
      <c r="M1108" s="516">
        <v>31.46</v>
      </c>
      <c r="N1108" s="505" t="s">
        <v>1233</v>
      </c>
    </row>
    <row r="1109" spans="1:14" x14ac:dyDescent="0.25">
      <c r="A1109" s="505" t="s">
        <v>3485</v>
      </c>
      <c r="B1109" s="505" t="s">
        <v>3486</v>
      </c>
      <c r="C1109" s="512" t="s">
        <v>7847</v>
      </c>
      <c r="D1109" s="512" t="s">
        <v>7848</v>
      </c>
      <c r="E1109" s="512" t="s">
        <v>8562</v>
      </c>
      <c r="F1109" s="512" t="s">
        <v>8563</v>
      </c>
      <c r="G1109" s="512" t="s">
        <v>8043</v>
      </c>
      <c r="H1109" s="512" t="s">
        <v>7576</v>
      </c>
      <c r="I1109" s="512" t="s">
        <v>8565</v>
      </c>
      <c r="L1109" s="505" t="s">
        <v>1233</v>
      </c>
      <c r="M1109" s="516">
        <v>31.46</v>
      </c>
      <c r="N1109" s="505" t="s">
        <v>1233</v>
      </c>
    </row>
    <row r="1110" spans="1:14" x14ac:dyDescent="0.25">
      <c r="A1110" s="505" t="s">
        <v>3487</v>
      </c>
      <c r="B1110" s="505" t="s">
        <v>3488</v>
      </c>
      <c r="C1110" s="512" t="s">
        <v>7847</v>
      </c>
      <c r="D1110" s="512" t="s">
        <v>7848</v>
      </c>
      <c r="E1110" s="512" t="s">
        <v>8562</v>
      </c>
      <c r="F1110" s="512" t="s">
        <v>8563</v>
      </c>
      <c r="G1110" s="512" t="s">
        <v>8043</v>
      </c>
      <c r="H1110" s="512" t="s">
        <v>7974</v>
      </c>
      <c r="I1110" s="512" t="s">
        <v>8566</v>
      </c>
      <c r="L1110" s="505" t="s">
        <v>1233</v>
      </c>
      <c r="M1110" s="516">
        <v>31.46</v>
      </c>
      <c r="N1110" s="505" t="s">
        <v>1233</v>
      </c>
    </row>
    <row r="1111" spans="1:14" x14ac:dyDescent="0.25">
      <c r="A1111" s="505" t="s">
        <v>3489</v>
      </c>
      <c r="B1111" s="505" t="s">
        <v>3490</v>
      </c>
      <c r="C1111" s="512" t="s">
        <v>7847</v>
      </c>
      <c r="D1111" s="512" t="s">
        <v>7848</v>
      </c>
      <c r="E1111" s="512" t="s">
        <v>8562</v>
      </c>
      <c r="F1111" s="512" t="s">
        <v>8563</v>
      </c>
      <c r="G1111" s="512" t="s">
        <v>8043</v>
      </c>
      <c r="H1111" s="512" t="s">
        <v>510</v>
      </c>
      <c r="L1111" s="505" t="s">
        <v>1233</v>
      </c>
      <c r="M1111" s="516">
        <v>31.46</v>
      </c>
      <c r="N1111" s="505" t="s">
        <v>1233</v>
      </c>
    </row>
    <row r="1112" spans="1:14" x14ac:dyDescent="0.25">
      <c r="A1112" s="505" t="s">
        <v>3491</v>
      </c>
      <c r="B1112" s="505" t="s">
        <v>3492</v>
      </c>
      <c r="C1112" s="512" t="s">
        <v>7847</v>
      </c>
      <c r="D1112" s="512" t="s">
        <v>7848</v>
      </c>
      <c r="E1112" s="512" t="s">
        <v>8562</v>
      </c>
      <c r="F1112" s="512" t="s">
        <v>8563</v>
      </c>
      <c r="G1112" s="512" t="s">
        <v>8043</v>
      </c>
      <c r="H1112" s="512" t="s">
        <v>8567</v>
      </c>
      <c r="L1112" s="505" t="s">
        <v>1233</v>
      </c>
      <c r="M1112" s="516">
        <v>31.46</v>
      </c>
      <c r="N1112" s="505" t="s">
        <v>1233</v>
      </c>
    </row>
    <row r="1113" spans="1:14" x14ac:dyDescent="0.25">
      <c r="A1113" s="505" t="s">
        <v>3493</v>
      </c>
      <c r="B1113" s="505" t="s">
        <v>3494</v>
      </c>
      <c r="C1113" s="512" t="s">
        <v>7847</v>
      </c>
      <c r="D1113" s="512" t="s">
        <v>7848</v>
      </c>
      <c r="E1113" s="512" t="s">
        <v>8562</v>
      </c>
      <c r="F1113" s="512" t="s">
        <v>8563</v>
      </c>
      <c r="G1113" s="512" t="s">
        <v>8043</v>
      </c>
      <c r="H1113" s="512" t="s">
        <v>140</v>
      </c>
      <c r="L1113" s="505" t="s">
        <v>1233</v>
      </c>
      <c r="M1113" s="516">
        <v>31.46</v>
      </c>
      <c r="N1113" s="505" t="s">
        <v>1233</v>
      </c>
    </row>
    <row r="1114" spans="1:14" x14ac:dyDescent="0.25">
      <c r="A1114" s="505" t="s">
        <v>3495</v>
      </c>
      <c r="B1114" s="505" t="s">
        <v>3496</v>
      </c>
      <c r="C1114" s="512" t="s">
        <v>7847</v>
      </c>
      <c r="D1114" s="512" t="s">
        <v>7848</v>
      </c>
      <c r="E1114" s="512" t="s">
        <v>8562</v>
      </c>
      <c r="F1114" s="512" t="s">
        <v>8563</v>
      </c>
      <c r="G1114" s="512" t="s">
        <v>8043</v>
      </c>
      <c r="H1114" s="512" t="s">
        <v>8568</v>
      </c>
      <c r="L1114" s="505" t="s">
        <v>1233</v>
      </c>
      <c r="M1114" s="516">
        <v>31.46</v>
      </c>
      <c r="N1114" s="505" t="s">
        <v>1233</v>
      </c>
    </row>
    <row r="1115" spans="1:14" x14ac:dyDescent="0.25">
      <c r="A1115" s="505" t="s">
        <v>3497</v>
      </c>
      <c r="B1115" s="505" t="s">
        <v>3498</v>
      </c>
      <c r="C1115" s="512" t="s">
        <v>7847</v>
      </c>
      <c r="D1115" s="512" t="s">
        <v>7848</v>
      </c>
      <c r="E1115" s="512" t="s">
        <v>8562</v>
      </c>
      <c r="F1115" s="512" t="s">
        <v>8563</v>
      </c>
      <c r="G1115" s="512" t="s">
        <v>8043</v>
      </c>
      <c r="H1115" s="512" t="s">
        <v>511</v>
      </c>
      <c r="L1115" s="505" t="s">
        <v>1233</v>
      </c>
      <c r="M1115" s="516">
        <v>31.46</v>
      </c>
      <c r="N1115" s="505" t="s">
        <v>1233</v>
      </c>
    </row>
    <row r="1116" spans="1:14" x14ac:dyDescent="0.25">
      <c r="A1116" s="505" t="s">
        <v>3499</v>
      </c>
      <c r="B1116" s="505" t="s">
        <v>3500</v>
      </c>
      <c r="C1116" s="512" t="s">
        <v>7847</v>
      </c>
      <c r="D1116" s="512" t="s">
        <v>7848</v>
      </c>
      <c r="E1116" s="512" t="s">
        <v>8569</v>
      </c>
      <c r="F1116" s="512" t="s">
        <v>8570</v>
      </c>
      <c r="G1116" s="512" t="s">
        <v>7850</v>
      </c>
      <c r="L1116" s="505" t="s">
        <v>1233</v>
      </c>
      <c r="M1116" s="516">
        <v>47.21</v>
      </c>
      <c r="N1116" s="505" t="s">
        <v>1233</v>
      </c>
    </row>
    <row r="1117" spans="1:14" x14ac:dyDescent="0.25">
      <c r="A1117" s="505" t="s">
        <v>3501</v>
      </c>
      <c r="B1117" s="505" t="s">
        <v>3502</v>
      </c>
      <c r="C1117" s="512" t="s">
        <v>7847</v>
      </c>
      <c r="D1117" s="512" t="s">
        <v>7848</v>
      </c>
      <c r="E1117" s="512" t="s">
        <v>8569</v>
      </c>
      <c r="F1117" s="512" t="s">
        <v>8570</v>
      </c>
      <c r="G1117" s="512" t="s">
        <v>8571</v>
      </c>
      <c r="L1117" s="505" t="s">
        <v>1233</v>
      </c>
      <c r="M1117" s="516">
        <v>47.21</v>
      </c>
      <c r="N1117" s="505" t="s">
        <v>1233</v>
      </c>
    </row>
    <row r="1118" spans="1:14" x14ac:dyDescent="0.25">
      <c r="A1118" s="505" t="s">
        <v>3503</v>
      </c>
      <c r="B1118" s="505" t="s">
        <v>3504</v>
      </c>
      <c r="C1118" s="512" t="s">
        <v>7847</v>
      </c>
      <c r="D1118" s="512" t="s">
        <v>7848</v>
      </c>
      <c r="E1118" s="512" t="s">
        <v>8569</v>
      </c>
      <c r="F1118" s="512" t="s">
        <v>8570</v>
      </c>
      <c r="G1118" s="512" t="s">
        <v>524</v>
      </c>
      <c r="L1118" s="505" t="s">
        <v>1233</v>
      </c>
      <c r="M1118" s="516">
        <v>47.21</v>
      </c>
      <c r="N1118" s="505" t="s">
        <v>1233</v>
      </c>
    </row>
    <row r="1119" spans="1:14" x14ac:dyDescent="0.25">
      <c r="A1119" s="505" t="s">
        <v>3505</v>
      </c>
      <c r="B1119" s="505" t="s">
        <v>3506</v>
      </c>
      <c r="C1119" s="512" t="s">
        <v>7847</v>
      </c>
      <c r="D1119" s="512" t="s">
        <v>7848</v>
      </c>
      <c r="E1119" s="512" t="s">
        <v>8569</v>
      </c>
      <c r="F1119" s="512" t="s">
        <v>8570</v>
      </c>
      <c r="G1119" s="512" t="s">
        <v>7950</v>
      </c>
      <c r="H1119" s="512" t="s">
        <v>363</v>
      </c>
      <c r="L1119" s="505" t="s">
        <v>1233</v>
      </c>
      <c r="M1119" s="516">
        <v>47.21</v>
      </c>
      <c r="N1119" s="505" t="s">
        <v>1233</v>
      </c>
    </row>
    <row r="1120" spans="1:14" x14ac:dyDescent="0.25">
      <c r="A1120" s="505" t="s">
        <v>3507</v>
      </c>
      <c r="B1120" s="505" t="s">
        <v>3508</v>
      </c>
      <c r="C1120" s="512" t="s">
        <v>7847</v>
      </c>
      <c r="D1120" s="512" t="s">
        <v>7848</v>
      </c>
      <c r="E1120" s="512" t="s">
        <v>8569</v>
      </c>
      <c r="F1120" s="512" t="s">
        <v>8570</v>
      </c>
      <c r="G1120" s="512" t="s">
        <v>8568</v>
      </c>
      <c r="L1120" s="505" t="s">
        <v>1233</v>
      </c>
      <c r="M1120" s="516">
        <v>47.21</v>
      </c>
      <c r="N1120" s="505" t="s">
        <v>1233</v>
      </c>
    </row>
    <row r="1121" spans="1:14" x14ac:dyDescent="0.25">
      <c r="A1121" s="505" t="s">
        <v>3509</v>
      </c>
      <c r="B1121" s="505" t="s">
        <v>3510</v>
      </c>
      <c r="C1121" s="512" t="s">
        <v>7847</v>
      </c>
      <c r="D1121" s="512" t="s">
        <v>7848</v>
      </c>
      <c r="E1121" s="512" t="s">
        <v>8569</v>
      </c>
      <c r="F1121" s="512" t="s">
        <v>8570</v>
      </c>
      <c r="G1121" s="512" t="s">
        <v>511</v>
      </c>
      <c r="L1121" s="505" t="s">
        <v>1233</v>
      </c>
      <c r="M1121" s="516">
        <v>47.21</v>
      </c>
      <c r="N1121" s="505" t="s">
        <v>1233</v>
      </c>
    </row>
    <row r="1122" spans="1:14" x14ac:dyDescent="0.25">
      <c r="A1122" s="505" t="s">
        <v>3511</v>
      </c>
      <c r="B1122" s="505" t="s">
        <v>3512</v>
      </c>
      <c r="C1122" s="512" t="s">
        <v>7847</v>
      </c>
      <c r="D1122" s="512" t="s">
        <v>7848</v>
      </c>
      <c r="E1122" s="512" t="s">
        <v>7570</v>
      </c>
      <c r="F1122" s="512" t="s">
        <v>8452</v>
      </c>
      <c r="G1122" s="512" t="s">
        <v>7850</v>
      </c>
      <c r="L1122" s="505" t="s">
        <v>1233</v>
      </c>
      <c r="M1122" s="516">
        <v>48.25</v>
      </c>
      <c r="N1122" s="505" t="s">
        <v>1233</v>
      </c>
    </row>
    <row r="1123" spans="1:14" x14ac:dyDescent="0.25">
      <c r="A1123" s="505" t="s">
        <v>3513</v>
      </c>
      <c r="B1123" s="505" t="s">
        <v>3514</v>
      </c>
      <c r="C1123" s="512" t="s">
        <v>7847</v>
      </c>
      <c r="D1123" s="512" t="s">
        <v>7848</v>
      </c>
      <c r="E1123" s="512" t="s">
        <v>8572</v>
      </c>
      <c r="F1123" s="512" t="s">
        <v>7850</v>
      </c>
      <c r="L1123" s="505" t="s">
        <v>1233</v>
      </c>
      <c r="M1123" s="516">
        <v>54.9</v>
      </c>
      <c r="N1123" s="505" t="s">
        <v>1233</v>
      </c>
    </row>
    <row r="1124" spans="1:14" x14ac:dyDescent="0.25">
      <c r="A1124" s="505" t="s">
        <v>3515</v>
      </c>
      <c r="B1124" s="505" t="s">
        <v>3516</v>
      </c>
      <c r="C1124" s="512" t="s">
        <v>7847</v>
      </c>
      <c r="D1124" s="512" t="s">
        <v>7848</v>
      </c>
      <c r="E1124" s="512" t="s">
        <v>8572</v>
      </c>
      <c r="F1124" s="512" t="s">
        <v>7950</v>
      </c>
      <c r="G1124" s="512" t="s">
        <v>363</v>
      </c>
      <c r="L1124" s="505" t="s">
        <v>1233</v>
      </c>
      <c r="M1124" s="516">
        <v>54.9</v>
      </c>
      <c r="N1124" s="505" t="s">
        <v>1233</v>
      </c>
    </row>
    <row r="1125" spans="1:14" x14ac:dyDescent="0.25">
      <c r="A1125" s="505" t="s">
        <v>3517</v>
      </c>
      <c r="B1125" s="505" t="s">
        <v>3518</v>
      </c>
      <c r="C1125" s="512" t="s">
        <v>7847</v>
      </c>
      <c r="D1125" s="512" t="s">
        <v>7848</v>
      </c>
      <c r="E1125" s="512" t="s">
        <v>8572</v>
      </c>
      <c r="F1125" s="512" t="s">
        <v>511</v>
      </c>
      <c r="L1125" s="505" t="s">
        <v>1233</v>
      </c>
      <c r="M1125" s="516">
        <v>54.9</v>
      </c>
      <c r="N1125" s="505" t="s">
        <v>1233</v>
      </c>
    </row>
    <row r="1126" spans="1:14" x14ac:dyDescent="0.25">
      <c r="A1126" s="505" t="s">
        <v>3519</v>
      </c>
      <c r="B1126" s="505" t="s">
        <v>3520</v>
      </c>
      <c r="C1126" s="512" t="s">
        <v>8573</v>
      </c>
      <c r="D1126" s="512" t="s">
        <v>7822</v>
      </c>
      <c r="E1126" s="512" t="s">
        <v>8574</v>
      </c>
      <c r="F1126" s="512" t="s">
        <v>8575</v>
      </c>
      <c r="G1126" s="512" t="s">
        <v>8576</v>
      </c>
      <c r="L1126" s="505" t="s">
        <v>1233</v>
      </c>
      <c r="M1126" s="516">
        <v>12.5</v>
      </c>
      <c r="N1126" s="505" t="s">
        <v>1233</v>
      </c>
    </row>
    <row r="1127" spans="1:14" x14ac:dyDescent="0.25">
      <c r="A1127" s="505" t="s">
        <v>3521</v>
      </c>
      <c r="B1127" s="505" t="s">
        <v>3522</v>
      </c>
      <c r="C1127" s="512" t="s">
        <v>8573</v>
      </c>
      <c r="D1127" s="512" t="s">
        <v>7822</v>
      </c>
      <c r="E1127" s="512" t="s">
        <v>8574</v>
      </c>
      <c r="F1127" s="512" t="s">
        <v>8575</v>
      </c>
      <c r="G1127" s="512" t="s">
        <v>8577</v>
      </c>
      <c r="L1127" s="505" t="s">
        <v>1233</v>
      </c>
      <c r="M1127" s="516">
        <v>12.5</v>
      </c>
      <c r="N1127" s="505" t="s">
        <v>1233</v>
      </c>
    </row>
    <row r="1128" spans="1:14" x14ac:dyDescent="0.25">
      <c r="A1128" s="505" t="s">
        <v>3523</v>
      </c>
      <c r="B1128" s="505" t="s">
        <v>3524</v>
      </c>
      <c r="C1128" s="512" t="s">
        <v>8573</v>
      </c>
      <c r="D1128" s="512" t="s">
        <v>7822</v>
      </c>
      <c r="E1128" s="512" t="s">
        <v>8574</v>
      </c>
      <c r="F1128" s="512" t="s">
        <v>8575</v>
      </c>
      <c r="G1128" s="512" t="s">
        <v>8578</v>
      </c>
      <c r="L1128" s="505" t="s">
        <v>1233</v>
      </c>
      <c r="M1128" s="516">
        <v>12.5</v>
      </c>
      <c r="N1128" s="505" t="s">
        <v>1233</v>
      </c>
    </row>
    <row r="1129" spans="1:14" x14ac:dyDescent="0.25">
      <c r="A1129" s="505" t="s">
        <v>3525</v>
      </c>
      <c r="B1129" s="505" t="s">
        <v>3526</v>
      </c>
      <c r="C1129" s="512" t="s">
        <v>8573</v>
      </c>
      <c r="D1129" s="512" t="s">
        <v>7822</v>
      </c>
      <c r="E1129" s="512" t="s">
        <v>8574</v>
      </c>
      <c r="F1129" s="512" t="s">
        <v>8575</v>
      </c>
      <c r="G1129" s="512" t="s">
        <v>8579</v>
      </c>
      <c r="L1129" s="505" t="s">
        <v>1233</v>
      </c>
      <c r="M1129" s="516">
        <v>12.5</v>
      </c>
      <c r="N1129" s="505" t="s">
        <v>1233</v>
      </c>
    </row>
    <row r="1130" spans="1:14" x14ac:dyDescent="0.25">
      <c r="A1130" s="505" t="s">
        <v>3527</v>
      </c>
      <c r="B1130" s="505" t="s">
        <v>3528</v>
      </c>
      <c r="C1130" s="512" t="s">
        <v>8573</v>
      </c>
      <c r="D1130" s="512" t="s">
        <v>7822</v>
      </c>
      <c r="E1130" s="512" t="s">
        <v>8574</v>
      </c>
      <c r="F1130" s="512" t="s">
        <v>8575</v>
      </c>
      <c r="G1130" s="512" t="s">
        <v>8580</v>
      </c>
      <c r="L1130" s="505" t="s">
        <v>1233</v>
      </c>
      <c r="M1130" s="516">
        <v>12.5</v>
      </c>
      <c r="N1130" s="505" t="s">
        <v>1233</v>
      </c>
    </row>
    <row r="1131" spans="1:14" x14ac:dyDescent="0.25">
      <c r="A1131" s="505" t="s">
        <v>3529</v>
      </c>
      <c r="B1131" s="505" t="s">
        <v>3530</v>
      </c>
      <c r="C1131" s="512" t="s">
        <v>8573</v>
      </c>
      <c r="D1131" s="512" t="s">
        <v>7822</v>
      </c>
      <c r="E1131" s="512" t="s">
        <v>8574</v>
      </c>
      <c r="F1131" s="512" t="s">
        <v>8575</v>
      </c>
      <c r="G1131" s="512" t="s">
        <v>8581</v>
      </c>
      <c r="L1131" s="505" t="s">
        <v>1233</v>
      </c>
      <c r="M1131" s="516">
        <v>12.5</v>
      </c>
      <c r="N1131" s="505" t="s">
        <v>1233</v>
      </c>
    </row>
    <row r="1132" spans="1:14" x14ac:dyDescent="0.25">
      <c r="A1132" s="505" t="s">
        <v>3531</v>
      </c>
      <c r="B1132" s="505" t="s">
        <v>3532</v>
      </c>
      <c r="C1132" s="512" t="s">
        <v>8573</v>
      </c>
      <c r="D1132" s="512" t="s">
        <v>7822</v>
      </c>
      <c r="E1132" s="512" t="s">
        <v>8574</v>
      </c>
      <c r="F1132" s="512" t="s">
        <v>8575</v>
      </c>
      <c r="G1132" s="512" t="s">
        <v>8582</v>
      </c>
      <c r="L1132" s="505" t="s">
        <v>1233</v>
      </c>
      <c r="M1132" s="516">
        <v>12.5</v>
      </c>
      <c r="N1132" s="505" t="s">
        <v>1233</v>
      </c>
    </row>
    <row r="1133" spans="1:14" x14ac:dyDescent="0.25">
      <c r="A1133" s="505" t="s">
        <v>3533</v>
      </c>
      <c r="B1133" s="505" t="s">
        <v>3534</v>
      </c>
      <c r="C1133" s="512" t="s">
        <v>8583</v>
      </c>
      <c r="D1133" s="512" t="s">
        <v>7822</v>
      </c>
      <c r="E1133" s="512" t="s">
        <v>8574</v>
      </c>
      <c r="F1133" s="512" t="s">
        <v>8584</v>
      </c>
      <c r="G1133" s="512" t="s">
        <v>8585</v>
      </c>
      <c r="L1133" s="505" t="s">
        <v>1233</v>
      </c>
      <c r="M1133" s="516">
        <v>12.5</v>
      </c>
      <c r="N1133" s="505" t="s">
        <v>1233</v>
      </c>
    </row>
    <row r="1134" spans="1:14" x14ac:dyDescent="0.25">
      <c r="A1134" s="505" t="s">
        <v>3535</v>
      </c>
      <c r="B1134" s="505" t="s">
        <v>3536</v>
      </c>
      <c r="C1134" s="512" t="s">
        <v>8583</v>
      </c>
      <c r="D1134" s="512" t="s">
        <v>8586</v>
      </c>
      <c r="E1134" s="512" t="s">
        <v>8587</v>
      </c>
      <c r="F1134" s="512" t="s">
        <v>8588</v>
      </c>
      <c r="L1134" s="505" t="s">
        <v>2466</v>
      </c>
      <c r="M1134" s="516">
        <v>13.5</v>
      </c>
      <c r="N1134" s="505" t="s">
        <v>2466</v>
      </c>
    </row>
    <row r="1135" spans="1:14" x14ac:dyDescent="0.25">
      <c r="A1135" s="505" t="s">
        <v>3537</v>
      </c>
      <c r="B1135" s="505" t="s">
        <v>3538</v>
      </c>
      <c r="C1135" s="512" t="s">
        <v>8573</v>
      </c>
      <c r="D1135" s="512" t="s">
        <v>8589</v>
      </c>
      <c r="E1135" s="512" t="s">
        <v>8590</v>
      </c>
      <c r="F1135" s="512" t="s">
        <v>8591</v>
      </c>
      <c r="L1135" s="505" t="s">
        <v>2466</v>
      </c>
      <c r="M1135" s="516">
        <v>13.5</v>
      </c>
      <c r="N1135" s="505" t="s">
        <v>2466</v>
      </c>
    </row>
    <row r="1136" spans="1:14" x14ac:dyDescent="0.25">
      <c r="A1136" s="505" t="s">
        <v>3539</v>
      </c>
      <c r="B1136" s="505" t="s">
        <v>3540</v>
      </c>
      <c r="C1136" s="512" t="s">
        <v>8583</v>
      </c>
      <c r="D1136" s="512" t="s">
        <v>8586</v>
      </c>
      <c r="E1136" s="512" t="s">
        <v>8587</v>
      </c>
      <c r="F1136" s="512" t="s">
        <v>8592</v>
      </c>
      <c r="L1136" s="505" t="s">
        <v>2466</v>
      </c>
      <c r="M1136" s="516">
        <v>13.5</v>
      </c>
      <c r="N1136" s="505" t="s">
        <v>2466</v>
      </c>
    </row>
    <row r="1137" spans="1:14" x14ac:dyDescent="0.25">
      <c r="A1137" s="505" t="s">
        <v>3541</v>
      </c>
      <c r="B1137" s="505" t="s">
        <v>3542</v>
      </c>
      <c r="C1137" s="512" t="s">
        <v>8583</v>
      </c>
      <c r="D1137" s="512" t="s">
        <v>8586</v>
      </c>
      <c r="E1137" s="512" t="s">
        <v>8587</v>
      </c>
      <c r="F1137" s="512" t="s">
        <v>8593</v>
      </c>
      <c r="L1137" s="505" t="s">
        <v>2466</v>
      </c>
      <c r="M1137" s="516">
        <v>13.5</v>
      </c>
      <c r="N1137" s="505" t="s">
        <v>2466</v>
      </c>
    </row>
    <row r="1138" spans="1:14" x14ac:dyDescent="0.25">
      <c r="A1138" s="505" t="s">
        <v>3543</v>
      </c>
      <c r="B1138" s="505" t="s">
        <v>3544</v>
      </c>
      <c r="C1138" s="512" t="s">
        <v>8573</v>
      </c>
      <c r="D1138" s="512" t="s">
        <v>8589</v>
      </c>
      <c r="E1138" s="512" t="s">
        <v>8590</v>
      </c>
      <c r="F1138" s="512" t="s">
        <v>8594</v>
      </c>
      <c r="L1138" s="505" t="s">
        <v>2466</v>
      </c>
      <c r="M1138" s="516">
        <v>13.5</v>
      </c>
      <c r="N1138" s="505" t="s">
        <v>2466</v>
      </c>
    </row>
    <row r="1139" spans="1:14" x14ac:dyDescent="0.25">
      <c r="A1139" s="505" t="s">
        <v>3545</v>
      </c>
      <c r="B1139" s="505" t="s">
        <v>3546</v>
      </c>
      <c r="C1139" s="512" t="s">
        <v>8583</v>
      </c>
      <c r="D1139" s="512" t="s">
        <v>8586</v>
      </c>
      <c r="E1139" s="512" t="s">
        <v>8587</v>
      </c>
      <c r="F1139" s="512" t="s">
        <v>8595</v>
      </c>
      <c r="L1139" s="505" t="s">
        <v>2466</v>
      </c>
      <c r="M1139" s="516">
        <v>13.5</v>
      </c>
      <c r="N1139" s="505" t="s">
        <v>2466</v>
      </c>
    </row>
    <row r="1140" spans="1:14" x14ac:dyDescent="0.25">
      <c r="A1140" s="505" t="s">
        <v>3547</v>
      </c>
      <c r="B1140" s="505" t="s">
        <v>3548</v>
      </c>
      <c r="C1140" s="512" t="s">
        <v>8573</v>
      </c>
      <c r="D1140" s="512" t="s">
        <v>8589</v>
      </c>
      <c r="E1140" s="512" t="s">
        <v>8590</v>
      </c>
      <c r="F1140" s="512" t="s">
        <v>8576</v>
      </c>
      <c r="L1140" s="505" t="s">
        <v>2466</v>
      </c>
      <c r="M1140" s="516">
        <v>13.5</v>
      </c>
      <c r="N1140" s="505" t="s">
        <v>2466</v>
      </c>
    </row>
    <row r="1141" spans="1:14" x14ac:dyDescent="0.25">
      <c r="A1141" s="505" t="s">
        <v>3549</v>
      </c>
      <c r="B1141" s="505" t="s">
        <v>3550</v>
      </c>
      <c r="C1141" s="512" t="s">
        <v>8583</v>
      </c>
      <c r="D1141" s="512" t="s">
        <v>8586</v>
      </c>
      <c r="E1141" s="512" t="s">
        <v>8587</v>
      </c>
      <c r="F1141" s="512" t="s">
        <v>8596</v>
      </c>
      <c r="L1141" s="505" t="s">
        <v>2466</v>
      </c>
      <c r="M1141" s="516">
        <v>13.5</v>
      </c>
      <c r="N1141" s="505" t="s">
        <v>2466</v>
      </c>
    </row>
    <row r="1142" spans="1:14" x14ac:dyDescent="0.25">
      <c r="A1142" s="505" t="s">
        <v>3551</v>
      </c>
      <c r="B1142" s="505" t="s">
        <v>3552</v>
      </c>
      <c r="C1142" s="512" t="s">
        <v>8573</v>
      </c>
      <c r="D1142" s="512" t="s">
        <v>8589</v>
      </c>
      <c r="E1142" s="512" t="s">
        <v>8590</v>
      </c>
      <c r="F1142" s="512" t="s">
        <v>8578</v>
      </c>
      <c r="L1142" s="505" t="s">
        <v>2466</v>
      </c>
      <c r="M1142" s="516">
        <v>13.5</v>
      </c>
      <c r="N1142" s="505" t="s">
        <v>2466</v>
      </c>
    </row>
    <row r="1143" spans="1:14" x14ac:dyDescent="0.25">
      <c r="A1143" s="505" t="s">
        <v>3553</v>
      </c>
      <c r="B1143" s="505" t="s">
        <v>3554</v>
      </c>
      <c r="C1143" s="512" t="s">
        <v>8583</v>
      </c>
      <c r="D1143" s="512" t="s">
        <v>8586</v>
      </c>
      <c r="E1143" s="512" t="s">
        <v>8587</v>
      </c>
      <c r="F1143" s="512" t="s">
        <v>8597</v>
      </c>
      <c r="L1143" s="505" t="s">
        <v>2466</v>
      </c>
      <c r="M1143" s="516">
        <v>13.5</v>
      </c>
      <c r="N1143" s="505" t="s">
        <v>2466</v>
      </c>
    </row>
    <row r="1144" spans="1:14" x14ac:dyDescent="0.25">
      <c r="A1144" s="505" t="s">
        <v>3555</v>
      </c>
      <c r="B1144" s="505" t="s">
        <v>3556</v>
      </c>
      <c r="C1144" s="512" t="s">
        <v>8573</v>
      </c>
      <c r="D1144" s="512" t="s">
        <v>8589</v>
      </c>
      <c r="E1144" s="512" t="s">
        <v>8590</v>
      </c>
      <c r="F1144" s="512" t="s">
        <v>8598</v>
      </c>
      <c r="L1144" s="505" t="s">
        <v>2466</v>
      </c>
      <c r="M1144" s="516">
        <v>13.5</v>
      </c>
      <c r="N1144" s="505" t="s">
        <v>2466</v>
      </c>
    </row>
    <row r="1145" spans="1:14" x14ac:dyDescent="0.25">
      <c r="A1145" s="505" t="s">
        <v>3557</v>
      </c>
      <c r="B1145" s="505" t="s">
        <v>3558</v>
      </c>
      <c r="C1145" s="512" t="s">
        <v>8573</v>
      </c>
      <c r="D1145" s="512" t="s">
        <v>8589</v>
      </c>
      <c r="E1145" s="512" t="s">
        <v>8590</v>
      </c>
      <c r="F1145" s="512" t="s">
        <v>8599</v>
      </c>
      <c r="L1145" s="505" t="s">
        <v>2466</v>
      </c>
      <c r="M1145" s="516">
        <v>13.5</v>
      </c>
      <c r="N1145" s="505" t="s">
        <v>2466</v>
      </c>
    </row>
    <row r="1146" spans="1:14" x14ac:dyDescent="0.25">
      <c r="A1146" s="505" t="s">
        <v>3559</v>
      </c>
      <c r="B1146" s="505" t="s">
        <v>3560</v>
      </c>
      <c r="C1146" s="512" t="s">
        <v>8573</v>
      </c>
      <c r="D1146" s="512" t="s">
        <v>8589</v>
      </c>
      <c r="E1146" s="512" t="s">
        <v>8590</v>
      </c>
      <c r="F1146" s="512" t="s">
        <v>8600</v>
      </c>
      <c r="L1146" s="505" t="s">
        <v>2466</v>
      </c>
      <c r="M1146" s="516">
        <v>13.5</v>
      </c>
      <c r="N1146" s="505" t="s">
        <v>2466</v>
      </c>
    </row>
    <row r="1147" spans="1:14" x14ac:dyDescent="0.25">
      <c r="A1147" s="505" t="s">
        <v>3561</v>
      </c>
      <c r="B1147" s="505" t="s">
        <v>3562</v>
      </c>
      <c r="C1147" s="512" t="s">
        <v>8573</v>
      </c>
      <c r="D1147" s="512" t="s">
        <v>8589</v>
      </c>
      <c r="E1147" s="512" t="s">
        <v>8590</v>
      </c>
      <c r="F1147" s="512" t="s">
        <v>8601</v>
      </c>
      <c r="L1147" s="505" t="s">
        <v>2466</v>
      </c>
      <c r="M1147" s="516">
        <v>13.5</v>
      </c>
      <c r="N1147" s="505" t="s">
        <v>2466</v>
      </c>
    </row>
    <row r="1148" spans="1:14" x14ac:dyDescent="0.25">
      <c r="A1148" s="505" t="s">
        <v>3563</v>
      </c>
      <c r="B1148" s="505" t="s">
        <v>3564</v>
      </c>
      <c r="C1148" s="512" t="s">
        <v>8583</v>
      </c>
      <c r="D1148" s="512" t="s">
        <v>8586</v>
      </c>
      <c r="E1148" s="512" t="s">
        <v>8587</v>
      </c>
      <c r="F1148" s="512" t="s">
        <v>8602</v>
      </c>
      <c r="L1148" s="505" t="s">
        <v>2466</v>
      </c>
      <c r="M1148" s="516">
        <v>13.5</v>
      </c>
      <c r="N1148" s="505" t="s">
        <v>2466</v>
      </c>
    </row>
    <row r="1149" spans="1:14" x14ac:dyDescent="0.25">
      <c r="A1149" s="505" t="s">
        <v>3565</v>
      </c>
      <c r="B1149" s="505" t="s">
        <v>3566</v>
      </c>
      <c r="C1149" s="512" t="s">
        <v>8583</v>
      </c>
      <c r="D1149" s="512" t="s">
        <v>8586</v>
      </c>
      <c r="E1149" s="512" t="s">
        <v>8587</v>
      </c>
      <c r="F1149" s="512" t="s">
        <v>8581</v>
      </c>
      <c r="L1149" s="505" t="s">
        <v>2466</v>
      </c>
      <c r="M1149" s="516">
        <v>13.5</v>
      </c>
      <c r="N1149" s="505" t="s">
        <v>2466</v>
      </c>
    </row>
    <row r="1150" spans="1:14" x14ac:dyDescent="0.25">
      <c r="A1150" s="505" t="s">
        <v>3567</v>
      </c>
      <c r="B1150" s="505" t="s">
        <v>3568</v>
      </c>
      <c r="C1150" s="512" t="s">
        <v>8583</v>
      </c>
      <c r="D1150" s="512" t="s">
        <v>8586</v>
      </c>
      <c r="E1150" s="512" t="s">
        <v>8587</v>
      </c>
      <c r="F1150" s="512" t="s">
        <v>8603</v>
      </c>
      <c r="L1150" s="505" t="s">
        <v>2466</v>
      </c>
      <c r="M1150" s="516">
        <v>13.5</v>
      </c>
      <c r="N1150" s="505" t="s">
        <v>2466</v>
      </c>
    </row>
    <row r="1151" spans="1:14" x14ac:dyDescent="0.25">
      <c r="A1151" s="505" t="s">
        <v>3569</v>
      </c>
      <c r="B1151" s="505" t="s">
        <v>3570</v>
      </c>
      <c r="C1151" s="512" t="s">
        <v>8583</v>
      </c>
      <c r="D1151" s="512" t="s">
        <v>8586</v>
      </c>
      <c r="E1151" s="512" t="s">
        <v>8587</v>
      </c>
      <c r="F1151" s="512" t="s">
        <v>8582</v>
      </c>
      <c r="L1151" s="505" t="s">
        <v>2466</v>
      </c>
      <c r="M1151" s="516">
        <v>13.5</v>
      </c>
      <c r="N1151" s="505" t="s">
        <v>2466</v>
      </c>
    </row>
    <row r="1152" spans="1:14" x14ac:dyDescent="0.25">
      <c r="A1152" s="505" t="s">
        <v>3571</v>
      </c>
      <c r="B1152" s="505" t="s">
        <v>3572</v>
      </c>
      <c r="C1152" s="512" t="s">
        <v>8573</v>
      </c>
      <c r="D1152" s="512" t="s">
        <v>8589</v>
      </c>
      <c r="E1152" s="512" t="s">
        <v>8590</v>
      </c>
      <c r="F1152" s="512" t="s">
        <v>8604</v>
      </c>
      <c r="L1152" s="505" t="s">
        <v>2466</v>
      </c>
      <c r="M1152" s="516">
        <v>13.5</v>
      </c>
      <c r="N1152" s="505" t="s">
        <v>2466</v>
      </c>
    </row>
    <row r="1153" spans="1:14" x14ac:dyDescent="0.25">
      <c r="A1153" s="505" t="s">
        <v>3573</v>
      </c>
      <c r="B1153" s="505" t="s">
        <v>3574</v>
      </c>
      <c r="C1153" s="512" t="s">
        <v>8583</v>
      </c>
      <c r="D1153" s="512" t="s">
        <v>8586</v>
      </c>
      <c r="E1153" s="512" t="s">
        <v>8587</v>
      </c>
      <c r="F1153" s="512" t="s">
        <v>8605</v>
      </c>
      <c r="L1153" s="505" t="s">
        <v>2466</v>
      </c>
      <c r="M1153" s="516">
        <v>13.5</v>
      </c>
      <c r="N1153" s="505" t="s">
        <v>3575</v>
      </c>
    </row>
    <row r="1154" spans="1:14" x14ac:dyDescent="0.25">
      <c r="A1154" s="505" t="s">
        <v>3576</v>
      </c>
      <c r="B1154" s="505" t="s">
        <v>3577</v>
      </c>
      <c r="C1154" s="512" t="s">
        <v>8583</v>
      </c>
      <c r="D1154" s="512" t="s">
        <v>8586</v>
      </c>
      <c r="E1154" s="512" t="s">
        <v>8587</v>
      </c>
      <c r="F1154" s="512" t="s">
        <v>8606</v>
      </c>
      <c r="G1154" s="512" t="s">
        <v>483</v>
      </c>
      <c r="L1154" s="505" t="s">
        <v>2466</v>
      </c>
      <c r="M1154" s="516">
        <v>13.5</v>
      </c>
      <c r="N1154" s="505" t="s">
        <v>3575</v>
      </c>
    </row>
    <row r="1155" spans="1:14" x14ac:dyDescent="0.25">
      <c r="A1155" s="505" t="s">
        <v>3578</v>
      </c>
      <c r="B1155" s="505" t="s">
        <v>3579</v>
      </c>
      <c r="C1155" s="512" t="s">
        <v>8583</v>
      </c>
      <c r="D1155" s="512" t="s">
        <v>8586</v>
      </c>
      <c r="E1155" s="512" t="s">
        <v>8587</v>
      </c>
      <c r="F1155" s="512" t="s">
        <v>8607</v>
      </c>
      <c r="L1155" s="505" t="s">
        <v>2466</v>
      </c>
      <c r="M1155" s="516">
        <v>13.5</v>
      </c>
      <c r="N1155" s="505" t="s">
        <v>3575</v>
      </c>
    </row>
    <row r="1156" spans="1:14" x14ac:dyDescent="0.25">
      <c r="A1156" s="505" t="s">
        <v>3580</v>
      </c>
      <c r="B1156" s="505" t="s">
        <v>3581</v>
      </c>
      <c r="C1156" s="512" t="s">
        <v>8573</v>
      </c>
      <c r="D1156" s="512" t="s">
        <v>8589</v>
      </c>
      <c r="E1156" s="512" t="s">
        <v>8590</v>
      </c>
      <c r="F1156" s="512" t="s">
        <v>8608</v>
      </c>
      <c r="L1156" s="505" t="s">
        <v>2466</v>
      </c>
      <c r="M1156" s="516">
        <v>13.5</v>
      </c>
      <c r="N1156" s="505" t="s">
        <v>2466</v>
      </c>
    </row>
    <row r="1157" spans="1:14" x14ac:dyDescent="0.25">
      <c r="A1157" s="505" t="s">
        <v>3582</v>
      </c>
      <c r="B1157" s="505" t="s">
        <v>3583</v>
      </c>
      <c r="C1157" s="512" t="s">
        <v>8573</v>
      </c>
      <c r="D1157" s="512" t="s">
        <v>8589</v>
      </c>
      <c r="E1157" s="512" t="s">
        <v>8590</v>
      </c>
      <c r="F1157" s="512" t="s">
        <v>8609</v>
      </c>
      <c r="L1157" s="505" t="s">
        <v>2466</v>
      </c>
      <c r="M1157" s="516">
        <v>13.5</v>
      </c>
      <c r="N1157" s="505" t="s">
        <v>2466</v>
      </c>
    </row>
    <row r="1158" spans="1:14" x14ac:dyDescent="0.25">
      <c r="A1158" s="505" t="s">
        <v>3584</v>
      </c>
      <c r="B1158" s="505" t="s">
        <v>3585</v>
      </c>
      <c r="C1158" s="512" t="s">
        <v>8573</v>
      </c>
      <c r="D1158" s="512" t="s">
        <v>8589</v>
      </c>
      <c r="E1158" s="512" t="s">
        <v>8590</v>
      </c>
      <c r="F1158" s="512" t="s">
        <v>8610</v>
      </c>
      <c r="L1158" s="505" t="s">
        <v>2466</v>
      </c>
      <c r="M1158" s="516">
        <v>13.5</v>
      </c>
      <c r="N1158" s="505" t="s">
        <v>2466</v>
      </c>
    </row>
    <row r="1159" spans="1:14" x14ac:dyDescent="0.25">
      <c r="A1159" s="505" t="s">
        <v>3586</v>
      </c>
      <c r="B1159" s="505" t="s">
        <v>3587</v>
      </c>
      <c r="C1159" s="512" t="s">
        <v>8573</v>
      </c>
      <c r="D1159" s="512" t="s">
        <v>8589</v>
      </c>
      <c r="E1159" s="512" t="s">
        <v>8590</v>
      </c>
      <c r="F1159" s="512" t="s">
        <v>8611</v>
      </c>
      <c r="L1159" s="505" t="s">
        <v>2466</v>
      </c>
      <c r="M1159" s="516">
        <v>13.5</v>
      </c>
      <c r="N1159" s="505" t="s">
        <v>2466</v>
      </c>
    </row>
    <row r="1160" spans="1:14" x14ac:dyDescent="0.25">
      <c r="A1160" s="505" t="s">
        <v>3588</v>
      </c>
      <c r="B1160" s="505" t="s">
        <v>3589</v>
      </c>
      <c r="C1160" s="512" t="s">
        <v>8573</v>
      </c>
      <c r="D1160" s="512" t="s">
        <v>8589</v>
      </c>
      <c r="E1160" s="512" t="s">
        <v>8590</v>
      </c>
      <c r="F1160" s="512" t="s">
        <v>8612</v>
      </c>
      <c r="L1160" s="505" t="s">
        <v>2466</v>
      </c>
      <c r="M1160" s="516">
        <v>13.5</v>
      </c>
      <c r="N1160" s="505" t="s">
        <v>2466</v>
      </c>
    </row>
    <row r="1161" spans="1:14" x14ac:dyDescent="0.25">
      <c r="A1161" s="505" t="s">
        <v>3590</v>
      </c>
      <c r="B1161" s="505" t="s">
        <v>3591</v>
      </c>
      <c r="C1161" s="512" t="s">
        <v>8573</v>
      </c>
      <c r="D1161" s="512" t="s">
        <v>8589</v>
      </c>
      <c r="E1161" s="512" t="s">
        <v>8590</v>
      </c>
      <c r="F1161" s="512" t="s">
        <v>8613</v>
      </c>
      <c r="L1161" s="505" t="s">
        <v>2466</v>
      </c>
      <c r="M1161" s="516">
        <v>13.5</v>
      </c>
      <c r="N1161" s="505" t="s">
        <v>2466</v>
      </c>
    </row>
    <row r="1162" spans="1:14" x14ac:dyDescent="0.25">
      <c r="A1162" s="505" t="s">
        <v>3592</v>
      </c>
      <c r="B1162" s="505" t="s">
        <v>3593</v>
      </c>
      <c r="C1162" s="512" t="s">
        <v>8573</v>
      </c>
      <c r="D1162" s="512" t="s">
        <v>8589</v>
      </c>
      <c r="E1162" s="512" t="s">
        <v>8590</v>
      </c>
      <c r="F1162" s="512" t="s">
        <v>8614</v>
      </c>
      <c r="L1162" s="505" t="s">
        <v>2466</v>
      </c>
      <c r="M1162" s="516">
        <v>13.5</v>
      </c>
      <c r="N1162" s="505" t="s">
        <v>2466</v>
      </c>
    </row>
    <row r="1163" spans="1:14" x14ac:dyDescent="0.25">
      <c r="A1163" s="505" t="s">
        <v>3594</v>
      </c>
      <c r="B1163" s="505" t="s">
        <v>3595</v>
      </c>
      <c r="C1163" s="512" t="s">
        <v>8573</v>
      </c>
      <c r="D1163" s="512" t="s">
        <v>8589</v>
      </c>
      <c r="E1163" s="512" t="s">
        <v>8590</v>
      </c>
      <c r="F1163" s="512" t="s">
        <v>8615</v>
      </c>
      <c r="L1163" s="505" t="s">
        <v>2466</v>
      </c>
      <c r="M1163" s="516">
        <v>13.5</v>
      </c>
      <c r="N1163" s="505" t="s">
        <v>2466</v>
      </c>
    </row>
    <row r="1164" spans="1:14" x14ac:dyDescent="0.25">
      <c r="A1164" s="505" t="s">
        <v>3596</v>
      </c>
      <c r="B1164" s="505" t="s">
        <v>3597</v>
      </c>
      <c r="C1164" s="512" t="s">
        <v>8573</v>
      </c>
      <c r="D1164" s="512" t="s">
        <v>8589</v>
      </c>
      <c r="E1164" s="512" t="s">
        <v>8590</v>
      </c>
      <c r="F1164" s="512" t="s">
        <v>8616</v>
      </c>
      <c r="L1164" s="505" t="s">
        <v>2466</v>
      </c>
      <c r="M1164" s="516">
        <v>13.5</v>
      </c>
      <c r="N1164" s="505" t="s">
        <v>2466</v>
      </c>
    </row>
    <row r="1165" spans="1:14" x14ac:dyDescent="0.25">
      <c r="A1165" s="505" t="s">
        <v>3598</v>
      </c>
      <c r="B1165" s="505" t="s">
        <v>3599</v>
      </c>
      <c r="C1165" s="512" t="s">
        <v>8573</v>
      </c>
      <c r="D1165" s="512" t="s">
        <v>8589</v>
      </c>
      <c r="E1165" s="512" t="s">
        <v>8590</v>
      </c>
      <c r="F1165" s="512" t="s">
        <v>8617</v>
      </c>
      <c r="L1165" s="505" t="s">
        <v>2466</v>
      </c>
      <c r="M1165" s="516">
        <v>13.5</v>
      </c>
      <c r="N1165" s="505" t="s">
        <v>2466</v>
      </c>
    </row>
    <row r="1166" spans="1:14" x14ac:dyDescent="0.25">
      <c r="A1166" s="505" t="s">
        <v>3600</v>
      </c>
      <c r="B1166" s="505" t="s">
        <v>3601</v>
      </c>
      <c r="C1166" s="512" t="s">
        <v>8573</v>
      </c>
      <c r="D1166" s="512" t="s">
        <v>8589</v>
      </c>
      <c r="E1166" s="512" t="s">
        <v>8590</v>
      </c>
      <c r="F1166" s="512" t="s">
        <v>8618</v>
      </c>
      <c r="L1166" s="505" t="s">
        <v>2466</v>
      </c>
      <c r="M1166" s="516">
        <v>13.5</v>
      </c>
      <c r="N1166" s="505" t="s">
        <v>2466</v>
      </c>
    </row>
    <row r="1167" spans="1:14" x14ac:dyDescent="0.25">
      <c r="A1167" s="505" t="s">
        <v>3602</v>
      </c>
      <c r="B1167" s="505" t="s">
        <v>3603</v>
      </c>
      <c r="C1167" s="512" t="s">
        <v>8573</v>
      </c>
      <c r="D1167" s="512" t="s">
        <v>8589</v>
      </c>
      <c r="E1167" s="512" t="s">
        <v>8590</v>
      </c>
      <c r="F1167" s="512" t="s">
        <v>8619</v>
      </c>
      <c r="L1167" s="505" t="s">
        <v>2466</v>
      </c>
      <c r="M1167" s="516">
        <v>13.5</v>
      </c>
      <c r="N1167" s="505" t="s">
        <v>2466</v>
      </c>
    </row>
    <row r="1168" spans="1:14" x14ac:dyDescent="0.25">
      <c r="A1168" s="505" t="s">
        <v>3604</v>
      </c>
      <c r="B1168" s="505" t="s">
        <v>3605</v>
      </c>
      <c r="C1168" s="512" t="s">
        <v>8573</v>
      </c>
      <c r="D1168" s="512" t="s">
        <v>8589</v>
      </c>
      <c r="E1168" s="512" t="s">
        <v>8590</v>
      </c>
      <c r="F1168" s="512" t="s">
        <v>8620</v>
      </c>
      <c r="L1168" s="505" t="s">
        <v>2466</v>
      </c>
      <c r="M1168" s="516">
        <v>13.5</v>
      </c>
      <c r="N1168" s="505" t="s">
        <v>2466</v>
      </c>
    </row>
    <row r="1169" spans="1:14" x14ac:dyDescent="0.25">
      <c r="A1169" s="505" t="s">
        <v>3606</v>
      </c>
      <c r="B1169" s="505" t="s">
        <v>3607</v>
      </c>
      <c r="C1169" s="512" t="s">
        <v>8573</v>
      </c>
      <c r="D1169" s="512" t="s">
        <v>8589</v>
      </c>
      <c r="E1169" s="512" t="s">
        <v>8590</v>
      </c>
      <c r="F1169" s="512" t="s">
        <v>8621</v>
      </c>
      <c r="L1169" s="505" t="s">
        <v>2466</v>
      </c>
      <c r="M1169" s="516">
        <v>13.5</v>
      </c>
      <c r="N1169" s="505" t="s">
        <v>2466</v>
      </c>
    </row>
    <row r="1170" spans="1:14" x14ac:dyDescent="0.25">
      <c r="A1170" s="505" t="s">
        <v>3608</v>
      </c>
      <c r="B1170" s="505" t="s">
        <v>3609</v>
      </c>
      <c r="C1170" s="512" t="s">
        <v>8573</v>
      </c>
      <c r="D1170" s="512" t="s">
        <v>8589</v>
      </c>
      <c r="E1170" s="512" t="s">
        <v>8590</v>
      </c>
      <c r="F1170" s="512" t="s">
        <v>8622</v>
      </c>
      <c r="L1170" s="505" t="s">
        <v>2466</v>
      </c>
      <c r="M1170" s="516">
        <v>13.5</v>
      </c>
      <c r="N1170" s="505" t="s">
        <v>2466</v>
      </c>
    </row>
    <row r="1171" spans="1:14" x14ac:dyDescent="0.25">
      <c r="A1171" s="505" t="s">
        <v>3610</v>
      </c>
      <c r="B1171" s="505" t="s">
        <v>3611</v>
      </c>
      <c r="C1171" s="512" t="s">
        <v>8573</v>
      </c>
      <c r="D1171" s="512" t="s">
        <v>8589</v>
      </c>
      <c r="E1171" s="512" t="s">
        <v>8590</v>
      </c>
      <c r="F1171" s="512" t="s">
        <v>8623</v>
      </c>
      <c r="L1171" s="505" t="s">
        <v>2466</v>
      </c>
      <c r="M1171" s="516">
        <v>13.5</v>
      </c>
      <c r="N1171" s="505" t="s">
        <v>2466</v>
      </c>
    </row>
    <row r="1172" spans="1:14" x14ac:dyDescent="0.25">
      <c r="A1172" s="505" t="s">
        <v>3612</v>
      </c>
      <c r="B1172" s="505" t="s">
        <v>3613</v>
      </c>
      <c r="C1172" s="512" t="s">
        <v>8583</v>
      </c>
      <c r="D1172" s="512" t="s">
        <v>8586</v>
      </c>
      <c r="E1172" s="512" t="s">
        <v>8587</v>
      </c>
      <c r="F1172" s="512" t="s">
        <v>8624</v>
      </c>
      <c r="L1172" s="505" t="s">
        <v>2466</v>
      </c>
      <c r="M1172" s="516">
        <v>13.5</v>
      </c>
      <c r="N1172" s="505" t="s">
        <v>2466</v>
      </c>
    </row>
    <row r="1173" spans="1:14" x14ac:dyDescent="0.25">
      <c r="A1173" s="505" t="s">
        <v>3614</v>
      </c>
      <c r="B1173" s="505" t="s">
        <v>3615</v>
      </c>
      <c r="C1173" s="512" t="s">
        <v>8583</v>
      </c>
      <c r="D1173" s="512" t="s">
        <v>8586</v>
      </c>
      <c r="E1173" s="512" t="s">
        <v>8587</v>
      </c>
      <c r="F1173" s="512" t="s">
        <v>8625</v>
      </c>
      <c r="L1173" s="505" t="s">
        <v>2466</v>
      </c>
      <c r="M1173" s="516">
        <v>13.5</v>
      </c>
      <c r="N1173" s="505" t="s">
        <v>2466</v>
      </c>
    </row>
    <row r="1174" spans="1:14" x14ac:dyDescent="0.25">
      <c r="A1174" s="505" t="s">
        <v>3616</v>
      </c>
      <c r="B1174" s="505" t="s">
        <v>3617</v>
      </c>
      <c r="C1174" s="512" t="s">
        <v>8583</v>
      </c>
      <c r="D1174" s="512" t="s">
        <v>8586</v>
      </c>
      <c r="E1174" s="512" t="s">
        <v>8587</v>
      </c>
      <c r="F1174" s="512" t="s">
        <v>8626</v>
      </c>
      <c r="L1174" s="505" t="s">
        <v>2466</v>
      </c>
      <c r="M1174" s="516">
        <v>13.5</v>
      </c>
      <c r="N1174" s="505" t="s">
        <v>2466</v>
      </c>
    </row>
    <row r="1175" spans="1:14" x14ac:dyDescent="0.25">
      <c r="A1175" s="505" t="s">
        <v>3618</v>
      </c>
      <c r="B1175" s="505" t="s">
        <v>3619</v>
      </c>
      <c r="C1175" s="512" t="s">
        <v>8583</v>
      </c>
      <c r="D1175" s="512" t="s">
        <v>8586</v>
      </c>
      <c r="E1175" s="512" t="s">
        <v>8587</v>
      </c>
      <c r="F1175" s="512" t="s">
        <v>8627</v>
      </c>
      <c r="L1175" s="505" t="s">
        <v>2466</v>
      </c>
      <c r="M1175" s="516">
        <v>13.5</v>
      </c>
      <c r="N1175" s="505" t="s">
        <v>2466</v>
      </c>
    </row>
    <row r="1176" spans="1:14" x14ac:dyDescent="0.25">
      <c r="A1176" s="505" t="s">
        <v>3620</v>
      </c>
      <c r="B1176" s="505" t="s">
        <v>3621</v>
      </c>
      <c r="C1176" s="512" t="s">
        <v>8583</v>
      </c>
      <c r="D1176" s="512" t="s">
        <v>8586</v>
      </c>
      <c r="E1176" s="512" t="s">
        <v>8587</v>
      </c>
      <c r="F1176" s="512" t="s">
        <v>8628</v>
      </c>
      <c r="L1176" s="505" t="s">
        <v>2466</v>
      </c>
      <c r="M1176" s="516">
        <v>13.5</v>
      </c>
      <c r="N1176" s="505" t="s">
        <v>2466</v>
      </c>
    </row>
    <row r="1177" spans="1:14" x14ac:dyDescent="0.25">
      <c r="A1177" s="505" t="s">
        <v>3622</v>
      </c>
      <c r="B1177" s="505" t="s">
        <v>3623</v>
      </c>
      <c r="C1177" s="512" t="s">
        <v>8573</v>
      </c>
      <c r="D1177" s="512" t="s">
        <v>8589</v>
      </c>
      <c r="E1177" s="512" t="s">
        <v>8590</v>
      </c>
      <c r="F1177" s="512" t="s">
        <v>8629</v>
      </c>
      <c r="G1177" s="512" t="s">
        <v>8630</v>
      </c>
      <c r="L1177" s="505" t="s">
        <v>2466</v>
      </c>
      <c r="M1177" s="516">
        <v>13.5</v>
      </c>
      <c r="N1177" s="505" t="s">
        <v>2466</v>
      </c>
    </row>
    <row r="1178" spans="1:14" x14ac:dyDescent="0.25">
      <c r="A1178" s="505" t="s">
        <v>3624</v>
      </c>
      <c r="B1178" s="505" t="s">
        <v>3625</v>
      </c>
      <c r="C1178" s="512" t="s">
        <v>8583</v>
      </c>
      <c r="D1178" s="512" t="s">
        <v>8036</v>
      </c>
      <c r="E1178" s="512" t="s">
        <v>8417</v>
      </c>
      <c r="F1178" s="512" t="s">
        <v>8582</v>
      </c>
      <c r="L1178" s="505" t="s">
        <v>2466</v>
      </c>
      <c r="M1178" s="516">
        <v>13.5</v>
      </c>
      <c r="N1178" s="505" t="s">
        <v>2466</v>
      </c>
    </row>
    <row r="1179" spans="1:14" x14ac:dyDescent="0.25">
      <c r="A1179" s="505" t="s">
        <v>3626</v>
      </c>
      <c r="B1179" s="505" t="s">
        <v>3627</v>
      </c>
      <c r="C1179" s="512" t="s">
        <v>8573</v>
      </c>
      <c r="D1179" s="512" t="s">
        <v>8036</v>
      </c>
      <c r="E1179" s="512" t="s">
        <v>8410</v>
      </c>
      <c r="F1179" s="512" t="s">
        <v>8608</v>
      </c>
      <c r="L1179" s="505" t="s">
        <v>2466</v>
      </c>
      <c r="M1179" s="516">
        <v>13.5</v>
      </c>
      <c r="N1179" s="505" t="s">
        <v>2466</v>
      </c>
    </row>
    <row r="1180" spans="1:14" s="543" customFormat="1" x14ac:dyDescent="0.25">
      <c r="A1180" s="543" t="s">
        <v>3628</v>
      </c>
      <c r="B1180" s="543" t="s">
        <v>3629</v>
      </c>
      <c r="C1180" s="544" t="s">
        <v>8486</v>
      </c>
      <c r="D1180" s="544" t="s">
        <v>8351</v>
      </c>
      <c r="E1180" s="544" t="s">
        <v>8275</v>
      </c>
      <c r="F1180" s="544" t="s">
        <v>8631</v>
      </c>
      <c r="G1180" s="544" t="s">
        <v>7567</v>
      </c>
      <c r="H1180" s="544" t="s">
        <v>7525</v>
      </c>
      <c r="I1180" s="544"/>
      <c r="L1180" s="543" t="s">
        <v>2737</v>
      </c>
      <c r="M1180" s="545">
        <v>34.299999999999997</v>
      </c>
      <c r="N1180" s="543" t="s">
        <v>2737</v>
      </c>
    </row>
    <row r="1181" spans="1:14" s="543" customFormat="1" x14ac:dyDescent="0.25">
      <c r="A1181" s="543" t="s">
        <v>3630</v>
      </c>
      <c r="B1181" s="543" t="s">
        <v>3631</v>
      </c>
      <c r="C1181" s="544" t="s">
        <v>8486</v>
      </c>
      <c r="D1181" s="544" t="s">
        <v>8351</v>
      </c>
      <c r="E1181" s="544" t="s">
        <v>8275</v>
      </c>
      <c r="F1181" s="544" t="s">
        <v>8631</v>
      </c>
      <c r="G1181" s="544" t="s">
        <v>8354</v>
      </c>
      <c r="H1181" s="544" t="s">
        <v>7595</v>
      </c>
      <c r="I1181" s="544"/>
      <c r="L1181" s="543" t="s">
        <v>2737</v>
      </c>
      <c r="M1181" s="545">
        <v>34.299999999999997</v>
      </c>
      <c r="N1181" s="543" t="s">
        <v>2737</v>
      </c>
    </row>
    <row r="1182" spans="1:14" s="543" customFormat="1" x14ac:dyDescent="0.25">
      <c r="A1182" s="543" t="s">
        <v>3632</v>
      </c>
      <c r="B1182" s="543" t="s">
        <v>3633</v>
      </c>
      <c r="C1182" s="544" t="s">
        <v>8486</v>
      </c>
      <c r="D1182" s="544" t="s">
        <v>8351</v>
      </c>
      <c r="E1182" s="544" t="s">
        <v>8275</v>
      </c>
      <c r="F1182" s="544" t="s">
        <v>8631</v>
      </c>
      <c r="G1182" s="544" t="s">
        <v>7926</v>
      </c>
      <c r="H1182" s="544" t="s">
        <v>8468</v>
      </c>
      <c r="I1182" s="544"/>
      <c r="L1182" s="543" t="s">
        <v>2737</v>
      </c>
      <c r="M1182" s="545">
        <v>34.299999999999997</v>
      </c>
      <c r="N1182" s="543" t="s">
        <v>2737</v>
      </c>
    </row>
    <row r="1183" spans="1:14" s="543" customFormat="1" x14ac:dyDescent="0.25">
      <c r="A1183" s="543" t="s">
        <v>3634</v>
      </c>
      <c r="B1183" s="543" t="s">
        <v>3635</v>
      </c>
      <c r="C1183" s="544" t="s">
        <v>8486</v>
      </c>
      <c r="D1183" s="544" t="s">
        <v>8351</v>
      </c>
      <c r="E1183" s="544" t="s">
        <v>8275</v>
      </c>
      <c r="F1183" s="544" t="s">
        <v>8631</v>
      </c>
      <c r="G1183" s="544" t="s">
        <v>8415</v>
      </c>
      <c r="H1183" s="544" t="s">
        <v>8632</v>
      </c>
      <c r="I1183" s="544"/>
      <c r="L1183" s="543" t="s">
        <v>2737</v>
      </c>
      <c r="M1183" s="545">
        <v>34.299999999999997</v>
      </c>
      <c r="N1183" s="543" t="s">
        <v>2737</v>
      </c>
    </row>
    <row r="1184" spans="1:14" s="543" customFormat="1" x14ac:dyDescent="0.25">
      <c r="A1184" s="543" t="s">
        <v>3636</v>
      </c>
      <c r="B1184" s="543" t="s">
        <v>3637</v>
      </c>
      <c r="C1184" s="544" t="s">
        <v>8486</v>
      </c>
      <c r="D1184" s="544" t="s">
        <v>8351</v>
      </c>
      <c r="E1184" s="544" t="s">
        <v>8275</v>
      </c>
      <c r="F1184" s="544" t="s">
        <v>8631</v>
      </c>
      <c r="G1184" s="544" t="s">
        <v>8633</v>
      </c>
      <c r="H1184" s="544" t="s">
        <v>7999</v>
      </c>
      <c r="I1184" s="544"/>
      <c r="L1184" s="543" t="s">
        <v>2737</v>
      </c>
      <c r="M1184" s="545">
        <v>34.299999999999997</v>
      </c>
      <c r="N1184" s="543" t="s">
        <v>2737</v>
      </c>
    </row>
    <row r="1185" spans="1:14" s="543" customFormat="1" x14ac:dyDescent="0.25">
      <c r="A1185" s="543" t="s">
        <v>3638</v>
      </c>
      <c r="B1185" s="543" t="s">
        <v>3639</v>
      </c>
      <c r="C1185" s="544" t="s">
        <v>8486</v>
      </c>
      <c r="D1185" s="544" t="s">
        <v>8351</v>
      </c>
      <c r="E1185" s="544" t="s">
        <v>8275</v>
      </c>
      <c r="F1185" s="544" t="s">
        <v>8631</v>
      </c>
      <c r="G1185" s="544" t="s">
        <v>7932</v>
      </c>
      <c r="H1185" s="544"/>
      <c r="I1185" s="544"/>
      <c r="L1185" s="543" t="s">
        <v>2737</v>
      </c>
      <c r="M1185" s="545">
        <v>34.299999999999997</v>
      </c>
      <c r="N1185" s="543" t="s">
        <v>2737</v>
      </c>
    </row>
    <row r="1186" spans="1:14" s="543" customFormat="1" x14ac:dyDescent="0.25">
      <c r="A1186" s="543" t="s">
        <v>3640</v>
      </c>
      <c r="B1186" s="543" t="s">
        <v>3641</v>
      </c>
      <c r="C1186" s="544" t="s">
        <v>8486</v>
      </c>
      <c r="D1186" s="544" t="s">
        <v>8351</v>
      </c>
      <c r="E1186" s="544" t="s">
        <v>8275</v>
      </c>
      <c r="F1186" s="544" t="s">
        <v>8631</v>
      </c>
      <c r="G1186" s="544" t="s">
        <v>8470</v>
      </c>
      <c r="H1186" s="544"/>
      <c r="I1186" s="544"/>
      <c r="L1186" s="543" t="s">
        <v>2737</v>
      </c>
      <c r="M1186" s="545">
        <v>34.299999999999997</v>
      </c>
      <c r="N1186" s="543" t="s">
        <v>2737</v>
      </c>
    </row>
    <row r="1187" spans="1:14" s="543" customFormat="1" x14ac:dyDescent="0.25">
      <c r="A1187" s="543" t="s">
        <v>3642</v>
      </c>
      <c r="B1187" s="543" t="s">
        <v>3643</v>
      </c>
      <c r="C1187" s="544" t="s">
        <v>8486</v>
      </c>
      <c r="D1187" s="544" t="s">
        <v>8351</v>
      </c>
      <c r="E1187" s="544" t="s">
        <v>8275</v>
      </c>
      <c r="F1187" s="544" t="s">
        <v>8631</v>
      </c>
      <c r="G1187" s="544" t="s">
        <v>7937</v>
      </c>
      <c r="H1187" s="544" t="s">
        <v>7938</v>
      </c>
      <c r="I1187" s="544"/>
      <c r="L1187" s="543" t="s">
        <v>2737</v>
      </c>
      <c r="M1187" s="545">
        <v>34.299999999999997</v>
      </c>
      <c r="N1187" s="543" t="s">
        <v>2737</v>
      </c>
    </row>
    <row r="1188" spans="1:14" s="543" customFormat="1" x14ac:dyDescent="0.25">
      <c r="A1188" s="543" t="s">
        <v>3644</v>
      </c>
      <c r="B1188" s="543" t="s">
        <v>3645</v>
      </c>
      <c r="C1188" s="544" t="s">
        <v>8486</v>
      </c>
      <c r="D1188" s="544" t="s">
        <v>8351</v>
      </c>
      <c r="E1188" s="544" t="s">
        <v>8275</v>
      </c>
      <c r="F1188" s="544" t="s">
        <v>8631</v>
      </c>
      <c r="G1188" s="544" t="s">
        <v>7941</v>
      </c>
      <c r="H1188" s="544" t="s">
        <v>8632</v>
      </c>
      <c r="I1188" s="544"/>
      <c r="L1188" s="543" t="s">
        <v>2737</v>
      </c>
      <c r="M1188" s="545">
        <v>34.299999999999997</v>
      </c>
      <c r="N1188" s="543" t="s">
        <v>2737</v>
      </c>
    </row>
    <row r="1189" spans="1:14" s="543" customFormat="1" x14ac:dyDescent="0.25">
      <c r="A1189" s="543" t="s">
        <v>3646</v>
      </c>
      <c r="B1189" s="543" t="s">
        <v>3647</v>
      </c>
      <c r="C1189" s="544" t="s">
        <v>8486</v>
      </c>
      <c r="D1189" s="544" t="s">
        <v>8351</v>
      </c>
      <c r="E1189" s="544" t="s">
        <v>8275</v>
      </c>
      <c r="F1189" s="544" t="s">
        <v>8631</v>
      </c>
      <c r="G1189" s="544" t="s">
        <v>7489</v>
      </c>
      <c r="H1189" s="544" t="s">
        <v>7441</v>
      </c>
      <c r="I1189" s="544"/>
      <c r="L1189" s="543" t="s">
        <v>2737</v>
      </c>
      <c r="M1189" s="545">
        <v>34.299999999999997</v>
      </c>
      <c r="N1189" s="543" t="s">
        <v>2737</v>
      </c>
    </row>
    <row r="1190" spans="1:14" s="543" customFormat="1" x14ac:dyDescent="0.25">
      <c r="A1190" s="543" t="s">
        <v>3648</v>
      </c>
      <c r="B1190" s="543" t="s">
        <v>3649</v>
      </c>
      <c r="C1190" s="544" t="s">
        <v>8486</v>
      </c>
      <c r="D1190" s="544" t="s">
        <v>8351</v>
      </c>
      <c r="E1190" s="544" t="s">
        <v>8275</v>
      </c>
      <c r="F1190" s="544" t="s">
        <v>8631</v>
      </c>
      <c r="G1190" s="544" t="s">
        <v>8634</v>
      </c>
      <c r="H1190" s="544" t="s">
        <v>7892</v>
      </c>
      <c r="I1190" s="544"/>
      <c r="L1190" s="543" t="s">
        <v>2737</v>
      </c>
      <c r="M1190" s="545">
        <v>34.299999999999997</v>
      </c>
      <c r="N1190" s="543" t="s">
        <v>2737</v>
      </c>
    </row>
    <row r="1191" spans="1:14" s="543" customFormat="1" x14ac:dyDescent="0.25">
      <c r="A1191" s="543" t="s">
        <v>3650</v>
      </c>
      <c r="B1191" s="543" t="s">
        <v>3651</v>
      </c>
      <c r="C1191" s="544" t="s">
        <v>8486</v>
      </c>
      <c r="D1191" s="544" t="s">
        <v>8351</v>
      </c>
      <c r="E1191" s="544" t="s">
        <v>8275</v>
      </c>
      <c r="F1191" s="544" t="s">
        <v>8631</v>
      </c>
      <c r="G1191" s="544" t="s">
        <v>8363</v>
      </c>
      <c r="H1191" s="544" t="s">
        <v>7489</v>
      </c>
      <c r="I1191" s="544"/>
      <c r="L1191" s="543" t="s">
        <v>2737</v>
      </c>
      <c r="M1191" s="545">
        <v>34.299999999999997</v>
      </c>
      <c r="N1191" s="543" t="s">
        <v>2737</v>
      </c>
    </row>
    <row r="1192" spans="1:14" s="543" customFormat="1" x14ac:dyDescent="0.25">
      <c r="A1192" s="543" t="s">
        <v>3652</v>
      </c>
      <c r="B1192" s="543" t="s">
        <v>3653</v>
      </c>
      <c r="C1192" s="544" t="s">
        <v>8486</v>
      </c>
      <c r="D1192" s="544" t="s">
        <v>8351</v>
      </c>
      <c r="E1192" s="544" t="s">
        <v>8275</v>
      </c>
      <c r="F1192" s="544" t="s">
        <v>8631</v>
      </c>
      <c r="G1192" s="544" t="s">
        <v>7947</v>
      </c>
      <c r="H1192" s="544" t="s">
        <v>7436</v>
      </c>
      <c r="I1192" s="544"/>
      <c r="L1192" s="543" t="s">
        <v>2737</v>
      </c>
      <c r="M1192" s="545">
        <v>34.299999999999997</v>
      </c>
      <c r="N1192" s="543" t="s">
        <v>2737</v>
      </c>
    </row>
    <row r="1193" spans="1:14" s="543" customFormat="1" x14ac:dyDescent="0.25">
      <c r="A1193" s="543" t="s">
        <v>3654</v>
      </c>
      <c r="B1193" s="543" t="s">
        <v>3655</v>
      </c>
      <c r="C1193" s="544" t="s">
        <v>8486</v>
      </c>
      <c r="D1193" s="544" t="s">
        <v>8351</v>
      </c>
      <c r="E1193" s="544" t="s">
        <v>8275</v>
      </c>
      <c r="F1193" s="544" t="s">
        <v>8631</v>
      </c>
      <c r="G1193" s="544" t="s">
        <v>8460</v>
      </c>
      <c r="H1193" s="544" t="s">
        <v>8152</v>
      </c>
      <c r="I1193" s="544"/>
      <c r="L1193" s="543" t="s">
        <v>2737</v>
      </c>
      <c r="M1193" s="545">
        <v>34.299999999999997</v>
      </c>
      <c r="N1193" s="543" t="s">
        <v>2737</v>
      </c>
    </row>
    <row r="1194" spans="1:14" s="543" customFormat="1" x14ac:dyDescent="0.25">
      <c r="A1194" s="543" t="s">
        <v>3656</v>
      </c>
      <c r="B1194" s="543" t="s">
        <v>3657</v>
      </c>
      <c r="C1194" s="544" t="s">
        <v>8635</v>
      </c>
      <c r="D1194" s="544" t="s">
        <v>8636</v>
      </c>
      <c r="E1194" s="544" t="s">
        <v>7504</v>
      </c>
      <c r="F1194" s="544" t="s">
        <v>8637</v>
      </c>
      <c r="G1194" s="544" t="s">
        <v>7531</v>
      </c>
      <c r="H1194" s="544" t="s">
        <v>8638</v>
      </c>
      <c r="I1194" s="544"/>
      <c r="L1194" s="543" t="s">
        <v>2737</v>
      </c>
      <c r="M1194" s="545">
        <v>34.299999999999997</v>
      </c>
      <c r="N1194" s="543" t="s">
        <v>2737</v>
      </c>
    </row>
    <row r="1195" spans="1:14" s="543" customFormat="1" x14ac:dyDescent="0.25">
      <c r="A1195" s="543" t="s">
        <v>3658</v>
      </c>
      <c r="B1195" s="543" t="s">
        <v>3659</v>
      </c>
      <c r="C1195" s="544" t="s">
        <v>8486</v>
      </c>
      <c r="D1195" s="544" t="s">
        <v>8351</v>
      </c>
      <c r="E1195" s="544" t="s">
        <v>8275</v>
      </c>
      <c r="F1195" s="544" t="s">
        <v>8631</v>
      </c>
      <c r="G1195" s="544" t="s">
        <v>8639</v>
      </c>
      <c r="H1195" s="544" t="s">
        <v>7952</v>
      </c>
      <c r="I1195" s="544"/>
      <c r="L1195" s="543" t="s">
        <v>2737</v>
      </c>
      <c r="M1195" s="545">
        <v>34.299999999999997</v>
      </c>
      <c r="N1195" s="543" t="s">
        <v>2737</v>
      </c>
    </row>
    <row r="1196" spans="1:14" s="543" customFormat="1" x14ac:dyDescent="0.25">
      <c r="A1196" s="543" t="s">
        <v>3660</v>
      </c>
      <c r="B1196" s="543" t="s">
        <v>3661</v>
      </c>
      <c r="C1196" s="544" t="s">
        <v>8486</v>
      </c>
      <c r="D1196" s="544" t="s">
        <v>8351</v>
      </c>
      <c r="E1196" s="544" t="s">
        <v>8275</v>
      </c>
      <c r="F1196" s="544" t="s">
        <v>8631</v>
      </c>
      <c r="G1196" s="544" t="s">
        <v>8366</v>
      </c>
      <c r="H1196" s="544" t="s">
        <v>7955</v>
      </c>
      <c r="I1196" s="544"/>
      <c r="L1196" s="543" t="s">
        <v>2737</v>
      </c>
      <c r="M1196" s="545">
        <v>34.299999999999997</v>
      </c>
      <c r="N1196" s="543" t="s">
        <v>2737</v>
      </c>
    </row>
    <row r="1197" spans="1:14" s="543" customFormat="1" x14ac:dyDescent="0.25">
      <c r="A1197" s="543" t="s">
        <v>3662</v>
      </c>
      <c r="B1197" s="543" t="s">
        <v>3663</v>
      </c>
      <c r="C1197" s="544" t="s">
        <v>8486</v>
      </c>
      <c r="D1197" s="544" t="s">
        <v>8351</v>
      </c>
      <c r="E1197" s="544" t="s">
        <v>8275</v>
      </c>
      <c r="F1197" s="544" t="s">
        <v>8631</v>
      </c>
      <c r="G1197" s="544" t="s">
        <v>7958</v>
      </c>
      <c r="H1197" s="544" t="s">
        <v>8640</v>
      </c>
      <c r="I1197" s="544"/>
      <c r="L1197" s="543" t="s">
        <v>2737</v>
      </c>
      <c r="M1197" s="545">
        <v>34.299999999999997</v>
      </c>
      <c r="N1197" s="543" t="s">
        <v>2737</v>
      </c>
    </row>
    <row r="1198" spans="1:14" s="543" customFormat="1" x14ac:dyDescent="0.25">
      <c r="A1198" s="543" t="s">
        <v>3664</v>
      </c>
      <c r="B1198" s="543" t="s">
        <v>3665</v>
      </c>
      <c r="C1198" s="544" t="s">
        <v>8486</v>
      </c>
      <c r="D1198" s="544" t="s">
        <v>8351</v>
      </c>
      <c r="E1198" s="544" t="s">
        <v>8275</v>
      </c>
      <c r="F1198" s="544" t="s">
        <v>8631</v>
      </c>
      <c r="G1198" s="544" t="s">
        <v>7961</v>
      </c>
      <c r="H1198" s="544" t="s">
        <v>7489</v>
      </c>
      <c r="I1198" s="544"/>
      <c r="L1198" s="543" t="s">
        <v>2737</v>
      </c>
      <c r="M1198" s="545">
        <v>34.299999999999997</v>
      </c>
      <c r="N1198" s="543" t="s">
        <v>2737</v>
      </c>
    </row>
    <row r="1199" spans="1:14" s="543" customFormat="1" x14ac:dyDescent="0.25">
      <c r="A1199" s="543" t="s">
        <v>3666</v>
      </c>
      <c r="B1199" s="543" t="s">
        <v>3667</v>
      </c>
      <c r="C1199" s="544" t="s">
        <v>8486</v>
      </c>
      <c r="D1199" s="544" t="s">
        <v>8351</v>
      </c>
      <c r="E1199" s="544" t="s">
        <v>8275</v>
      </c>
      <c r="F1199" s="544" t="s">
        <v>8631</v>
      </c>
      <c r="G1199" s="544" t="s">
        <v>7963</v>
      </c>
      <c r="H1199" s="544" t="s">
        <v>7489</v>
      </c>
      <c r="I1199" s="544"/>
      <c r="L1199" s="543" t="s">
        <v>2737</v>
      </c>
      <c r="M1199" s="545">
        <v>34.299999999999997</v>
      </c>
      <c r="N1199" s="543" t="s">
        <v>2737</v>
      </c>
    </row>
    <row r="1200" spans="1:14" s="543" customFormat="1" x14ac:dyDescent="0.25">
      <c r="A1200" s="543" t="s">
        <v>3668</v>
      </c>
      <c r="B1200" s="543" t="s">
        <v>3669</v>
      </c>
      <c r="C1200" s="544" t="s">
        <v>8486</v>
      </c>
      <c r="D1200" s="544" t="s">
        <v>8351</v>
      </c>
      <c r="E1200" s="544" t="s">
        <v>8275</v>
      </c>
      <c r="F1200" s="544" t="s">
        <v>8631</v>
      </c>
      <c r="G1200" s="544" t="s">
        <v>7964</v>
      </c>
      <c r="H1200" s="544" t="s">
        <v>8641</v>
      </c>
      <c r="I1200" s="544"/>
      <c r="L1200" s="543" t="s">
        <v>2737</v>
      </c>
      <c r="M1200" s="545">
        <v>34.299999999999997</v>
      </c>
      <c r="N1200" s="543" t="s">
        <v>2737</v>
      </c>
    </row>
    <row r="1201" spans="1:14" s="543" customFormat="1" x14ac:dyDescent="0.25">
      <c r="A1201" s="543" t="s">
        <v>3670</v>
      </c>
      <c r="B1201" s="543" t="s">
        <v>3671</v>
      </c>
      <c r="C1201" s="544" t="s">
        <v>8486</v>
      </c>
      <c r="D1201" s="544" t="s">
        <v>8351</v>
      </c>
      <c r="E1201" s="544" t="s">
        <v>8275</v>
      </c>
      <c r="F1201" s="544" t="s">
        <v>8631</v>
      </c>
      <c r="G1201" s="544" t="s">
        <v>7969</v>
      </c>
      <c r="H1201" s="544" t="s">
        <v>7970</v>
      </c>
      <c r="I1201" s="544"/>
      <c r="L1201" s="543" t="s">
        <v>2737</v>
      </c>
      <c r="M1201" s="545">
        <v>34.299999999999997</v>
      </c>
      <c r="N1201" s="543" t="s">
        <v>2737</v>
      </c>
    </row>
    <row r="1202" spans="1:14" s="543" customFormat="1" x14ac:dyDescent="0.25">
      <c r="A1202" s="543" t="s">
        <v>3672</v>
      </c>
      <c r="B1202" s="543" t="s">
        <v>3673</v>
      </c>
      <c r="C1202" s="544" t="s">
        <v>8486</v>
      </c>
      <c r="D1202" s="544" t="s">
        <v>8351</v>
      </c>
      <c r="E1202" s="544" t="s">
        <v>8275</v>
      </c>
      <c r="F1202" s="544" t="s">
        <v>8631</v>
      </c>
      <c r="G1202" s="544" t="s">
        <v>8642</v>
      </c>
      <c r="H1202" s="544" t="s">
        <v>7457</v>
      </c>
      <c r="I1202" s="544"/>
      <c r="L1202" s="543" t="s">
        <v>2737</v>
      </c>
      <c r="M1202" s="545">
        <v>34.299999999999997</v>
      </c>
      <c r="N1202" s="543" t="s">
        <v>2737</v>
      </c>
    </row>
    <row r="1203" spans="1:14" s="543" customFormat="1" x14ac:dyDescent="0.25">
      <c r="A1203" s="543" t="s">
        <v>3674</v>
      </c>
      <c r="B1203" s="543" t="s">
        <v>3675</v>
      </c>
      <c r="C1203" s="544" t="s">
        <v>8486</v>
      </c>
      <c r="D1203" s="544" t="s">
        <v>8351</v>
      </c>
      <c r="E1203" s="544" t="s">
        <v>8275</v>
      </c>
      <c r="F1203" s="544" t="s">
        <v>8631</v>
      </c>
      <c r="G1203" s="544" t="s">
        <v>8643</v>
      </c>
      <c r="H1203" s="544" t="s">
        <v>7999</v>
      </c>
      <c r="I1203" s="544"/>
      <c r="L1203" s="543" t="s">
        <v>2737</v>
      </c>
      <c r="M1203" s="545">
        <v>34.299999999999997</v>
      </c>
      <c r="N1203" s="543" t="s">
        <v>2737</v>
      </c>
    </row>
    <row r="1204" spans="1:14" x14ac:dyDescent="0.25">
      <c r="A1204" s="505" t="s">
        <v>3676</v>
      </c>
      <c r="B1204" s="505" t="s">
        <v>3677</v>
      </c>
      <c r="C1204" s="512" t="s">
        <v>8644</v>
      </c>
      <c r="D1204" s="512" t="s">
        <v>8645</v>
      </c>
      <c r="E1204" s="512" t="s">
        <v>8646</v>
      </c>
      <c r="F1204" s="512" t="s">
        <v>8647</v>
      </c>
      <c r="G1204" s="512" t="s">
        <v>7425</v>
      </c>
      <c r="L1204" s="505" t="s">
        <v>1205</v>
      </c>
      <c r="M1204" s="516">
        <v>68.209999999999994</v>
      </c>
      <c r="N1204" s="505" t="s">
        <v>1205</v>
      </c>
    </row>
    <row r="1205" spans="1:14" x14ac:dyDescent="0.25">
      <c r="A1205" s="505" t="s">
        <v>3678</v>
      </c>
      <c r="B1205" s="505" t="s">
        <v>3679</v>
      </c>
      <c r="C1205" s="512" t="s">
        <v>8648</v>
      </c>
      <c r="D1205" s="512" t="s">
        <v>8649</v>
      </c>
      <c r="E1205" s="512" t="s">
        <v>8489</v>
      </c>
      <c r="F1205" s="512" t="s">
        <v>8647</v>
      </c>
      <c r="G1205" s="512" t="s">
        <v>8650</v>
      </c>
      <c r="L1205" s="505" t="s">
        <v>1205</v>
      </c>
      <c r="M1205" s="516">
        <v>62.9</v>
      </c>
      <c r="N1205" s="505" t="s">
        <v>1205</v>
      </c>
    </row>
    <row r="1206" spans="1:14" x14ac:dyDescent="0.25">
      <c r="A1206" s="505" t="s">
        <v>3680</v>
      </c>
      <c r="B1206" s="505" t="s">
        <v>3681</v>
      </c>
      <c r="C1206" s="512" t="s">
        <v>8644</v>
      </c>
      <c r="D1206" s="512" t="s">
        <v>8645</v>
      </c>
      <c r="E1206" s="512" t="s">
        <v>8646</v>
      </c>
      <c r="F1206" s="512" t="s">
        <v>8647</v>
      </c>
      <c r="G1206" s="512" t="s">
        <v>8651</v>
      </c>
      <c r="L1206" s="505" t="s">
        <v>1205</v>
      </c>
      <c r="M1206" s="516">
        <v>68.209999999999994</v>
      </c>
      <c r="N1206" s="505" t="s">
        <v>1205</v>
      </c>
    </row>
    <row r="1207" spans="1:14" x14ac:dyDescent="0.25">
      <c r="A1207" s="505" t="s">
        <v>3682</v>
      </c>
      <c r="B1207" s="505" t="s">
        <v>3683</v>
      </c>
      <c r="C1207" s="512" t="s">
        <v>8644</v>
      </c>
      <c r="D1207" s="512" t="s">
        <v>8652</v>
      </c>
      <c r="E1207" s="512" t="s">
        <v>8653</v>
      </c>
      <c r="F1207" s="512" t="s">
        <v>8654</v>
      </c>
      <c r="G1207" s="512" t="s">
        <v>510</v>
      </c>
      <c r="L1207" s="505" t="s">
        <v>1205</v>
      </c>
      <c r="M1207" s="516">
        <v>68.209999999999994</v>
      </c>
      <c r="N1207" s="505" t="s">
        <v>1205</v>
      </c>
    </row>
    <row r="1208" spans="1:14" x14ac:dyDescent="0.25">
      <c r="A1208" s="505" t="s">
        <v>3684</v>
      </c>
      <c r="B1208" s="505" t="s">
        <v>3685</v>
      </c>
      <c r="C1208" s="512" t="s">
        <v>8648</v>
      </c>
      <c r="D1208" s="512" t="s">
        <v>8649</v>
      </c>
      <c r="E1208" s="512" t="s">
        <v>8489</v>
      </c>
      <c r="F1208" s="512" t="s">
        <v>8647</v>
      </c>
      <c r="G1208" s="512" t="s">
        <v>7803</v>
      </c>
      <c r="L1208" s="505" t="s">
        <v>1205</v>
      </c>
      <c r="M1208" s="516">
        <v>57.42</v>
      </c>
      <c r="N1208" s="505" t="s">
        <v>1205</v>
      </c>
    </row>
    <row r="1209" spans="1:14" x14ac:dyDescent="0.25">
      <c r="A1209" s="505" t="s">
        <v>3686</v>
      </c>
      <c r="B1209" s="505" t="s">
        <v>3687</v>
      </c>
      <c r="C1209" s="512" t="s">
        <v>8648</v>
      </c>
      <c r="D1209" s="512" t="s">
        <v>8649</v>
      </c>
      <c r="E1209" s="512" t="s">
        <v>8489</v>
      </c>
      <c r="F1209" s="512" t="s">
        <v>8647</v>
      </c>
      <c r="G1209" s="512" t="s">
        <v>8655</v>
      </c>
      <c r="H1209" s="512" t="s">
        <v>8656</v>
      </c>
      <c r="L1209" s="505" t="s">
        <v>1205</v>
      </c>
      <c r="M1209" s="516">
        <v>67.099999999999994</v>
      </c>
      <c r="N1209" s="505" t="s">
        <v>1205</v>
      </c>
    </row>
    <row r="1210" spans="1:14" x14ac:dyDescent="0.25">
      <c r="A1210" s="505" t="s">
        <v>3688</v>
      </c>
      <c r="B1210" s="505" t="s">
        <v>3689</v>
      </c>
      <c r="C1210" s="512" t="s">
        <v>8644</v>
      </c>
      <c r="D1210" s="512" t="s">
        <v>8645</v>
      </c>
      <c r="E1210" s="512" t="s">
        <v>8646</v>
      </c>
      <c r="F1210" s="512" t="s">
        <v>8647</v>
      </c>
      <c r="G1210" s="512" t="s">
        <v>8657</v>
      </c>
      <c r="H1210" s="512" t="s">
        <v>480</v>
      </c>
      <c r="L1210" s="505" t="s">
        <v>1205</v>
      </c>
      <c r="M1210" s="516">
        <v>68.209999999999994</v>
      </c>
      <c r="N1210" s="505" t="s">
        <v>1205</v>
      </c>
    </row>
    <row r="1211" spans="1:14" x14ac:dyDescent="0.25">
      <c r="A1211" s="505" t="s">
        <v>3690</v>
      </c>
      <c r="B1211" s="505" t="s">
        <v>3691</v>
      </c>
      <c r="C1211" s="512" t="s">
        <v>8648</v>
      </c>
      <c r="D1211" s="512" t="s">
        <v>8658</v>
      </c>
      <c r="E1211" s="512" t="s">
        <v>7491</v>
      </c>
      <c r="F1211" s="512" t="s">
        <v>8489</v>
      </c>
      <c r="G1211" s="512" t="s">
        <v>8647</v>
      </c>
      <c r="H1211" s="512" t="s">
        <v>8659</v>
      </c>
      <c r="L1211" s="505" t="s">
        <v>1205</v>
      </c>
      <c r="M1211" s="516">
        <v>68.209999999999994</v>
      </c>
      <c r="N1211" s="505" t="s">
        <v>1205</v>
      </c>
    </row>
    <row r="1212" spans="1:14" x14ac:dyDescent="0.25">
      <c r="A1212" s="505" t="s">
        <v>3692</v>
      </c>
      <c r="B1212" s="505" t="s">
        <v>3693</v>
      </c>
      <c r="C1212" s="512" t="s">
        <v>8648</v>
      </c>
      <c r="D1212" s="512" t="s">
        <v>8658</v>
      </c>
      <c r="E1212" s="512" t="s">
        <v>7491</v>
      </c>
      <c r="F1212" s="512" t="s">
        <v>8489</v>
      </c>
      <c r="G1212" s="512" t="s">
        <v>8647</v>
      </c>
      <c r="H1212" s="512" t="s">
        <v>8660</v>
      </c>
      <c r="L1212" s="505" t="s">
        <v>1205</v>
      </c>
      <c r="M1212" s="516">
        <v>68.209999999999994</v>
      </c>
      <c r="N1212" s="505" t="s">
        <v>1205</v>
      </c>
    </row>
    <row r="1213" spans="1:14" x14ac:dyDescent="0.25">
      <c r="A1213" s="505" t="s">
        <v>3694</v>
      </c>
      <c r="B1213" s="505" t="s">
        <v>3695</v>
      </c>
      <c r="C1213" s="512" t="s">
        <v>8648</v>
      </c>
      <c r="D1213" s="512" t="s">
        <v>8658</v>
      </c>
      <c r="E1213" s="512" t="s">
        <v>7491</v>
      </c>
      <c r="F1213" s="512" t="s">
        <v>7893</v>
      </c>
      <c r="G1213" s="512" t="s">
        <v>8647</v>
      </c>
      <c r="H1213" s="512" t="s">
        <v>8659</v>
      </c>
      <c r="L1213" s="505" t="s">
        <v>1205</v>
      </c>
      <c r="M1213" s="516">
        <v>68.209999999999994</v>
      </c>
      <c r="N1213" s="505" t="s">
        <v>1205</v>
      </c>
    </row>
    <row r="1214" spans="1:14" x14ac:dyDescent="0.25">
      <c r="A1214" s="505" t="s">
        <v>3696</v>
      </c>
      <c r="B1214" s="505" t="s">
        <v>3697</v>
      </c>
      <c r="C1214" s="512" t="s">
        <v>8648</v>
      </c>
      <c r="D1214" s="512" t="s">
        <v>8658</v>
      </c>
      <c r="E1214" s="512" t="s">
        <v>7491</v>
      </c>
      <c r="F1214" s="512" t="s">
        <v>7893</v>
      </c>
      <c r="G1214" s="512" t="s">
        <v>8647</v>
      </c>
      <c r="H1214" s="512" t="s">
        <v>8660</v>
      </c>
      <c r="L1214" s="505" t="s">
        <v>1205</v>
      </c>
      <c r="M1214" s="516">
        <v>68.209999999999994</v>
      </c>
      <c r="N1214" s="505" t="s">
        <v>1205</v>
      </c>
    </row>
    <row r="1215" spans="1:14" x14ac:dyDescent="0.25">
      <c r="A1215" s="505" t="s">
        <v>3698</v>
      </c>
      <c r="B1215" s="505" t="s">
        <v>3699</v>
      </c>
      <c r="C1215" s="512" t="s">
        <v>8648</v>
      </c>
      <c r="D1215" s="512" t="s">
        <v>8661</v>
      </c>
      <c r="E1215" s="512" t="s">
        <v>8662</v>
      </c>
      <c r="F1215" s="512" t="s">
        <v>7432</v>
      </c>
      <c r="L1215" s="505" t="s">
        <v>1233</v>
      </c>
      <c r="M1215" s="516">
        <v>30.25</v>
      </c>
      <c r="N1215" s="505" t="s">
        <v>1233</v>
      </c>
    </row>
    <row r="1216" spans="1:14" x14ac:dyDescent="0.25">
      <c r="A1216" s="505" t="s">
        <v>3700</v>
      </c>
      <c r="B1216" s="505" t="s">
        <v>3701</v>
      </c>
      <c r="C1216" s="512" t="s">
        <v>8648</v>
      </c>
      <c r="D1216" s="512" t="s">
        <v>8460</v>
      </c>
      <c r="E1216" s="512" t="s">
        <v>8662</v>
      </c>
      <c r="F1216" s="512" t="s">
        <v>7432</v>
      </c>
      <c r="L1216" s="505" t="s">
        <v>1233</v>
      </c>
      <c r="M1216" s="516">
        <v>34.75</v>
      </c>
      <c r="N1216" s="505" t="s">
        <v>1233</v>
      </c>
    </row>
    <row r="1217" spans="1:14" x14ac:dyDescent="0.25">
      <c r="A1217" s="505" t="s">
        <v>3702</v>
      </c>
      <c r="B1217" s="505" t="s">
        <v>3703</v>
      </c>
      <c r="C1217" s="512" t="s">
        <v>8648</v>
      </c>
      <c r="D1217" s="512" t="s">
        <v>8663</v>
      </c>
      <c r="E1217" s="512" t="s">
        <v>8029</v>
      </c>
      <c r="F1217" s="512" t="s">
        <v>7432</v>
      </c>
      <c r="L1217" s="505" t="s">
        <v>1233</v>
      </c>
      <c r="M1217" s="516">
        <v>101.65</v>
      </c>
      <c r="N1217" s="505" t="s">
        <v>1233</v>
      </c>
    </row>
    <row r="1218" spans="1:14" x14ac:dyDescent="0.25">
      <c r="A1218" s="505" t="s">
        <v>3704</v>
      </c>
      <c r="B1218" s="505" t="s">
        <v>3705</v>
      </c>
      <c r="C1218" s="512" t="s">
        <v>8648</v>
      </c>
      <c r="D1218" s="512" t="s">
        <v>8649</v>
      </c>
      <c r="E1218" s="512" t="s">
        <v>8489</v>
      </c>
      <c r="F1218" s="512" t="s">
        <v>8647</v>
      </c>
      <c r="G1218" s="512" t="s">
        <v>8177</v>
      </c>
      <c r="L1218" s="505" t="s">
        <v>1205</v>
      </c>
      <c r="M1218" s="516">
        <v>68.06</v>
      </c>
      <c r="N1218" s="505" t="s">
        <v>1205</v>
      </c>
    </row>
    <row r="1219" spans="1:14" x14ac:dyDescent="0.25">
      <c r="A1219" s="505" t="s">
        <v>3706</v>
      </c>
      <c r="B1219" s="505" t="s">
        <v>3707</v>
      </c>
      <c r="C1219" s="512" t="s">
        <v>8648</v>
      </c>
      <c r="D1219" s="512" t="s">
        <v>8649</v>
      </c>
      <c r="E1219" s="512" t="s">
        <v>8489</v>
      </c>
      <c r="F1219" s="512" t="s">
        <v>8647</v>
      </c>
      <c r="G1219" s="512" t="s">
        <v>8664</v>
      </c>
      <c r="H1219" s="512" t="s">
        <v>8665</v>
      </c>
      <c r="L1219" s="505" t="s">
        <v>1205</v>
      </c>
      <c r="M1219" s="516">
        <v>68.209999999999994</v>
      </c>
      <c r="N1219" s="505" t="s">
        <v>1205</v>
      </c>
    </row>
    <row r="1220" spans="1:14" x14ac:dyDescent="0.25">
      <c r="A1220" s="505" t="s">
        <v>3708</v>
      </c>
      <c r="B1220" s="505" t="s">
        <v>3709</v>
      </c>
      <c r="C1220" s="512" t="s">
        <v>8648</v>
      </c>
      <c r="D1220" s="512" t="s">
        <v>8649</v>
      </c>
      <c r="E1220" s="512" t="s">
        <v>8489</v>
      </c>
      <c r="F1220" s="512" t="s">
        <v>8647</v>
      </c>
      <c r="G1220" s="512" t="s">
        <v>8666</v>
      </c>
      <c r="H1220" s="512" t="s">
        <v>8667</v>
      </c>
      <c r="L1220" s="505" t="s">
        <v>1205</v>
      </c>
      <c r="M1220" s="516">
        <v>68.209999999999994</v>
      </c>
      <c r="N1220" s="505" t="s">
        <v>1205</v>
      </c>
    </row>
    <row r="1221" spans="1:14" x14ac:dyDescent="0.25">
      <c r="A1221" s="505" t="s">
        <v>3710</v>
      </c>
      <c r="B1221" s="505" t="s">
        <v>3711</v>
      </c>
      <c r="C1221" s="512" t="s">
        <v>8648</v>
      </c>
      <c r="D1221" s="512" t="s">
        <v>8649</v>
      </c>
      <c r="E1221" s="512" t="s">
        <v>8487</v>
      </c>
      <c r="F1221" s="512" t="s">
        <v>8647</v>
      </c>
      <c r="G1221" s="512" t="s">
        <v>8177</v>
      </c>
      <c r="L1221" s="505" t="s">
        <v>1205</v>
      </c>
      <c r="M1221" s="516">
        <v>68.209999999999994</v>
      </c>
      <c r="N1221" s="505" t="s">
        <v>1205</v>
      </c>
    </row>
    <row r="1222" spans="1:14" x14ac:dyDescent="0.25">
      <c r="A1222" s="505" t="s">
        <v>3712</v>
      </c>
      <c r="B1222" s="505" t="s">
        <v>3713</v>
      </c>
      <c r="C1222" s="512" t="s">
        <v>8648</v>
      </c>
      <c r="D1222" s="512" t="s">
        <v>8649</v>
      </c>
      <c r="E1222" s="512" t="s">
        <v>8487</v>
      </c>
      <c r="F1222" s="512" t="s">
        <v>8647</v>
      </c>
      <c r="G1222" s="512" t="s">
        <v>8664</v>
      </c>
      <c r="H1222" s="512" t="s">
        <v>8665</v>
      </c>
      <c r="L1222" s="505" t="s">
        <v>1205</v>
      </c>
      <c r="M1222" s="516">
        <v>68.209999999999994</v>
      </c>
      <c r="N1222" s="505" t="s">
        <v>1205</v>
      </c>
    </row>
    <row r="1223" spans="1:14" x14ac:dyDescent="0.25">
      <c r="A1223" s="505" t="s">
        <v>3714</v>
      </c>
      <c r="B1223" s="505" t="s">
        <v>3715</v>
      </c>
      <c r="C1223" s="512" t="s">
        <v>8648</v>
      </c>
      <c r="D1223" s="512" t="s">
        <v>8649</v>
      </c>
      <c r="E1223" s="512" t="s">
        <v>8487</v>
      </c>
      <c r="F1223" s="512" t="s">
        <v>8647</v>
      </c>
      <c r="G1223" s="512" t="s">
        <v>8666</v>
      </c>
      <c r="H1223" s="512" t="s">
        <v>8667</v>
      </c>
      <c r="L1223" s="505" t="s">
        <v>1205</v>
      </c>
      <c r="M1223" s="516">
        <v>68.209999999999994</v>
      </c>
      <c r="N1223" s="505" t="s">
        <v>1205</v>
      </c>
    </row>
    <row r="1224" spans="1:14" x14ac:dyDescent="0.25">
      <c r="A1224" s="505" t="s">
        <v>3716</v>
      </c>
      <c r="B1224" s="505" t="s">
        <v>3717</v>
      </c>
      <c r="C1224" s="512" t="s">
        <v>8648</v>
      </c>
      <c r="D1224" s="512" t="s">
        <v>8661</v>
      </c>
      <c r="E1224" s="512" t="s">
        <v>8662</v>
      </c>
      <c r="F1224" s="512" t="s">
        <v>7955</v>
      </c>
      <c r="L1224" s="505" t="s">
        <v>1233</v>
      </c>
      <c r="M1224" s="516">
        <v>30.25</v>
      </c>
      <c r="N1224" s="505" t="s">
        <v>1233</v>
      </c>
    </row>
    <row r="1225" spans="1:14" x14ac:dyDescent="0.25">
      <c r="A1225" s="505" t="s">
        <v>3718</v>
      </c>
      <c r="B1225" s="505" t="s">
        <v>3719</v>
      </c>
      <c r="C1225" s="512" t="s">
        <v>8648</v>
      </c>
      <c r="D1225" s="512" t="s">
        <v>8460</v>
      </c>
      <c r="E1225" s="512" t="s">
        <v>8662</v>
      </c>
      <c r="F1225" s="512" t="s">
        <v>7955</v>
      </c>
      <c r="L1225" s="505" t="s">
        <v>1233</v>
      </c>
      <c r="M1225" s="516">
        <v>34.75</v>
      </c>
      <c r="N1225" s="505" t="s">
        <v>1233</v>
      </c>
    </row>
    <row r="1226" spans="1:14" x14ac:dyDescent="0.25">
      <c r="A1226" s="505" t="s">
        <v>3720</v>
      </c>
      <c r="B1226" s="505" t="s">
        <v>3721</v>
      </c>
      <c r="C1226" s="512" t="s">
        <v>8648</v>
      </c>
      <c r="D1226" s="512" t="s">
        <v>8663</v>
      </c>
      <c r="E1226" s="512" t="s">
        <v>8029</v>
      </c>
      <c r="F1226" s="512" t="s">
        <v>7955</v>
      </c>
      <c r="L1226" s="505" t="s">
        <v>1233</v>
      </c>
      <c r="M1226" s="516">
        <v>101.65</v>
      </c>
      <c r="N1226" s="505" t="s">
        <v>1233</v>
      </c>
    </row>
    <row r="1227" spans="1:14" x14ac:dyDescent="0.25">
      <c r="A1227" s="505" t="s">
        <v>3722</v>
      </c>
      <c r="B1227" s="505" t="s">
        <v>3723</v>
      </c>
      <c r="C1227" s="512" t="s">
        <v>8648</v>
      </c>
      <c r="D1227" s="512" t="s">
        <v>7563</v>
      </c>
      <c r="E1227" s="512" t="s">
        <v>7606</v>
      </c>
      <c r="F1227" s="512">
        <v>10</v>
      </c>
      <c r="L1227" s="505" t="s">
        <v>1233</v>
      </c>
      <c r="M1227" s="516">
        <v>22.91</v>
      </c>
      <c r="N1227" s="505" t="s">
        <v>1233</v>
      </c>
    </row>
    <row r="1228" spans="1:14" x14ac:dyDescent="0.25">
      <c r="A1228" s="505" t="s">
        <v>3724</v>
      </c>
      <c r="B1228" s="505" t="s">
        <v>3725</v>
      </c>
      <c r="C1228" s="512" t="s">
        <v>8648</v>
      </c>
      <c r="D1228" s="512" t="s">
        <v>8668</v>
      </c>
      <c r="E1228" s="512" t="s">
        <v>8343</v>
      </c>
      <c r="F1228" s="512" t="s">
        <v>8669</v>
      </c>
      <c r="G1228" s="512" t="s">
        <v>8670</v>
      </c>
      <c r="L1228" s="505" t="s">
        <v>1233</v>
      </c>
      <c r="M1228" s="516">
        <v>3.4</v>
      </c>
      <c r="N1228" s="505" t="s">
        <v>1233</v>
      </c>
    </row>
    <row r="1229" spans="1:14" x14ac:dyDescent="0.25">
      <c r="A1229" s="505" t="s">
        <v>3726</v>
      </c>
      <c r="B1229" s="505" t="s">
        <v>3727</v>
      </c>
      <c r="C1229" s="512" t="s">
        <v>8671</v>
      </c>
      <c r="D1229" s="512" t="s">
        <v>7734</v>
      </c>
      <c r="E1229" s="512" t="s">
        <v>7562</v>
      </c>
      <c r="F1229" s="512" t="s">
        <v>7797</v>
      </c>
      <c r="G1229" s="512" t="s">
        <v>7437</v>
      </c>
      <c r="H1229" s="512" t="s">
        <v>8672</v>
      </c>
      <c r="L1229" s="505" t="s">
        <v>1233</v>
      </c>
      <c r="M1229" s="516">
        <v>23.76</v>
      </c>
      <c r="N1229" s="505" t="s">
        <v>1233</v>
      </c>
    </row>
    <row r="1230" spans="1:14" x14ac:dyDescent="0.25">
      <c r="A1230" s="505" t="s">
        <v>3728</v>
      </c>
      <c r="B1230" s="505" t="s">
        <v>3729</v>
      </c>
      <c r="C1230" s="512" t="s">
        <v>8671</v>
      </c>
      <c r="D1230" s="512" t="s">
        <v>7734</v>
      </c>
      <c r="E1230" s="512" t="s">
        <v>7562</v>
      </c>
      <c r="F1230" s="512" t="s">
        <v>7797</v>
      </c>
      <c r="G1230" s="512" t="s">
        <v>8460</v>
      </c>
      <c r="H1230" s="512" t="s">
        <v>7436</v>
      </c>
      <c r="I1230" s="512" t="s">
        <v>8672</v>
      </c>
      <c r="L1230" s="505" t="s">
        <v>1233</v>
      </c>
      <c r="M1230" s="516">
        <v>23.76</v>
      </c>
      <c r="N1230" s="505" t="s">
        <v>1233</v>
      </c>
    </row>
    <row r="1231" spans="1:14" x14ac:dyDescent="0.25">
      <c r="A1231" s="505" t="s">
        <v>3730</v>
      </c>
      <c r="B1231" s="505" t="s">
        <v>3731</v>
      </c>
      <c r="C1231" s="512" t="s">
        <v>8671</v>
      </c>
      <c r="D1231" s="512" t="s">
        <v>7734</v>
      </c>
      <c r="E1231" s="512" t="s">
        <v>7562</v>
      </c>
      <c r="F1231" s="512" t="s">
        <v>7797</v>
      </c>
      <c r="G1231" s="512" t="s">
        <v>8404</v>
      </c>
      <c r="H1231" s="512" t="s">
        <v>7595</v>
      </c>
      <c r="L1231" s="505" t="s">
        <v>1233</v>
      </c>
      <c r="M1231" s="516">
        <v>23.76</v>
      </c>
      <c r="N1231" s="505" t="s">
        <v>1233</v>
      </c>
    </row>
    <row r="1232" spans="1:14" x14ac:dyDescent="0.25">
      <c r="A1232" s="505" t="s">
        <v>3732</v>
      </c>
      <c r="B1232" s="505" t="s">
        <v>3733</v>
      </c>
      <c r="C1232" s="512" t="s">
        <v>8671</v>
      </c>
      <c r="D1232" s="512" t="s">
        <v>7734</v>
      </c>
      <c r="E1232" s="512" t="s">
        <v>7562</v>
      </c>
      <c r="F1232" s="512" t="s">
        <v>7797</v>
      </c>
      <c r="G1232" s="512" t="s">
        <v>7991</v>
      </c>
      <c r="H1232" s="512" t="s">
        <v>7436</v>
      </c>
      <c r="I1232" s="512" t="s">
        <v>8672</v>
      </c>
      <c r="L1232" s="505" t="s">
        <v>1233</v>
      </c>
      <c r="M1232" s="516">
        <v>23.76</v>
      </c>
      <c r="N1232" s="505" t="s">
        <v>1233</v>
      </c>
    </row>
    <row r="1233" spans="1:14" x14ac:dyDescent="0.25">
      <c r="A1233" s="505" t="s">
        <v>3734</v>
      </c>
      <c r="B1233" s="505" t="s">
        <v>3735</v>
      </c>
      <c r="C1233" s="512" t="s">
        <v>8671</v>
      </c>
      <c r="D1233" s="512" t="s">
        <v>8460</v>
      </c>
      <c r="E1233" s="512" t="s">
        <v>8673</v>
      </c>
      <c r="F1233" s="512" t="s">
        <v>7437</v>
      </c>
      <c r="G1233" s="512" t="s">
        <v>8672</v>
      </c>
      <c r="L1233" s="505" t="s">
        <v>1233</v>
      </c>
      <c r="M1233" s="516">
        <v>19.75</v>
      </c>
      <c r="N1233" s="505" t="s">
        <v>1233</v>
      </c>
    </row>
    <row r="1234" spans="1:14" x14ac:dyDescent="0.25">
      <c r="A1234" s="505" t="s">
        <v>3736</v>
      </c>
      <c r="B1234" s="505" t="s">
        <v>3737</v>
      </c>
      <c r="C1234" s="512" t="s">
        <v>8671</v>
      </c>
      <c r="D1234" s="512" t="s">
        <v>8460</v>
      </c>
      <c r="E1234" s="512" t="s">
        <v>8673</v>
      </c>
      <c r="F1234" s="512" t="s">
        <v>7991</v>
      </c>
      <c r="G1234" s="512" t="s">
        <v>7436</v>
      </c>
      <c r="H1234" s="512" t="s">
        <v>8672</v>
      </c>
      <c r="L1234" s="505" t="s">
        <v>1233</v>
      </c>
      <c r="M1234" s="516">
        <v>19.75</v>
      </c>
      <c r="N1234" s="505" t="s">
        <v>1233</v>
      </c>
    </row>
    <row r="1235" spans="1:14" x14ac:dyDescent="0.25">
      <c r="A1235" s="505" t="s">
        <v>3738</v>
      </c>
      <c r="B1235" s="505" t="s">
        <v>3739</v>
      </c>
      <c r="C1235" s="512" t="s">
        <v>8671</v>
      </c>
      <c r="D1235" s="512" t="s">
        <v>8460</v>
      </c>
      <c r="E1235" s="512" t="s">
        <v>8673</v>
      </c>
      <c r="F1235" s="512" t="s">
        <v>7433</v>
      </c>
      <c r="G1235" s="512" t="s">
        <v>8672</v>
      </c>
      <c r="L1235" s="505" t="s">
        <v>1233</v>
      </c>
      <c r="M1235" s="516">
        <v>19.75</v>
      </c>
      <c r="N1235" s="505" t="s">
        <v>1233</v>
      </c>
    </row>
    <row r="1236" spans="1:14" x14ac:dyDescent="0.25">
      <c r="A1236" s="505" t="s">
        <v>3740</v>
      </c>
      <c r="B1236" s="505" t="s">
        <v>3741</v>
      </c>
      <c r="C1236" s="512" t="s">
        <v>8671</v>
      </c>
      <c r="D1236" s="512" t="s">
        <v>8460</v>
      </c>
      <c r="E1236" s="512" t="s">
        <v>8673</v>
      </c>
      <c r="F1236" s="512" t="s">
        <v>8460</v>
      </c>
      <c r="G1236" s="512" t="s">
        <v>7436</v>
      </c>
      <c r="H1236" s="512" t="s">
        <v>8672</v>
      </c>
      <c r="L1236" s="505" t="s">
        <v>1233</v>
      </c>
      <c r="M1236" s="516">
        <v>19.75</v>
      </c>
      <c r="N1236" s="505" t="s">
        <v>1233</v>
      </c>
    </row>
    <row r="1237" spans="1:14" x14ac:dyDescent="0.25">
      <c r="A1237" s="505" t="s">
        <v>3742</v>
      </c>
      <c r="B1237" s="505" t="s">
        <v>3743</v>
      </c>
      <c r="C1237" s="512" t="s">
        <v>8671</v>
      </c>
      <c r="D1237" s="512" t="s">
        <v>8460</v>
      </c>
      <c r="E1237" s="512" t="s">
        <v>8673</v>
      </c>
      <c r="F1237" s="512" t="s">
        <v>8674</v>
      </c>
      <c r="L1237" s="505" t="s">
        <v>1233</v>
      </c>
      <c r="M1237" s="516">
        <v>19.75</v>
      </c>
      <c r="N1237" s="505" t="s">
        <v>1233</v>
      </c>
    </row>
    <row r="1238" spans="1:14" x14ac:dyDescent="0.25">
      <c r="A1238" s="505" t="s">
        <v>3744</v>
      </c>
      <c r="B1238" s="505" t="s">
        <v>3745</v>
      </c>
      <c r="C1238" s="512" t="s">
        <v>8671</v>
      </c>
      <c r="D1238" s="512" t="s">
        <v>8460</v>
      </c>
      <c r="E1238" s="512" t="s">
        <v>8673</v>
      </c>
      <c r="F1238" s="512" t="s">
        <v>8404</v>
      </c>
      <c r="G1238" s="512" t="s">
        <v>7595</v>
      </c>
      <c r="L1238" s="505" t="s">
        <v>1233</v>
      </c>
      <c r="M1238" s="516">
        <v>19.75</v>
      </c>
      <c r="N1238" s="505" t="s">
        <v>1233</v>
      </c>
    </row>
    <row r="1239" spans="1:14" x14ac:dyDescent="0.25">
      <c r="A1239" s="505" t="s">
        <v>3746</v>
      </c>
      <c r="B1239" s="505" t="s">
        <v>3747</v>
      </c>
      <c r="C1239" s="512" t="s">
        <v>8671</v>
      </c>
      <c r="D1239" s="512" t="s">
        <v>8675</v>
      </c>
      <c r="E1239" s="512" t="s">
        <v>8676</v>
      </c>
      <c r="F1239" s="512" t="s">
        <v>8677</v>
      </c>
      <c r="G1239" s="512" t="s">
        <v>7437</v>
      </c>
      <c r="H1239" s="512" t="s">
        <v>8672</v>
      </c>
      <c r="L1239" s="505" t="s">
        <v>1233</v>
      </c>
      <c r="M1239" s="516">
        <v>19.75</v>
      </c>
      <c r="N1239" s="505" t="s">
        <v>1233</v>
      </c>
    </row>
    <row r="1240" spans="1:14" x14ac:dyDescent="0.25">
      <c r="A1240" s="505" t="s">
        <v>3748</v>
      </c>
      <c r="B1240" s="505" t="s">
        <v>3749</v>
      </c>
      <c r="C1240" s="512" t="s">
        <v>8671</v>
      </c>
      <c r="D1240" s="512" t="s">
        <v>8675</v>
      </c>
      <c r="E1240" s="512" t="s">
        <v>8676</v>
      </c>
      <c r="F1240" s="512" t="s">
        <v>8677</v>
      </c>
      <c r="G1240" s="512" t="s">
        <v>7991</v>
      </c>
      <c r="H1240" s="512" t="s">
        <v>7436</v>
      </c>
      <c r="L1240" s="505" t="s">
        <v>1233</v>
      </c>
      <c r="M1240" s="516">
        <v>19.75</v>
      </c>
      <c r="N1240" s="505" t="s">
        <v>1233</v>
      </c>
    </row>
    <row r="1241" spans="1:14" x14ac:dyDescent="0.25">
      <c r="A1241" s="505" t="s">
        <v>3750</v>
      </c>
      <c r="B1241" s="505" t="s">
        <v>3751</v>
      </c>
      <c r="C1241" s="512" t="s">
        <v>8671</v>
      </c>
      <c r="D1241" s="512" t="s">
        <v>8675</v>
      </c>
      <c r="E1241" s="512" t="s">
        <v>8676</v>
      </c>
      <c r="F1241" s="512" t="s">
        <v>8677</v>
      </c>
      <c r="G1241" s="512" t="s">
        <v>7433</v>
      </c>
      <c r="H1241" s="512" t="s">
        <v>7436</v>
      </c>
      <c r="L1241" s="505" t="s">
        <v>1233</v>
      </c>
      <c r="M1241" s="516">
        <v>19.75</v>
      </c>
      <c r="N1241" s="505" t="s">
        <v>1233</v>
      </c>
    </row>
    <row r="1242" spans="1:14" x14ac:dyDescent="0.25">
      <c r="A1242" s="505" t="s">
        <v>3752</v>
      </c>
      <c r="B1242" s="505" t="s">
        <v>3753</v>
      </c>
      <c r="C1242" s="512" t="s">
        <v>8671</v>
      </c>
      <c r="D1242" s="512" t="s">
        <v>8675</v>
      </c>
      <c r="E1242" s="512" t="s">
        <v>8676</v>
      </c>
      <c r="F1242" s="512" t="s">
        <v>8678</v>
      </c>
      <c r="G1242" s="512" t="s">
        <v>7437</v>
      </c>
      <c r="H1242" s="512" t="s">
        <v>8679</v>
      </c>
      <c r="L1242" s="505" t="s">
        <v>1233</v>
      </c>
      <c r="M1242" s="516">
        <v>19.75</v>
      </c>
      <c r="N1242" s="505" t="s">
        <v>1233</v>
      </c>
    </row>
    <row r="1243" spans="1:14" x14ac:dyDescent="0.25">
      <c r="A1243" s="505" t="s">
        <v>3754</v>
      </c>
      <c r="B1243" s="505" t="s">
        <v>3755</v>
      </c>
      <c r="C1243" s="512" t="s">
        <v>8671</v>
      </c>
      <c r="D1243" s="512" t="s">
        <v>8675</v>
      </c>
      <c r="E1243" s="512" t="s">
        <v>8676</v>
      </c>
      <c r="F1243" s="512" t="s">
        <v>8678</v>
      </c>
      <c r="G1243" s="512" t="s">
        <v>7991</v>
      </c>
      <c r="H1243" s="512" t="s">
        <v>7436</v>
      </c>
      <c r="L1243" s="505" t="s">
        <v>1233</v>
      </c>
      <c r="M1243" s="516">
        <v>19.75</v>
      </c>
      <c r="N1243" s="505" t="s">
        <v>1233</v>
      </c>
    </row>
    <row r="1244" spans="1:14" x14ac:dyDescent="0.25">
      <c r="A1244" s="505" t="s">
        <v>3756</v>
      </c>
      <c r="B1244" s="505" t="s">
        <v>3757</v>
      </c>
      <c r="C1244" s="512" t="s">
        <v>8671</v>
      </c>
      <c r="D1244" s="512" t="s">
        <v>8675</v>
      </c>
      <c r="E1244" s="512" t="s">
        <v>8676</v>
      </c>
      <c r="F1244" s="512" t="s">
        <v>8678</v>
      </c>
      <c r="G1244" s="512" t="s">
        <v>7433</v>
      </c>
      <c r="H1244" s="512" t="s">
        <v>7436</v>
      </c>
      <c r="L1244" s="505" t="s">
        <v>1233</v>
      </c>
      <c r="M1244" s="516">
        <v>19.75</v>
      </c>
      <c r="N1244" s="505" t="s">
        <v>1233</v>
      </c>
    </row>
    <row r="1245" spans="1:14" x14ac:dyDescent="0.25">
      <c r="A1245" s="505" t="s">
        <v>3758</v>
      </c>
      <c r="B1245" s="505" t="s">
        <v>3759</v>
      </c>
      <c r="C1245" s="512" t="s">
        <v>8671</v>
      </c>
      <c r="D1245" s="512" t="s">
        <v>8675</v>
      </c>
      <c r="E1245" s="512" t="s">
        <v>8676</v>
      </c>
      <c r="F1245" s="512" t="s">
        <v>8677</v>
      </c>
      <c r="G1245" s="512" t="s">
        <v>8680</v>
      </c>
      <c r="H1245" s="512" t="s">
        <v>7990</v>
      </c>
      <c r="I1245" s="512" t="s">
        <v>7999</v>
      </c>
      <c r="L1245" s="505" t="s">
        <v>1233</v>
      </c>
      <c r="M1245" s="516">
        <v>27.9</v>
      </c>
      <c r="N1245" s="505" t="s">
        <v>1233</v>
      </c>
    </row>
    <row r="1246" spans="1:14" x14ac:dyDescent="0.25">
      <c r="A1246" s="505" t="s">
        <v>3760</v>
      </c>
      <c r="B1246" s="505" t="s">
        <v>3761</v>
      </c>
      <c r="C1246" s="512" t="s">
        <v>8671</v>
      </c>
      <c r="D1246" s="512" t="s">
        <v>8675</v>
      </c>
      <c r="E1246" s="512" t="s">
        <v>8676</v>
      </c>
      <c r="F1246" s="512" t="s">
        <v>8677</v>
      </c>
      <c r="G1246" s="512" t="s">
        <v>8680</v>
      </c>
      <c r="H1246" s="512" t="s">
        <v>8391</v>
      </c>
      <c r="I1246" s="512" t="s">
        <v>8681</v>
      </c>
      <c r="L1246" s="505" t="s">
        <v>1233</v>
      </c>
      <c r="M1246" s="516">
        <v>27.9</v>
      </c>
      <c r="N1246" s="505" t="s">
        <v>1233</v>
      </c>
    </row>
    <row r="1247" spans="1:14" x14ac:dyDescent="0.25">
      <c r="A1247" s="505" t="s">
        <v>3762</v>
      </c>
      <c r="B1247" s="505" t="s">
        <v>3763</v>
      </c>
      <c r="C1247" s="512" t="s">
        <v>8671</v>
      </c>
      <c r="D1247" s="512" t="s">
        <v>8675</v>
      </c>
      <c r="E1247" s="512" t="s">
        <v>8676</v>
      </c>
      <c r="F1247" s="512" t="s">
        <v>8677</v>
      </c>
      <c r="G1247" s="512" t="s">
        <v>8680</v>
      </c>
      <c r="H1247" s="512" t="s">
        <v>8391</v>
      </c>
      <c r="I1247" s="512" t="s">
        <v>7999</v>
      </c>
      <c r="L1247" s="505" t="s">
        <v>1233</v>
      </c>
      <c r="M1247" s="516">
        <v>27.9</v>
      </c>
      <c r="N1247" s="505" t="s">
        <v>1233</v>
      </c>
    </row>
    <row r="1248" spans="1:14" x14ac:dyDescent="0.25">
      <c r="A1248" s="505" t="s">
        <v>3764</v>
      </c>
      <c r="B1248" s="505" t="s">
        <v>3765</v>
      </c>
      <c r="C1248" s="512" t="s">
        <v>8671</v>
      </c>
      <c r="D1248" s="512" t="s">
        <v>8675</v>
      </c>
      <c r="E1248" s="512" t="s">
        <v>8676</v>
      </c>
      <c r="F1248" s="512" t="s">
        <v>8677</v>
      </c>
      <c r="G1248" s="512" t="s">
        <v>8680</v>
      </c>
      <c r="H1248" s="512" t="s">
        <v>8364</v>
      </c>
      <c r="I1248" s="512" t="s">
        <v>7999</v>
      </c>
      <c r="L1248" s="505" t="s">
        <v>1233</v>
      </c>
      <c r="M1248" s="516">
        <v>27.9</v>
      </c>
      <c r="N1248" s="505" t="s">
        <v>1233</v>
      </c>
    </row>
    <row r="1249" spans="1:14" x14ac:dyDescent="0.25">
      <c r="A1249" s="505" t="s">
        <v>3766</v>
      </c>
      <c r="B1249" s="505" t="s">
        <v>3767</v>
      </c>
      <c r="C1249" s="512" t="s">
        <v>8671</v>
      </c>
      <c r="D1249" s="512" t="s">
        <v>8675</v>
      </c>
      <c r="E1249" s="512" t="s">
        <v>8676</v>
      </c>
      <c r="F1249" s="512" t="s">
        <v>8678</v>
      </c>
      <c r="G1249" s="512" t="s">
        <v>8680</v>
      </c>
      <c r="H1249" s="512" t="s">
        <v>8113</v>
      </c>
      <c r="L1249" s="505" t="s">
        <v>1233</v>
      </c>
      <c r="M1249" s="516">
        <v>27.9</v>
      </c>
      <c r="N1249" s="505" t="s">
        <v>1233</v>
      </c>
    </row>
    <row r="1250" spans="1:14" x14ac:dyDescent="0.25">
      <c r="A1250" s="505" t="s">
        <v>3768</v>
      </c>
      <c r="B1250" s="505" t="s">
        <v>3769</v>
      </c>
      <c r="C1250" s="512" t="s">
        <v>8671</v>
      </c>
      <c r="D1250" s="512" t="s">
        <v>8675</v>
      </c>
      <c r="E1250" s="512" t="s">
        <v>8676</v>
      </c>
      <c r="F1250" s="512" t="s">
        <v>8678</v>
      </c>
      <c r="G1250" s="512" t="s">
        <v>8680</v>
      </c>
      <c r="H1250" s="512" t="s">
        <v>8682</v>
      </c>
      <c r="L1250" s="505" t="s">
        <v>1233</v>
      </c>
      <c r="M1250" s="516">
        <v>27.9</v>
      </c>
      <c r="N1250" s="505" t="s">
        <v>1233</v>
      </c>
    </row>
    <row r="1251" spans="1:14" x14ac:dyDescent="0.25">
      <c r="A1251" s="505" t="s">
        <v>3770</v>
      </c>
      <c r="B1251" s="505" t="s">
        <v>3771</v>
      </c>
      <c r="C1251" s="512" t="s">
        <v>8671</v>
      </c>
      <c r="D1251" s="512" t="s">
        <v>8675</v>
      </c>
      <c r="E1251" s="512" t="s">
        <v>8676</v>
      </c>
      <c r="F1251" s="512" t="s">
        <v>8678</v>
      </c>
      <c r="G1251" s="512" t="s">
        <v>8680</v>
      </c>
      <c r="H1251" s="512" t="s">
        <v>8683</v>
      </c>
      <c r="L1251" s="505" t="s">
        <v>1233</v>
      </c>
      <c r="M1251" s="516">
        <v>27.9</v>
      </c>
      <c r="N1251" s="505" t="s">
        <v>1233</v>
      </c>
    </row>
    <row r="1252" spans="1:14" x14ac:dyDescent="0.25">
      <c r="A1252" s="505" t="s">
        <v>3772</v>
      </c>
      <c r="B1252" s="505" t="s">
        <v>3773</v>
      </c>
      <c r="C1252" s="512" t="s">
        <v>8671</v>
      </c>
      <c r="D1252" s="512" t="s">
        <v>8675</v>
      </c>
      <c r="E1252" s="512" t="s">
        <v>8676</v>
      </c>
      <c r="F1252" s="512" t="s">
        <v>8678</v>
      </c>
      <c r="G1252" s="512" t="s">
        <v>8680</v>
      </c>
      <c r="H1252" s="512" t="s">
        <v>8684</v>
      </c>
      <c r="L1252" s="505" t="s">
        <v>1233</v>
      </c>
      <c r="M1252" s="516">
        <v>27.9</v>
      </c>
      <c r="N1252" s="505" t="s">
        <v>1233</v>
      </c>
    </row>
    <row r="1253" spans="1:14" x14ac:dyDescent="0.25">
      <c r="A1253" s="505" t="s">
        <v>3774</v>
      </c>
      <c r="B1253" s="505" t="s">
        <v>3775</v>
      </c>
      <c r="C1253" s="512" t="s">
        <v>8671</v>
      </c>
      <c r="D1253" s="512" t="s">
        <v>8685</v>
      </c>
      <c r="E1253" s="512" t="s">
        <v>8686</v>
      </c>
      <c r="F1253" s="512" t="s">
        <v>8472</v>
      </c>
      <c r="G1253" s="512" t="s">
        <v>7437</v>
      </c>
      <c r="H1253" s="512" t="s">
        <v>8672</v>
      </c>
      <c r="L1253" s="505" t="s">
        <v>1233</v>
      </c>
      <c r="M1253" s="516">
        <v>32.24</v>
      </c>
      <c r="N1253" s="505" t="s">
        <v>1233</v>
      </c>
    </row>
    <row r="1254" spans="1:14" x14ac:dyDescent="0.25">
      <c r="A1254" s="505" t="s">
        <v>3776</v>
      </c>
      <c r="B1254" s="505" t="s">
        <v>3777</v>
      </c>
      <c r="C1254" s="512" t="s">
        <v>8671</v>
      </c>
      <c r="D1254" s="512" t="s">
        <v>8685</v>
      </c>
      <c r="E1254" s="512" t="s">
        <v>8686</v>
      </c>
      <c r="F1254" s="512" t="s">
        <v>8472</v>
      </c>
      <c r="G1254" s="512" t="s">
        <v>7991</v>
      </c>
      <c r="H1254" s="512" t="s">
        <v>7436</v>
      </c>
      <c r="L1254" s="505" t="s">
        <v>1233</v>
      </c>
      <c r="M1254" s="516">
        <v>32.24</v>
      </c>
      <c r="N1254" s="505" t="s">
        <v>1233</v>
      </c>
    </row>
    <row r="1255" spans="1:14" x14ac:dyDescent="0.25">
      <c r="A1255" s="505" t="s">
        <v>3778</v>
      </c>
      <c r="B1255" s="505" t="s">
        <v>3779</v>
      </c>
      <c r="C1255" s="512" t="s">
        <v>8671</v>
      </c>
      <c r="D1255" s="512" t="s">
        <v>8685</v>
      </c>
      <c r="E1255" s="512" t="s">
        <v>8686</v>
      </c>
      <c r="F1255" s="512" t="s">
        <v>8472</v>
      </c>
      <c r="G1255" s="512" t="s">
        <v>7433</v>
      </c>
      <c r="H1255" s="512" t="s">
        <v>8672</v>
      </c>
      <c r="L1255" s="505" t="s">
        <v>1233</v>
      </c>
      <c r="M1255" s="516">
        <v>32.24</v>
      </c>
      <c r="N1255" s="505" t="s">
        <v>1233</v>
      </c>
    </row>
    <row r="1256" spans="1:14" x14ac:dyDescent="0.25">
      <c r="A1256" s="505" t="s">
        <v>3780</v>
      </c>
      <c r="B1256" s="505" t="s">
        <v>3781</v>
      </c>
      <c r="C1256" s="512" t="s">
        <v>8671</v>
      </c>
      <c r="D1256" s="512" t="s">
        <v>8685</v>
      </c>
      <c r="E1256" s="512" t="s">
        <v>8686</v>
      </c>
      <c r="F1256" s="512" t="s">
        <v>8472</v>
      </c>
      <c r="G1256" s="512" t="s">
        <v>7433</v>
      </c>
      <c r="H1256" s="512" t="s">
        <v>7436</v>
      </c>
      <c r="L1256" s="505" t="s">
        <v>1233</v>
      </c>
      <c r="M1256" s="516">
        <v>31.33</v>
      </c>
      <c r="N1256" s="505" t="s">
        <v>1233</v>
      </c>
    </row>
    <row r="1257" spans="1:14" x14ac:dyDescent="0.25">
      <c r="A1257" s="505" t="s">
        <v>3782</v>
      </c>
      <c r="B1257" s="505" t="s">
        <v>3783</v>
      </c>
      <c r="C1257" s="512" t="s">
        <v>8671</v>
      </c>
      <c r="D1257" s="512" t="s">
        <v>8685</v>
      </c>
      <c r="E1257" s="512" t="s">
        <v>8686</v>
      </c>
      <c r="F1257" s="512" t="s">
        <v>8472</v>
      </c>
      <c r="G1257" s="512" t="s">
        <v>8460</v>
      </c>
      <c r="H1257" s="512" t="s">
        <v>7436</v>
      </c>
      <c r="L1257" s="505" t="s">
        <v>1233</v>
      </c>
      <c r="M1257" s="516">
        <v>31.33</v>
      </c>
      <c r="N1257" s="505" t="s">
        <v>1233</v>
      </c>
    </row>
    <row r="1258" spans="1:14" x14ac:dyDescent="0.25">
      <c r="A1258" s="505" t="s">
        <v>3784</v>
      </c>
      <c r="B1258" s="505" t="s">
        <v>3785</v>
      </c>
      <c r="C1258" s="512" t="s">
        <v>8671</v>
      </c>
      <c r="D1258" s="512" t="s">
        <v>7735</v>
      </c>
      <c r="E1258" s="512" t="s">
        <v>8685</v>
      </c>
      <c r="F1258" s="512" t="s">
        <v>7797</v>
      </c>
      <c r="G1258" s="512" t="s">
        <v>7437</v>
      </c>
      <c r="H1258" s="512" t="s">
        <v>8672</v>
      </c>
      <c r="L1258" s="505" t="s">
        <v>1233</v>
      </c>
      <c r="M1258" s="516">
        <v>32.159999999999997</v>
      </c>
      <c r="N1258" s="505" t="s">
        <v>1233</v>
      </c>
    </row>
    <row r="1259" spans="1:14" x14ac:dyDescent="0.25">
      <c r="A1259" s="505" t="s">
        <v>3786</v>
      </c>
      <c r="B1259" s="505" t="s">
        <v>3787</v>
      </c>
      <c r="C1259" s="512" t="s">
        <v>8671</v>
      </c>
      <c r="D1259" s="512" t="s">
        <v>7735</v>
      </c>
      <c r="E1259" s="512" t="s">
        <v>8685</v>
      </c>
      <c r="F1259" s="512" t="s">
        <v>7797</v>
      </c>
      <c r="G1259" s="512" t="s">
        <v>7991</v>
      </c>
      <c r="H1259" s="512" t="s">
        <v>7436</v>
      </c>
      <c r="I1259" s="512" t="s">
        <v>8672</v>
      </c>
      <c r="L1259" s="505" t="s">
        <v>1233</v>
      </c>
      <c r="M1259" s="516">
        <v>32.159999999999997</v>
      </c>
      <c r="N1259" s="505" t="s">
        <v>1233</v>
      </c>
    </row>
    <row r="1260" spans="1:14" x14ac:dyDescent="0.25">
      <c r="A1260" s="505" t="s">
        <v>3788</v>
      </c>
      <c r="B1260" s="505" t="s">
        <v>3789</v>
      </c>
      <c r="C1260" s="512" t="s">
        <v>8671</v>
      </c>
      <c r="D1260" s="512" t="s">
        <v>7735</v>
      </c>
      <c r="E1260" s="512" t="s">
        <v>8685</v>
      </c>
      <c r="F1260" s="512" t="s">
        <v>7797</v>
      </c>
      <c r="G1260" s="512" t="s">
        <v>7433</v>
      </c>
      <c r="H1260" s="512" t="s">
        <v>8672</v>
      </c>
      <c r="L1260" s="505" t="s">
        <v>1233</v>
      </c>
      <c r="M1260" s="516">
        <v>32.159999999999997</v>
      </c>
      <c r="N1260" s="505" t="s">
        <v>1233</v>
      </c>
    </row>
    <row r="1261" spans="1:14" x14ac:dyDescent="0.25">
      <c r="A1261" s="505" t="s">
        <v>3790</v>
      </c>
      <c r="B1261" s="505" t="s">
        <v>3791</v>
      </c>
      <c r="C1261" s="512" t="s">
        <v>8671</v>
      </c>
      <c r="D1261" s="512" t="s">
        <v>7735</v>
      </c>
      <c r="E1261" s="512" t="s">
        <v>8685</v>
      </c>
      <c r="F1261" s="512" t="s">
        <v>7797</v>
      </c>
      <c r="G1261" s="512" t="s">
        <v>8460</v>
      </c>
      <c r="H1261" s="512" t="s">
        <v>7436</v>
      </c>
      <c r="I1261" s="512" t="s">
        <v>8672</v>
      </c>
      <c r="L1261" s="505" t="s">
        <v>1233</v>
      </c>
      <c r="M1261" s="516">
        <v>32.159999999999997</v>
      </c>
      <c r="N1261" s="505" t="s">
        <v>1233</v>
      </c>
    </row>
    <row r="1262" spans="1:14" x14ac:dyDescent="0.25">
      <c r="A1262" s="505" t="s">
        <v>3792</v>
      </c>
      <c r="B1262" s="505" t="s">
        <v>3793</v>
      </c>
      <c r="C1262" s="512" t="s">
        <v>8671</v>
      </c>
      <c r="D1262" s="512" t="s">
        <v>7735</v>
      </c>
      <c r="E1262" s="512" t="s">
        <v>8685</v>
      </c>
      <c r="F1262" s="512" t="s">
        <v>7797</v>
      </c>
      <c r="G1262" s="512" t="s">
        <v>8404</v>
      </c>
      <c r="H1262" s="512" t="s">
        <v>7595</v>
      </c>
      <c r="L1262" s="505" t="s">
        <v>1233</v>
      </c>
      <c r="M1262" s="516">
        <v>32.159999999999997</v>
      </c>
      <c r="N1262" s="505" t="s">
        <v>1233</v>
      </c>
    </row>
    <row r="1263" spans="1:14" x14ac:dyDescent="0.25">
      <c r="A1263" s="505" t="s">
        <v>3794</v>
      </c>
      <c r="B1263" s="505" t="s">
        <v>3795</v>
      </c>
      <c r="C1263" s="512" t="s">
        <v>8671</v>
      </c>
      <c r="D1263" s="512" t="s">
        <v>8687</v>
      </c>
      <c r="E1263" s="512" t="s">
        <v>8673</v>
      </c>
      <c r="F1263" s="512" t="s">
        <v>7437</v>
      </c>
      <c r="G1263" s="512" t="s">
        <v>8672</v>
      </c>
      <c r="L1263" s="505" t="s">
        <v>1233</v>
      </c>
      <c r="M1263" s="516">
        <v>17.55</v>
      </c>
      <c r="N1263" s="505" t="s">
        <v>1233</v>
      </c>
    </row>
    <row r="1264" spans="1:14" x14ac:dyDescent="0.25">
      <c r="A1264" s="505" t="s">
        <v>3796</v>
      </c>
      <c r="B1264" s="505" t="s">
        <v>3797</v>
      </c>
      <c r="C1264" s="512" t="s">
        <v>8671</v>
      </c>
      <c r="D1264" s="512" t="s">
        <v>8687</v>
      </c>
      <c r="E1264" s="512" t="s">
        <v>8673</v>
      </c>
      <c r="F1264" s="512" t="s">
        <v>7991</v>
      </c>
      <c r="G1264" s="512" t="s">
        <v>7436</v>
      </c>
      <c r="H1264" s="512" t="s">
        <v>8672</v>
      </c>
      <c r="L1264" s="505" t="s">
        <v>1233</v>
      </c>
      <c r="M1264" s="516">
        <v>15.25</v>
      </c>
      <c r="N1264" s="505" t="s">
        <v>1233</v>
      </c>
    </row>
    <row r="1265" spans="1:14" x14ac:dyDescent="0.25">
      <c r="A1265" s="505" t="s">
        <v>3798</v>
      </c>
      <c r="B1265" s="505" t="s">
        <v>3799</v>
      </c>
      <c r="C1265" s="512" t="s">
        <v>8671</v>
      </c>
      <c r="D1265" s="512" t="s">
        <v>8687</v>
      </c>
      <c r="E1265" s="512" t="s">
        <v>8673</v>
      </c>
      <c r="F1265" s="512" t="s">
        <v>7433</v>
      </c>
      <c r="G1265" s="512" t="s">
        <v>8672</v>
      </c>
      <c r="L1265" s="505" t="s">
        <v>1233</v>
      </c>
      <c r="M1265" s="516">
        <v>15.25</v>
      </c>
      <c r="N1265" s="505" t="s">
        <v>1233</v>
      </c>
    </row>
    <row r="1266" spans="1:14" x14ac:dyDescent="0.25">
      <c r="A1266" s="505" t="s">
        <v>3800</v>
      </c>
      <c r="B1266" s="505" t="s">
        <v>3801</v>
      </c>
      <c r="C1266" s="512" t="s">
        <v>8671</v>
      </c>
      <c r="D1266" s="512" t="s">
        <v>8687</v>
      </c>
      <c r="E1266" s="512" t="s">
        <v>8673</v>
      </c>
      <c r="F1266" s="512" t="s">
        <v>8460</v>
      </c>
      <c r="G1266" s="512" t="s">
        <v>7436</v>
      </c>
      <c r="H1266" s="512" t="s">
        <v>8672</v>
      </c>
      <c r="L1266" s="505" t="s">
        <v>1233</v>
      </c>
      <c r="M1266" s="516">
        <v>17.55</v>
      </c>
      <c r="N1266" s="505" t="s">
        <v>1233</v>
      </c>
    </row>
    <row r="1267" spans="1:14" x14ac:dyDescent="0.25">
      <c r="A1267" s="505" t="s">
        <v>3802</v>
      </c>
      <c r="B1267" s="505" t="s">
        <v>3803</v>
      </c>
      <c r="C1267" s="512" t="s">
        <v>8671</v>
      </c>
      <c r="D1267" s="512" t="s">
        <v>8687</v>
      </c>
      <c r="E1267" s="512" t="s">
        <v>8673</v>
      </c>
      <c r="F1267" s="512" t="s">
        <v>8674</v>
      </c>
      <c r="L1267" s="505" t="s">
        <v>1233</v>
      </c>
      <c r="M1267" s="516">
        <v>15.25</v>
      </c>
      <c r="N1267" s="505" t="s">
        <v>1233</v>
      </c>
    </row>
    <row r="1268" spans="1:14" x14ac:dyDescent="0.25">
      <c r="A1268" s="505" t="s">
        <v>3804</v>
      </c>
      <c r="B1268" s="505" t="s">
        <v>3805</v>
      </c>
      <c r="C1268" s="512" t="s">
        <v>8671</v>
      </c>
      <c r="D1268" s="512" t="s">
        <v>8687</v>
      </c>
      <c r="E1268" s="512" t="s">
        <v>8673</v>
      </c>
      <c r="F1268" s="512" t="s">
        <v>8404</v>
      </c>
      <c r="G1268" s="512" t="s">
        <v>7595</v>
      </c>
      <c r="L1268" s="505" t="s">
        <v>1233</v>
      </c>
      <c r="M1268" s="516">
        <v>15.25</v>
      </c>
      <c r="N1268" s="505" t="s">
        <v>1233</v>
      </c>
    </row>
    <row r="1269" spans="1:14" s="530" customFormat="1" x14ac:dyDescent="0.25">
      <c r="A1269" s="530" t="s">
        <v>3806</v>
      </c>
      <c r="B1269" s="530" t="s">
        <v>3807</v>
      </c>
      <c r="C1269" s="531" t="s">
        <v>8671</v>
      </c>
      <c r="D1269" s="531" t="s">
        <v>8688</v>
      </c>
      <c r="E1269" s="531" t="s">
        <v>8676</v>
      </c>
      <c r="F1269" s="531" t="s">
        <v>8677</v>
      </c>
      <c r="G1269" s="531" t="s">
        <v>7991</v>
      </c>
      <c r="H1269" s="531" t="s">
        <v>7436</v>
      </c>
      <c r="I1269" s="531"/>
      <c r="L1269" s="530" t="s">
        <v>1233</v>
      </c>
      <c r="M1269" s="532">
        <v>0</v>
      </c>
      <c r="N1269" s="530" t="s">
        <v>1544</v>
      </c>
    </row>
    <row r="1270" spans="1:14" s="530" customFormat="1" x14ac:dyDescent="0.25">
      <c r="A1270" s="530" t="s">
        <v>3808</v>
      </c>
      <c r="B1270" s="530" t="s">
        <v>3809</v>
      </c>
      <c r="C1270" s="531" t="s">
        <v>8671</v>
      </c>
      <c r="D1270" s="531" t="s">
        <v>8688</v>
      </c>
      <c r="E1270" s="531" t="s">
        <v>8676</v>
      </c>
      <c r="F1270" s="531" t="s">
        <v>8678</v>
      </c>
      <c r="G1270" s="531" t="s">
        <v>7991</v>
      </c>
      <c r="H1270" s="531" t="s">
        <v>7436</v>
      </c>
      <c r="I1270" s="531"/>
      <c r="L1270" s="530" t="s">
        <v>1233</v>
      </c>
      <c r="M1270" s="532">
        <v>0</v>
      </c>
      <c r="N1270" s="530" t="s">
        <v>1544</v>
      </c>
    </row>
    <row r="1271" spans="1:14" s="530" customFormat="1" x14ac:dyDescent="0.25">
      <c r="A1271" s="530" t="s">
        <v>3810</v>
      </c>
      <c r="B1271" s="530" t="s">
        <v>3811</v>
      </c>
      <c r="C1271" s="531" t="s">
        <v>8671</v>
      </c>
      <c r="D1271" s="531" t="s">
        <v>8688</v>
      </c>
      <c r="E1271" s="531" t="s">
        <v>8472</v>
      </c>
      <c r="F1271" s="531" t="s">
        <v>7991</v>
      </c>
      <c r="G1271" s="531" t="s">
        <v>7436</v>
      </c>
      <c r="H1271" s="531"/>
      <c r="I1271" s="531"/>
      <c r="L1271" s="530" t="s">
        <v>1233</v>
      </c>
      <c r="M1271" s="532">
        <v>0</v>
      </c>
      <c r="N1271" s="530" t="s">
        <v>1544</v>
      </c>
    </row>
    <row r="1272" spans="1:14" x14ac:dyDescent="0.25">
      <c r="A1272" s="505" t="s">
        <v>3812</v>
      </c>
      <c r="B1272" s="505" t="s">
        <v>3813</v>
      </c>
      <c r="C1272" s="512" t="s">
        <v>8671</v>
      </c>
      <c r="D1272" s="512" t="s">
        <v>8689</v>
      </c>
      <c r="E1272" s="512" t="s">
        <v>8686</v>
      </c>
      <c r="F1272" s="512" t="s">
        <v>8690</v>
      </c>
      <c r="G1272" s="512" t="s">
        <v>2466</v>
      </c>
      <c r="H1272" s="512" t="s">
        <v>8037</v>
      </c>
      <c r="I1272" s="512" t="s">
        <v>8691</v>
      </c>
      <c r="L1272" s="505" t="s">
        <v>1233</v>
      </c>
      <c r="M1272" s="516">
        <v>50.6</v>
      </c>
      <c r="N1272" s="505" t="s">
        <v>1233</v>
      </c>
    </row>
    <row r="1273" spans="1:14" x14ac:dyDescent="0.25">
      <c r="A1273" s="505" t="s">
        <v>3814</v>
      </c>
      <c r="B1273" s="505" t="s">
        <v>3815</v>
      </c>
      <c r="C1273" s="512" t="s">
        <v>8671</v>
      </c>
      <c r="D1273" s="512" t="s">
        <v>7563</v>
      </c>
      <c r="E1273" s="512" t="s">
        <v>7606</v>
      </c>
      <c r="F1273" s="512" t="s">
        <v>8692</v>
      </c>
      <c r="L1273" s="505" t="s">
        <v>1233</v>
      </c>
      <c r="M1273" s="516">
        <v>6.14</v>
      </c>
      <c r="N1273" s="505" t="s">
        <v>1233</v>
      </c>
    </row>
    <row r="1274" spans="1:14" x14ac:dyDescent="0.25">
      <c r="A1274" s="505" t="s">
        <v>3816</v>
      </c>
      <c r="B1274" s="505" t="s">
        <v>3817</v>
      </c>
      <c r="C1274" s="512" t="s">
        <v>8671</v>
      </c>
      <c r="D1274" s="512" t="s">
        <v>8693</v>
      </c>
      <c r="E1274" s="512" t="s">
        <v>8686</v>
      </c>
      <c r="F1274" s="512" t="s">
        <v>8676</v>
      </c>
      <c r="G1274" s="512" t="s">
        <v>8677</v>
      </c>
      <c r="H1274" s="512" t="s">
        <v>7437</v>
      </c>
      <c r="I1274" s="512" t="s">
        <v>8679</v>
      </c>
      <c r="L1274" s="505" t="s">
        <v>1233</v>
      </c>
      <c r="M1274" s="516">
        <v>21.05</v>
      </c>
      <c r="N1274" s="505" t="s">
        <v>1233</v>
      </c>
    </row>
    <row r="1275" spans="1:14" x14ac:dyDescent="0.25">
      <c r="A1275" s="505" t="s">
        <v>3818</v>
      </c>
      <c r="B1275" s="505" t="s">
        <v>3819</v>
      </c>
      <c r="C1275" s="512" t="s">
        <v>8671</v>
      </c>
      <c r="D1275" s="512" t="s">
        <v>8693</v>
      </c>
      <c r="E1275" s="512" t="s">
        <v>8686</v>
      </c>
      <c r="F1275" s="512" t="s">
        <v>8676</v>
      </c>
      <c r="G1275" s="512" t="s">
        <v>8677</v>
      </c>
      <c r="H1275" s="512" t="s">
        <v>7991</v>
      </c>
      <c r="I1275" s="512" t="s">
        <v>7436</v>
      </c>
      <c r="L1275" s="505" t="s">
        <v>1233</v>
      </c>
      <c r="M1275" s="516">
        <v>21.05</v>
      </c>
      <c r="N1275" s="505" t="s">
        <v>1233</v>
      </c>
    </row>
    <row r="1276" spans="1:14" x14ac:dyDescent="0.25">
      <c r="A1276" s="505" t="s">
        <v>3820</v>
      </c>
      <c r="B1276" s="505" t="s">
        <v>3821</v>
      </c>
      <c r="C1276" s="512" t="s">
        <v>8671</v>
      </c>
      <c r="D1276" s="512" t="s">
        <v>8693</v>
      </c>
      <c r="E1276" s="512" t="s">
        <v>8686</v>
      </c>
      <c r="F1276" s="512" t="s">
        <v>8676</v>
      </c>
      <c r="G1276" s="512" t="s">
        <v>8677</v>
      </c>
      <c r="H1276" s="512" t="s">
        <v>7433</v>
      </c>
      <c r="I1276" s="512" t="s">
        <v>8672</v>
      </c>
      <c r="L1276" s="505" t="s">
        <v>1233</v>
      </c>
      <c r="M1276" s="516">
        <v>19.75</v>
      </c>
      <c r="N1276" s="505" t="s">
        <v>1233</v>
      </c>
    </row>
    <row r="1277" spans="1:14" x14ac:dyDescent="0.25">
      <c r="A1277" s="505" t="s">
        <v>3822</v>
      </c>
      <c r="B1277" s="505" t="s">
        <v>3823</v>
      </c>
      <c r="C1277" s="512" t="s">
        <v>8671</v>
      </c>
      <c r="D1277" s="512" t="s">
        <v>8693</v>
      </c>
      <c r="E1277" s="512" t="s">
        <v>8686</v>
      </c>
      <c r="F1277" s="512" t="s">
        <v>8676</v>
      </c>
      <c r="G1277" s="512" t="s">
        <v>8677</v>
      </c>
      <c r="H1277" s="512" t="s">
        <v>7433</v>
      </c>
      <c r="I1277" s="512" t="s">
        <v>7436</v>
      </c>
      <c r="L1277" s="505" t="s">
        <v>1233</v>
      </c>
      <c r="M1277" s="516">
        <v>19.75</v>
      </c>
      <c r="N1277" s="505" t="s">
        <v>1233</v>
      </c>
    </row>
    <row r="1278" spans="1:14" x14ac:dyDescent="0.25">
      <c r="A1278" s="505" t="s">
        <v>3824</v>
      </c>
      <c r="B1278" s="505" t="s">
        <v>3825</v>
      </c>
      <c r="C1278" s="512" t="s">
        <v>8671</v>
      </c>
      <c r="D1278" s="512" t="s">
        <v>8693</v>
      </c>
      <c r="E1278" s="512" t="s">
        <v>8686</v>
      </c>
      <c r="F1278" s="512" t="s">
        <v>8676</v>
      </c>
      <c r="G1278" s="512" t="s">
        <v>8677</v>
      </c>
      <c r="H1278" s="512" t="s">
        <v>8460</v>
      </c>
      <c r="I1278" s="512" t="s">
        <v>7799</v>
      </c>
      <c r="L1278" s="505" t="s">
        <v>1233</v>
      </c>
      <c r="M1278" s="516">
        <v>19.75</v>
      </c>
      <c r="N1278" s="505" t="s">
        <v>1233</v>
      </c>
    </row>
    <row r="1279" spans="1:14" x14ac:dyDescent="0.25">
      <c r="A1279" s="505" t="s">
        <v>3826</v>
      </c>
      <c r="B1279" s="505" t="s">
        <v>3827</v>
      </c>
      <c r="C1279" s="512" t="s">
        <v>8671</v>
      </c>
      <c r="D1279" s="512" t="s">
        <v>8693</v>
      </c>
      <c r="E1279" s="512" t="s">
        <v>8686</v>
      </c>
      <c r="F1279" s="512" t="s">
        <v>8676</v>
      </c>
      <c r="G1279" s="512" t="s">
        <v>8677</v>
      </c>
      <c r="H1279" s="512" t="s">
        <v>8674</v>
      </c>
      <c r="L1279" s="505" t="s">
        <v>1233</v>
      </c>
      <c r="M1279" s="516">
        <v>19.75</v>
      </c>
      <c r="N1279" s="505" t="s">
        <v>1233</v>
      </c>
    </row>
    <row r="1280" spans="1:14" x14ac:dyDescent="0.25">
      <c r="A1280" s="505" t="s">
        <v>3828</v>
      </c>
      <c r="B1280" s="505" t="s">
        <v>3829</v>
      </c>
      <c r="C1280" s="512" t="s">
        <v>8671</v>
      </c>
      <c r="D1280" s="512" t="s">
        <v>8693</v>
      </c>
      <c r="E1280" s="512" t="s">
        <v>8686</v>
      </c>
      <c r="F1280" s="512" t="s">
        <v>8676</v>
      </c>
      <c r="G1280" s="512" t="s">
        <v>8677</v>
      </c>
      <c r="H1280" s="512" t="s">
        <v>8694</v>
      </c>
      <c r="I1280" s="512" t="s">
        <v>7595</v>
      </c>
      <c r="L1280" s="505" t="s">
        <v>1233</v>
      </c>
      <c r="M1280" s="516">
        <v>21.05</v>
      </c>
      <c r="N1280" s="505" t="s">
        <v>1233</v>
      </c>
    </row>
    <row r="1281" spans="1:14" x14ac:dyDescent="0.25">
      <c r="A1281" s="505" t="s">
        <v>3830</v>
      </c>
      <c r="B1281" s="505" t="s">
        <v>3831</v>
      </c>
      <c r="C1281" s="512" t="s">
        <v>8671</v>
      </c>
      <c r="D1281" s="512" t="s">
        <v>8693</v>
      </c>
      <c r="E1281" s="512" t="s">
        <v>8686</v>
      </c>
      <c r="F1281" s="512" t="s">
        <v>8676</v>
      </c>
      <c r="G1281" s="512" t="s">
        <v>8678</v>
      </c>
      <c r="H1281" s="512" t="s">
        <v>7437</v>
      </c>
      <c r="I1281" s="512" t="s">
        <v>8681</v>
      </c>
      <c r="L1281" s="505" t="s">
        <v>1233</v>
      </c>
      <c r="M1281" s="516">
        <v>21.05</v>
      </c>
      <c r="N1281" s="505" t="s">
        <v>1233</v>
      </c>
    </row>
    <row r="1282" spans="1:14" x14ac:dyDescent="0.25">
      <c r="A1282" s="505" t="s">
        <v>3832</v>
      </c>
      <c r="B1282" s="505" t="s">
        <v>3833</v>
      </c>
      <c r="C1282" s="512" t="s">
        <v>8671</v>
      </c>
      <c r="D1282" s="512" t="s">
        <v>8693</v>
      </c>
      <c r="E1282" s="512" t="s">
        <v>8686</v>
      </c>
      <c r="F1282" s="512" t="s">
        <v>8676</v>
      </c>
      <c r="G1282" s="512" t="s">
        <v>8678</v>
      </c>
      <c r="H1282" s="512" t="s">
        <v>7991</v>
      </c>
      <c r="I1282" s="512" t="s">
        <v>7799</v>
      </c>
      <c r="L1282" s="505" t="s">
        <v>1233</v>
      </c>
      <c r="M1282" s="516">
        <v>21.05</v>
      </c>
      <c r="N1282" s="505" t="s">
        <v>1233</v>
      </c>
    </row>
    <row r="1283" spans="1:14" x14ac:dyDescent="0.25">
      <c r="A1283" s="505" t="s">
        <v>3834</v>
      </c>
      <c r="B1283" s="505" t="s">
        <v>3835</v>
      </c>
      <c r="C1283" s="512" t="s">
        <v>8671</v>
      </c>
      <c r="D1283" s="512" t="s">
        <v>8693</v>
      </c>
      <c r="E1283" s="512" t="s">
        <v>8686</v>
      </c>
      <c r="F1283" s="512" t="s">
        <v>8676</v>
      </c>
      <c r="G1283" s="512" t="s">
        <v>8678</v>
      </c>
      <c r="H1283" s="512" t="s">
        <v>7433</v>
      </c>
      <c r="I1283" s="512" t="s">
        <v>8679</v>
      </c>
      <c r="L1283" s="505" t="s">
        <v>1233</v>
      </c>
      <c r="M1283" s="516">
        <v>19.75</v>
      </c>
      <c r="N1283" s="505" t="s">
        <v>1233</v>
      </c>
    </row>
    <row r="1284" spans="1:14" x14ac:dyDescent="0.25">
      <c r="A1284" s="505" t="s">
        <v>3836</v>
      </c>
      <c r="B1284" s="505" t="s">
        <v>3837</v>
      </c>
      <c r="C1284" s="512" t="s">
        <v>8671</v>
      </c>
      <c r="D1284" s="512" t="s">
        <v>8693</v>
      </c>
      <c r="E1284" s="512" t="s">
        <v>8686</v>
      </c>
      <c r="F1284" s="512" t="s">
        <v>8676</v>
      </c>
      <c r="G1284" s="512" t="s">
        <v>8678</v>
      </c>
      <c r="H1284" s="512" t="s">
        <v>7433</v>
      </c>
      <c r="I1284" s="512" t="s">
        <v>7799</v>
      </c>
      <c r="L1284" s="505" t="s">
        <v>1233</v>
      </c>
      <c r="M1284" s="516">
        <v>19.75</v>
      </c>
      <c r="N1284" s="505" t="s">
        <v>1233</v>
      </c>
    </row>
    <row r="1285" spans="1:14" x14ac:dyDescent="0.25">
      <c r="A1285" s="505" t="s">
        <v>3838</v>
      </c>
      <c r="B1285" s="505" t="s">
        <v>3839</v>
      </c>
      <c r="C1285" s="512" t="s">
        <v>8671</v>
      </c>
      <c r="D1285" s="512" t="s">
        <v>8693</v>
      </c>
      <c r="E1285" s="512" t="s">
        <v>8686</v>
      </c>
      <c r="F1285" s="512" t="s">
        <v>8676</v>
      </c>
      <c r="G1285" s="512" t="s">
        <v>8678</v>
      </c>
      <c r="H1285" s="512" t="s">
        <v>8460</v>
      </c>
      <c r="I1285" s="512" t="s">
        <v>7999</v>
      </c>
      <c r="L1285" s="505" t="s">
        <v>1233</v>
      </c>
      <c r="M1285" s="516">
        <v>19.75</v>
      </c>
      <c r="N1285" s="505" t="s">
        <v>1233</v>
      </c>
    </row>
    <row r="1286" spans="1:14" x14ac:dyDescent="0.25">
      <c r="A1286" s="505" t="s">
        <v>3840</v>
      </c>
      <c r="B1286" s="505" t="s">
        <v>3841</v>
      </c>
      <c r="C1286" s="512" t="s">
        <v>8671</v>
      </c>
      <c r="D1286" s="512" t="s">
        <v>8693</v>
      </c>
      <c r="E1286" s="512" t="s">
        <v>8686</v>
      </c>
      <c r="F1286" s="512" t="s">
        <v>8676</v>
      </c>
      <c r="G1286" s="512" t="s">
        <v>8678</v>
      </c>
      <c r="H1286" s="512" t="s">
        <v>8674</v>
      </c>
      <c r="L1286" s="505" t="s">
        <v>1233</v>
      </c>
      <c r="M1286" s="516">
        <v>19.75</v>
      </c>
      <c r="N1286" s="505" t="s">
        <v>1233</v>
      </c>
    </row>
    <row r="1287" spans="1:14" x14ac:dyDescent="0.25">
      <c r="A1287" s="505" t="s">
        <v>3842</v>
      </c>
      <c r="B1287" s="505" t="s">
        <v>3843</v>
      </c>
      <c r="C1287" s="512" t="s">
        <v>8671</v>
      </c>
      <c r="D1287" s="512" t="s">
        <v>8693</v>
      </c>
      <c r="E1287" s="512" t="s">
        <v>8686</v>
      </c>
      <c r="F1287" s="512" t="s">
        <v>8676</v>
      </c>
      <c r="G1287" s="512" t="s">
        <v>8678</v>
      </c>
      <c r="H1287" s="512" t="s">
        <v>8694</v>
      </c>
      <c r="I1287" s="512" t="s">
        <v>7595</v>
      </c>
      <c r="L1287" s="505" t="s">
        <v>1233</v>
      </c>
      <c r="M1287" s="516">
        <v>21.05</v>
      </c>
      <c r="N1287" s="505" t="s">
        <v>1233</v>
      </c>
    </row>
    <row r="1288" spans="1:14" x14ac:dyDescent="0.25">
      <c r="A1288" s="505" t="s">
        <v>3844</v>
      </c>
      <c r="B1288" s="505" t="s">
        <v>3845</v>
      </c>
      <c r="C1288" s="512" t="s">
        <v>8671</v>
      </c>
      <c r="D1288" s="512" t="s">
        <v>8693</v>
      </c>
      <c r="E1288" s="512" t="s">
        <v>8686</v>
      </c>
      <c r="F1288" s="512" t="s">
        <v>8472</v>
      </c>
      <c r="G1288" s="512" t="s">
        <v>7437</v>
      </c>
      <c r="H1288" s="512" t="s">
        <v>8672</v>
      </c>
      <c r="L1288" s="505" t="s">
        <v>1233</v>
      </c>
      <c r="M1288" s="516">
        <v>31.33</v>
      </c>
      <c r="N1288" s="505" t="s">
        <v>1233</v>
      </c>
    </row>
    <row r="1289" spans="1:14" x14ac:dyDescent="0.25">
      <c r="A1289" s="505" t="s">
        <v>3846</v>
      </c>
      <c r="B1289" s="505" t="s">
        <v>3847</v>
      </c>
      <c r="C1289" s="512" t="s">
        <v>8671</v>
      </c>
      <c r="D1289" s="512" t="s">
        <v>8693</v>
      </c>
      <c r="E1289" s="512" t="s">
        <v>8686</v>
      </c>
      <c r="F1289" s="512" t="s">
        <v>8472</v>
      </c>
      <c r="G1289" s="512" t="s">
        <v>7991</v>
      </c>
      <c r="H1289" s="512" t="s">
        <v>7436</v>
      </c>
      <c r="L1289" s="505" t="s">
        <v>1233</v>
      </c>
      <c r="M1289" s="516">
        <v>31.33</v>
      </c>
      <c r="N1289" s="505" t="s">
        <v>1233</v>
      </c>
    </row>
    <row r="1290" spans="1:14" x14ac:dyDescent="0.25">
      <c r="A1290" s="505" t="s">
        <v>3848</v>
      </c>
      <c r="B1290" s="505" t="s">
        <v>3849</v>
      </c>
      <c r="C1290" s="512" t="s">
        <v>8671</v>
      </c>
      <c r="D1290" s="512" t="s">
        <v>8693</v>
      </c>
      <c r="E1290" s="512" t="s">
        <v>8686</v>
      </c>
      <c r="F1290" s="512" t="s">
        <v>8472</v>
      </c>
      <c r="G1290" s="512" t="s">
        <v>7433</v>
      </c>
      <c r="H1290" s="512" t="s">
        <v>7436</v>
      </c>
      <c r="L1290" s="505" t="s">
        <v>1233</v>
      </c>
      <c r="M1290" s="516">
        <v>31.33</v>
      </c>
      <c r="N1290" s="505" t="s">
        <v>1233</v>
      </c>
    </row>
    <row r="1291" spans="1:14" x14ac:dyDescent="0.25">
      <c r="A1291" s="505" t="s">
        <v>3850</v>
      </c>
      <c r="B1291" s="505" t="s">
        <v>3851</v>
      </c>
      <c r="C1291" s="512" t="s">
        <v>8671</v>
      </c>
      <c r="D1291" s="512" t="s">
        <v>8693</v>
      </c>
      <c r="E1291" s="512" t="s">
        <v>8686</v>
      </c>
      <c r="F1291" s="512" t="s">
        <v>8472</v>
      </c>
      <c r="G1291" s="512" t="s">
        <v>8460</v>
      </c>
      <c r="H1291" s="512" t="s">
        <v>7436</v>
      </c>
      <c r="L1291" s="505" t="s">
        <v>1233</v>
      </c>
      <c r="M1291" s="516">
        <v>31.33</v>
      </c>
      <c r="N1291" s="505" t="s">
        <v>1233</v>
      </c>
    </row>
    <row r="1292" spans="1:14" x14ac:dyDescent="0.25">
      <c r="A1292" s="505" t="s">
        <v>3852</v>
      </c>
      <c r="B1292" s="505" t="s">
        <v>3853</v>
      </c>
      <c r="C1292" s="512" t="s">
        <v>8671</v>
      </c>
      <c r="D1292" s="512" t="s">
        <v>8693</v>
      </c>
      <c r="E1292" s="512" t="s">
        <v>8686</v>
      </c>
      <c r="F1292" s="512" t="s">
        <v>8472</v>
      </c>
      <c r="G1292" s="512" t="s">
        <v>8404</v>
      </c>
      <c r="H1292" s="512" t="s">
        <v>7595</v>
      </c>
      <c r="L1292" s="505" t="s">
        <v>1233</v>
      </c>
      <c r="M1292" s="516">
        <v>31.33</v>
      </c>
      <c r="N1292" s="505" t="s">
        <v>1233</v>
      </c>
    </row>
    <row r="1293" spans="1:14" x14ac:dyDescent="0.25">
      <c r="A1293" s="505" t="s">
        <v>3854</v>
      </c>
      <c r="B1293" s="505" t="s">
        <v>3855</v>
      </c>
      <c r="C1293" s="512" t="s">
        <v>8671</v>
      </c>
      <c r="D1293" s="512" t="s">
        <v>8073</v>
      </c>
      <c r="E1293" s="512" t="s">
        <v>7797</v>
      </c>
      <c r="F1293" s="512" t="s">
        <v>7437</v>
      </c>
      <c r="G1293" s="512" t="s">
        <v>8672</v>
      </c>
      <c r="L1293" s="505" t="s">
        <v>1233</v>
      </c>
      <c r="M1293" s="516">
        <v>11.28</v>
      </c>
      <c r="N1293" s="505" t="s">
        <v>1233</v>
      </c>
    </row>
    <row r="1294" spans="1:14" x14ac:dyDescent="0.25">
      <c r="A1294" s="505" t="s">
        <v>3856</v>
      </c>
      <c r="B1294" s="505" t="s">
        <v>3857</v>
      </c>
      <c r="C1294" s="512" t="s">
        <v>8671</v>
      </c>
      <c r="D1294" s="512" t="s">
        <v>8073</v>
      </c>
      <c r="E1294" s="512" t="s">
        <v>7797</v>
      </c>
      <c r="F1294" s="512" t="s">
        <v>7991</v>
      </c>
      <c r="G1294" s="512" t="s">
        <v>7436</v>
      </c>
      <c r="L1294" s="505" t="s">
        <v>1233</v>
      </c>
      <c r="M1294" s="516">
        <v>11.28</v>
      </c>
      <c r="N1294" s="505" t="s">
        <v>1233</v>
      </c>
    </row>
    <row r="1295" spans="1:14" x14ac:dyDescent="0.25">
      <c r="A1295" s="505" t="s">
        <v>3858</v>
      </c>
      <c r="B1295" s="505" t="s">
        <v>3859</v>
      </c>
      <c r="C1295" s="512" t="s">
        <v>8671</v>
      </c>
      <c r="D1295" s="512" t="s">
        <v>8073</v>
      </c>
      <c r="E1295" s="512" t="s">
        <v>7797</v>
      </c>
      <c r="F1295" s="512" t="s">
        <v>7433</v>
      </c>
      <c r="G1295" s="512" t="s">
        <v>8672</v>
      </c>
      <c r="L1295" s="505" t="s">
        <v>1233</v>
      </c>
      <c r="M1295" s="516">
        <v>11.28</v>
      </c>
      <c r="N1295" s="505" t="s">
        <v>1233</v>
      </c>
    </row>
    <row r="1296" spans="1:14" x14ac:dyDescent="0.25">
      <c r="A1296" s="505" t="s">
        <v>3860</v>
      </c>
      <c r="B1296" s="505" t="s">
        <v>3861</v>
      </c>
      <c r="C1296" s="512" t="s">
        <v>8671</v>
      </c>
      <c r="D1296" s="512" t="s">
        <v>8073</v>
      </c>
      <c r="E1296" s="512" t="s">
        <v>7797</v>
      </c>
      <c r="F1296" s="512" t="s">
        <v>8674</v>
      </c>
      <c r="L1296" s="505" t="s">
        <v>1233</v>
      </c>
      <c r="M1296" s="516">
        <v>11.28</v>
      </c>
      <c r="N1296" s="505" t="s">
        <v>1233</v>
      </c>
    </row>
    <row r="1297" spans="1:14" x14ac:dyDescent="0.25">
      <c r="A1297" s="505" t="s">
        <v>3862</v>
      </c>
      <c r="B1297" s="505" t="s">
        <v>3863</v>
      </c>
      <c r="C1297" s="512" t="s">
        <v>8671</v>
      </c>
      <c r="D1297" s="512" t="s">
        <v>8073</v>
      </c>
      <c r="E1297" s="512" t="s">
        <v>7797</v>
      </c>
      <c r="F1297" s="512" t="s">
        <v>8404</v>
      </c>
      <c r="G1297" s="512" t="s">
        <v>7595</v>
      </c>
      <c r="L1297" s="505" t="s">
        <v>1233</v>
      </c>
      <c r="M1297" s="516">
        <v>11.28</v>
      </c>
      <c r="N1297" s="505" t="s">
        <v>1233</v>
      </c>
    </row>
    <row r="1298" spans="1:14" x14ac:dyDescent="0.25">
      <c r="A1298" s="505" t="s">
        <v>3864</v>
      </c>
      <c r="B1298" s="505" t="s">
        <v>3865</v>
      </c>
      <c r="C1298" s="512" t="s">
        <v>8671</v>
      </c>
      <c r="D1298" s="512" t="s">
        <v>8695</v>
      </c>
      <c r="E1298" s="512" t="s">
        <v>8696</v>
      </c>
      <c r="F1298" s="512" t="s">
        <v>8275</v>
      </c>
      <c r="G1298" s="512" t="s">
        <v>8697</v>
      </c>
      <c r="H1298" s="512" t="s">
        <v>7437</v>
      </c>
      <c r="I1298" s="512" t="s">
        <v>8672</v>
      </c>
      <c r="L1298" s="505" t="s">
        <v>2737</v>
      </c>
      <c r="M1298" s="516">
        <v>16.75</v>
      </c>
      <c r="N1298" s="505" t="s">
        <v>2737</v>
      </c>
    </row>
    <row r="1299" spans="1:14" x14ac:dyDescent="0.25">
      <c r="A1299" s="505" t="s">
        <v>3866</v>
      </c>
      <c r="B1299" s="505" t="s">
        <v>3867</v>
      </c>
      <c r="C1299" s="512" t="s">
        <v>8671</v>
      </c>
      <c r="D1299" s="512" t="s">
        <v>8695</v>
      </c>
      <c r="E1299" s="512" t="s">
        <v>8696</v>
      </c>
      <c r="F1299" s="512" t="s">
        <v>8275</v>
      </c>
      <c r="G1299" s="512" t="s">
        <v>8697</v>
      </c>
      <c r="H1299" s="512" t="s">
        <v>7991</v>
      </c>
      <c r="I1299" s="512" t="s">
        <v>7436</v>
      </c>
      <c r="L1299" s="505" t="s">
        <v>2737</v>
      </c>
      <c r="M1299" s="516">
        <v>16.75</v>
      </c>
      <c r="N1299" s="505" t="s">
        <v>2737</v>
      </c>
    </row>
    <row r="1300" spans="1:14" x14ac:dyDescent="0.25">
      <c r="A1300" s="505" t="s">
        <v>3868</v>
      </c>
      <c r="B1300" s="505" t="s">
        <v>3869</v>
      </c>
      <c r="C1300" s="512" t="s">
        <v>8671</v>
      </c>
      <c r="D1300" s="512" t="s">
        <v>8695</v>
      </c>
      <c r="E1300" s="512" t="s">
        <v>8696</v>
      </c>
      <c r="F1300" s="512" t="s">
        <v>8275</v>
      </c>
      <c r="G1300" s="512" t="s">
        <v>8697</v>
      </c>
      <c r="H1300" s="512" t="s">
        <v>7433</v>
      </c>
      <c r="I1300" s="512" t="s">
        <v>8672</v>
      </c>
      <c r="L1300" s="505" t="s">
        <v>2737</v>
      </c>
      <c r="M1300" s="516">
        <v>16.75</v>
      </c>
      <c r="N1300" s="505" t="s">
        <v>2737</v>
      </c>
    </row>
    <row r="1301" spans="1:14" x14ac:dyDescent="0.25">
      <c r="A1301" s="505" t="s">
        <v>3870</v>
      </c>
      <c r="B1301" s="505" t="s">
        <v>3871</v>
      </c>
      <c r="C1301" s="512" t="s">
        <v>8671</v>
      </c>
      <c r="D1301" s="512" t="s">
        <v>8695</v>
      </c>
      <c r="E1301" s="512" t="s">
        <v>8696</v>
      </c>
      <c r="F1301" s="512" t="s">
        <v>8275</v>
      </c>
      <c r="G1301" s="512" t="s">
        <v>8697</v>
      </c>
      <c r="H1301" s="512" t="s">
        <v>7433</v>
      </c>
      <c r="I1301" s="512" t="s">
        <v>7436</v>
      </c>
      <c r="L1301" s="505" t="s">
        <v>2737</v>
      </c>
      <c r="M1301" s="516">
        <v>16.75</v>
      </c>
      <c r="N1301" s="505" t="s">
        <v>2737</v>
      </c>
    </row>
    <row r="1302" spans="1:14" x14ac:dyDescent="0.25">
      <c r="A1302" s="505" t="s">
        <v>3872</v>
      </c>
      <c r="B1302" s="505" t="s">
        <v>3873</v>
      </c>
      <c r="C1302" s="512" t="s">
        <v>8671</v>
      </c>
      <c r="D1302" s="512" t="s">
        <v>8695</v>
      </c>
      <c r="E1302" s="512" t="s">
        <v>8696</v>
      </c>
      <c r="F1302" s="512" t="s">
        <v>8275</v>
      </c>
      <c r="G1302" s="512" t="s">
        <v>8697</v>
      </c>
      <c r="H1302" s="512" t="s">
        <v>8460</v>
      </c>
      <c r="I1302" s="512" t="s">
        <v>7436</v>
      </c>
      <c r="L1302" s="505" t="s">
        <v>2737</v>
      </c>
      <c r="M1302" s="516">
        <v>16.75</v>
      </c>
      <c r="N1302" s="505" t="s">
        <v>2737</v>
      </c>
    </row>
    <row r="1303" spans="1:14" x14ac:dyDescent="0.25">
      <c r="A1303" s="505" t="s">
        <v>3874</v>
      </c>
      <c r="B1303" s="505" t="s">
        <v>3875</v>
      </c>
      <c r="C1303" s="512" t="s">
        <v>8671</v>
      </c>
      <c r="D1303" s="512" t="s">
        <v>8695</v>
      </c>
      <c r="E1303" s="512" t="s">
        <v>8696</v>
      </c>
      <c r="F1303" s="512" t="s">
        <v>8275</v>
      </c>
      <c r="G1303" s="512" t="s">
        <v>8697</v>
      </c>
      <c r="H1303" s="512" t="s">
        <v>8674</v>
      </c>
      <c r="L1303" s="505" t="s">
        <v>2737</v>
      </c>
      <c r="M1303" s="516">
        <v>16.75</v>
      </c>
      <c r="N1303" s="505" t="s">
        <v>2737</v>
      </c>
    </row>
    <row r="1304" spans="1:14" x14ac:dyDescent="0.25">
      <c r="A1304" s="505" t="s">
        <v>3876</v>
      </c>
      <c r="B1304" s="505" t="s">
        <v>3877</v>
      </c>
      <c r="C1304" s="512" t="s">
        <v>8671</v>
      </c>
      <c r="D1304" s="512" t="s">
        <v>8695</v>
      </c>
      <c r="E1304" s="512" t="s">
        <v>8696</v>
      </c>
      <c r="F1304" s="512" t="s">
        <v>8275</v>
      </c>
      <c r="G1304" s="512" t="s">
        <v>8697</v>
      </c>
      <c r="H1304" s="512" t="s">
        <v>8404</v>
      </c>
      <c r="I1304" s="512" t="s">
        <v>7595</v>
      </c>
      <c r="L1304" s="505" t="s">
        <v>2737</v>
      </c>
      <c r="M1304" s="516">
        <v>16.75</v>
      </c>
      <c r="N1304" s="505" t="s">
        <v>2737</v>
      </c>
    </row>
    <row r="1305" spans="1:14" x14ac:dyDescent="0.25">
      <c r="A1305" s="505" t="s">
        <v>3878</v>
      </c>
      <c r="B1305" s="505" t="s">
        <v>3879</v>
      </c>
      <c r="C1305" s="512" t="s">
        <v>7762</v>
      </c>
      <c r="D1305" s="512" t="s">
        <v>8698</v>
      </c>
      <c r="E1305" s="512" t="s">
        <v>7554</v>
      </c>
      <c r="F1305" s="512" t="s">
        <v>8699</v>
      </c>
      <c r="G1305" s="512" t="s">
        <v>8700</v>
      </c>
      <c r="H1305" s="512" t="s">
        <v>8701</v>
      </c>
      <c r="I1305" s="512" t="s">
        <v>8702</v>
      </c>
      <c r="L1305" s="505" t="s">
        <v>2466</v>
      </c>
      <c r="M1305" s="516">
        <v>23.85</v>
      </c>
      <c r="N1305" s="505" t="s">
        <v>2466</v>
      </c>
    </row>
    <row r="1306" spans="1:14" x14ac:dyDescent="0.25">
      <c r="A1306" s="505" t="s">
        <v>3880</v>
      </c>
      <c r="B1306" s="505" t="s">
        <v>3881</v>
      </c>
      <c r="C1306" s="512" t="s">
        <v>7762</v>
      </c>
      <c r="D1306" s="512" t="s">
        <v>8703</v>
      </c>
      <c r="E1306" s="512" t="s">
        <v>7742</v>
      </c>
      <c r="F1306" s="512" t="s">
        <v>8704</v>
      </c>
      <c r="G1306" s="512" t="s">
        <v>8705</v>
      </c>
      <c r="H1306" s="512" t="s">
        <v>7567</v>
      </c>
      <c r="I1306" s="512" t="s">
        <v>8353</v>
      </c>
      <c r="J1306" s="505" t="s">
        <v>8706</v>
      </c>
      <c r="L1306" s="505" t="s">
        <v>2466</v>
      </c>
      <c r="M1306" s="516">
        <v>17.32</v>
      </c>
      <c r="N1306" s="505" t="s">
        <v>2466</v>
      </c>
    </row>
    <row r="1307" spans="1:14" x14ac:dyDescent="0.25">
      <c r="A1307" s="505" t="s">
        <v>3882</v>
      </c>
      <c r="B1307" s="505" t="s">
        <v>3883</v>
      </c>
      <c r="C1307" s="512" t="s">
        <v>7762</v>
      </c>
      <c r="D1307" s="512" t="s">
        <v>8703</v>
      </c>
      <c r="E1307" s="512" t="s">
        <v>7742</v>
      </c>
      <c r="F1307" s="512" t="s">
        <v>8704</v>
      </c>
      <c r="G1307" s="512" t="s">
        <v>8705</v>
      </c>
      <c r="H1307" s="512" t="s">
        <v>8707</v>
      </c>
      <c r="I1307" s="512" t="s">
        <v>8706</v>
      </c>
      <c r="L1307" s="505" t="s">
        <v>2466</v>
      </c>
      <c r="M1307" s="516">
        <v>17.32</v>
      </c>
      <c r="N1307" s="505" t="s">
        <v>2466</v>
      </c>
    </row>
    <row r="1308" spans="1:14" x14ac:dyDescent="0.25">
      <c r="A1308" s="505" t="s">
        <v>3884</v>
      </c>
      <c r="B1308" s="505" t="s">
        <v>3885</v>
      </c>
      <c r="C1308" s="512" t="s">
        <v>7762</v>
      </c>
      <c r="D1308" s="512" t="s">
        <v>8703</v>
      </c>
      <c r="E1308" s="512" t="s">
        <v>7742</v>
      </c>
      <c r="F1308" s="512" t="s">
        <v>8704</v>
      </c>
      <c r="G1308" s="512" t="s">
        <v>8705</v>
      </c>
      <c r="H1308" s="512" t="s">
        <v>7491</v>
      </c>
      <c r="I1308" s="512" t="s">
        <v>8708</v>
      </c>
      <c r="J1308" s="505" t="s">
        <v>8706</v>
      </c>
      <c r="L1308" s="505" t="s">
        <v>2466</v>
      </c>
      <c r="M1308" s="516">
        <v>17.32</v>
      </c>
      <c r="N1308" s="505" t="s">
        <v>2466</v>
      </c>
    </row>
    <row r="1309" spans="1:14" x14ac:dyDescent="0.25">
      <c r="A1309" s="505" t="s">
        <v>3886</v>
      </c>
      <c r="B1309" s="505" t="s">
        <v>3887</v>
      </c>
      <c r="C1309" s="512" t="s">
        <v>7762</v>
      </c>
      <c r="D1309" s="512" t="s">
        <v>8703</v>
      </c>
      <c r="E1309" s="512" t="s">
        <v>7742</v>
      </c>
      <c r="F1309" s="512" t="s">
        <v>8709</v>
      </c>
      <c r="G1309" s="512" t="s">
        <v>8710</v>
      </c>
      <c r="H1309" s="512" t="s">
        <v>523</v>
      </c>
      <c r="I1309" s="512" t="s">
        <v>8706</v>
      </c>
      <c r="L1309" s="505" t="s">
        <v>2466</v>
      </c>
      <c r="M1309" s="516">
        <v>17.32</v>
      </c>
      <c r="N1309" s="505" t="s">
        <v>2466</v>
      </c>
    </row>
    <row r="1310" spans="1:14" x14ac:dyDescent="0.25">
      <c r="A1310" s="505" t="s">
        <v>3888</v>
      </c>
      <c r="B1310" s="505" t="s">
        <v>3889</v>
      </c>
      <c r="C1310" s="512" t="s">
        <v>7762</v>
      </c>
      <c r="D1310" s="512" t="s">
        <v>8703</v>
      </c>
      <c r="E1310" s="512" t="s">
        <v>7742</v>
      </c>
      <c r="F1310" s="512" t="s">
        <v>8709</v>
      </c>
      <c r="G1310" s="512" t="s">
        <v>8710</v>
      </c>
      <c r="H1310" s="512" t="s">
        <v>8711</v>
      </c>
      <c r="I1310" s="512" t="s">
        <v>8706</v>
      </c>
      <c r="L1310" s="505" t="s">
        <v>2466</v>
      </c>
      <c r="M1310" s="516">
        <v>17.32</v>
      </c>
      <c r="N1310" s="505" t="s">
        <v>2466</v>
      </c>
    </row>
    <row r="1311" spans="1:14" x14ac:dyDescent="0.25">
      <c r="A1311" s="505" t="s">
        <v>3890</v>
      </c>
      <c r="B1311" s="505" t="s">
        <v>3891</v>
      </c>
      <c r="C1311" s="512" t="s">
        <v>7762</v>
      </c>
      <c r="D1311" s="512" t="s">
        <v>8703</v>
      </c>
      <c r="E1311" s="512" t="s">
        <v>7742</v>
      </c>
      <c r="F1311" s="512" t="s">
        <v>8704</v>
      </c>
      <c r="G1311" s="512" t="s">
        <v>8705</v>
      </c>
      <c r="H1311" s="512" t="s">
        <v>8173</v>
      </c>
      <c r="I1311" s="512" t="s">
        <v>8706</v>
      </c>
      <c r="L1311" s="505" t="s">
        <v>2466</v>
      </c>
      <c r="M1311" s="516">
        <v>17.32</v>
      </c>
      <c r="N1311" s="505" t="s">
        <v>2466</v>
      </c>
    </row>
    <row r="1312" spans="1:14" x14ac:dyDescent="0.25">
      <c r="A1312" s="505" t="s">
        <v>3892</v>
      </c>
      <c r="B1312" s="505" t="s">
        <v>3893</v>
      </c>
      <c r="C1312" s="512" t="s">
        <v>7762</v>
      </c>
      <c r="D1312" s="512" t="s">
        <v>8703</v>
      </c>
      <c r="E1312" s="512" t="s">
        <v>7742</v>
      </c>
      <c r="F1312" s="512" t="s">
        <v>8704</v>
      </c>
      <c r="G1312" s="512" t="s">
        <v>8705</v>
      </c>
      <c r="H1312" s="512" t="s">
        <v>8183</v>
      </c>
      <c r="I1312" s="512" t="s">
        <v>8706</v>
      </c>
      <c r="L1312" s="505" t="s">
        <v>2466</v>
      </c>
      <c r="M1312" s="516">
        <v>17.32</v>
      </c>
      <c r="N1312" s="505" t="s">
        <v>2466</v>
      </c>
    </row>
    <row r="1313" spans="1:14" x14ac:dyDescent="0.25">
      <c r="A1313" s="505" t="s">
        <v>3894</v>
      </c>
      <c r="B1313" s="505" t="s">
        <v>3895</v>
      </c>
      <c r="C1313" s="512" t="s">
        <v>7762</v>
      </c>
      <c r="D1313" s="512" t="s">
        <v>8703</v>
      </c>
      <c r="E1313" s="512" t="s">
        <v>7742</v>
      </c>
      <c r="F1313" s="512" t="s">
        <v>8704</v>
      </c>
      <c r="G1313" s="512" t="s">
        <v>8705</v>
      </c>
      <c r="H1313" s="512" t="s">
        <v>7489</v>
      </c>
      <c r="I1313" s="512" t="s">
        <v>7892</v>
      </c>
      <c r="J1313" s="505" t="s">
        <v>8706</v>
      </c>
      <c r="L1313" s="505" t="s">
        <v>2466</v>
      </c>
      <c r="M1313" s="516">
        <v>17.32</v>
      </c>
      <c r="N1313" s="505" t="s">
        <v>2466</v>
      </c>
    </row>
    <row r="1314" spans="1:14" x14ac:dyDescent="0.25">
      <c r="A1314" s="505" t="s">
        <v>3896</v>
      </c>
      <c r="B1314" s="505" t="s">
        <v>3897</v>
      </c>
      <c r="C1314" s="512" t="s">
        <v>7762</v>
      </c>
      <c r="D1314" s="512" t="s">
        <v>8703</v>
      </c>
      <c r="E1314" s="512" t="s">
        <v>7742</v>
      </c>
      <c r="F1314" s="512" t="s">
        <v>8704</v>
      </c>
      <c r="G1314" s="512" t="s">
        <v>8705</v>
      </c>
      <c r="H1314" s="512" t="s">
        <v>7454</v>
      </c>
      <c r="I1314" s="512" t="s">
        <v>8706</v>
      </c>
      <c r="L1314" s="505" t="s">
        <v>2466</v>
      </c>
      <c r="M1314" s="516">
        <v>17.32</v>
      </c>
      <c r="N1314" s="505" t="s">
        <v>2466</v>
      </c>
    </row>
    <row r="1315" spans="1:14" x14ac:dyDescent="0.25">
      <c r="A1315" s="505" t="s">
        <v>3898</v>
      </c>
      <c r="B1315" s="505" t="s">
        <v>3899</v>
      </c>
      <c r="C1315" s="512" t="s">
        <v>7762</v>
      </c>
      <c r="D1315" s="512" t="s">
        <v>8703</v>
      </c>
      <c r="E1315" s="512" t="s">
        <v>7742</v>
      </c>
      <c r="F1315" s="512" t="s">
        <v>8704</v>
      </c>
      <c r="G1315" s="512" t="s">
        <v>8705</v>
      </c>
      <c r="H1315" s="512" t="s">
        <v>8712</v>
      </c>
      <c r="I1315" s="512" t="s">
        <v>7445</v>
      </c>
      <c r="J1315" s="505" t="s">
        <v>8706</v>
      </c>
      <c r="L1315" s="505" t="s">
        <v>2466</v>
      </c>
      <c r="M1315" s="516">
        <v>17.32</v>
      </c>
      <c r="N1315" s="505" t="s">
        <v>2466</v>
      </c>
    </row>
    <row r="1316" spans="1:14" x14ac:dyDescent="0.25">
      <c r="A1316" s="505" t="s">
        <v>3900</v>
      </c>
      <c r="B1316" s="505" t="s">
        <v>3901</v>
      </c>
      <c r="C1316" s="512" t="s">
        <v>7762</v>
      </c>
      <c r="D1316" s="512" t="s">
        <v>8703</v>
      </c>
      <c r="E1316" s="512" t="s">
        <v>7742</v>
      </c>
      <c r="F1316" s="512" t="s">
        <v>8704</v>
      </c>
      <c r="G1316" s="512" t="s">
        <v>8705</v>
      </c>
      <c r="H1316" s="512" t="s">
        <v>8176</v>
      </c>
      <c r="I1316" s="512" t="s">
        <v>8706</v>
      </c>
      <c r="L1316" s="505" t="s">
        <v>2466</v>
      </c>
      <c r="M1316" s="516">
        <v>17.32</v>
      </c>
      <c r="N1316" s="505" t="s">
        <v>2466</v>
      </c>
    </row>
    <row r="1317" spans="1:14" x14ac:dyDescent="0.25">
      <c r="A1317" s="505" t="s">
        <v>3902</v>
      </c>
      <c r="B1317" s="505" t="s">
        <v>3903</v>
      </c>
      <c r="C1317" s="512" t="s">
        <v>7762</v>
      </c>
      <c r="D1317" s="512" t="s">
        <v>8703</v>
      </c>
      <c r="E1317" s="512" t="s">
        <v>7742</v>
      </c>
      <c r="F1317" s="512" t="s">
        <v>8704</v>
      </c>
      <c r="G1317" s="512" t="s">
        <v>8705</v>
      </c>
      <c r="H1317" s="512" t="s">
        <v>8713</v>
      </c>
      <c r="I1317" s="512" t="s">
        <v>7441</v>
      </c>
      <c r="J1317" s="505" t="s">
        <v>8706</v>
      </c>
      <c r="L1317" s="505" t="s">
        <v>2466</v>
      </c>
      <c r="M1317" s="516">
        <v>17.32</v>
      </c>
      <c r="N1317" s="505" t="s">
        <v>2466</v>
      </c>
    </row>
    <row r="1318" spans="1:14" x14ac:dyDescent="0.25">
      <c r="A1318" s="505" t="s">
        <v>3904</v>
      </c>
      <c r="B1318" s="505" t="s">
        <v>3905</v>
      </c>
      <c r="C1318" s="512" t="s">
        <v>7762</v>
      </c>
      <c r="D1318" s="512" t="s">
        <v>8703</v>
      </c>
      <c r="E1318" s="512" t="s">
        <v>7742</v>
      </c>
      <c r="F1318" s="512" t="s">
        <v>8704</v>
      </c>
      <c r="G1318" s="512" t="s">
        <v>8705</v>
      </c>
      <c r="H1318" s="512" t="s">
        <v>7888</v>
      </c>
      <c r="I1318" s="512" t="s">
        <v>8706</v>
      </c>
      <c r="L1318" s="505" t="s">
        <v>2466</v>
      </c>
      <c r="M1318" s="516">
        <v>17.32</v>
      </c>
      <c r="N1318" s="505" t="s">
        <v>2466</v>
      </c>
    </row>
    <row r="1319" spans="1:14" x14ac:dyDescent="0.25">
      <c r="A1319" s="505" t="s">
        <v>3906</v>
      </c>
      <c r="B1319" s="505" t="s">
        <v>3907</v>
      </c>
      <c r="C1319" s="512" t="s">
        <v>7762</v>
      </c>
      <c r="D1319" s="512" t="s">
        <v>8703</v>
      </c>
      <c r="E1319" s="512" t="s">
        <v>7742</v>
      </c>
      <c r="F1319" s="512" t="s">
        <v>8704</v>
      </c>
      <c r="G1319" s="512" t="s">
        <v>8705</v>
      </c>
      <c r="H1319" s="512" t="s">
        <v>7889</v>
      </c>
      <c r="I1319" s="512" t="s">
        <v>8706</v>
      </c>
      <c r="L1319" s="505" t="s">
        <v>2466</v>
      </c>
      <c r="M1319" s="516">
        <v>17.32</v>
      </c>
      <c r="N1319" s="505" t="s">
        <v>2466</v>
      </c>
    </row>
    <row r="1320" spans="1:14" x14ac:dyDescent="0.25">
      <c r="A1320" s="505" t="s">
        <v>3908</v>
      </c>
      <c r="B1320" s="505" t="s">
        <v>3909</v>
      </c>
      <c r="C1320" s="512" t="s">
        <v>7762</v>
      </c>
      <c r="D1320" s="512" t="s">
        <v>8703</v>
      </c>
      <c r="E1320" s="512" t="s">
        <v>7742</v>
      </c>
      <c r="F1320" s="512" t="s">
        <v>8704</v>
      </c>
      <c r="G1320" s="512" t="s">
        <v>8705</v>
      </c>
      <c r="H1320" s="512" t="s">
        <v>8714</v>
      </c>
      <c r="I1320" s="512" t="s">
        <v>8656</v>
      </c>
      <c r="J1320" s="505" t="s">
        <v>8706</v>
      </c>
      <c r="L1320" s="505" t="s">
        <v>2466</v>
      </c>
      <c r="M1320" s="516">
        <v>17.32</v>
      </c>
      <c r="N1320" s="505" t="s">
        <v>2466</v>
      </c>
    </row>
    <row r="1321" spans="1:14" x14ac:dyDescent="0.25">
      <c r="A1321" s="505" t="s">
        <v>3910</v>
      </c>
      <c r="B1321" s="505" t="s">
        <v>3911</v>
      </c>
      <c r="C1321" s="512" t="s">
        <v>7762</v>
      </c>
      <c r="D1321" s="512" t="s">
        <v>8703</v>
      </c>
      <c r="E1321" s="512" t="s">
        <v>7742</v>
      </c>
      <c r="F1321" s="512" t="s">
        <v>8704</v>
      </c>
      <c r="G1321" s="512" t="s">
        <v>8705</v>
      </c>
      <c r="H1321" s="512" t="s">
        <v>8715</v>
      </c>
      <c r="I1321" s="512" t="s">
        <v>7445</v>
      </c>
      <c r="J1321" s="505" t="s">
        <v>8706</v>
      </c>
      <c r="L1321" s="505" t="s">
        <v>2466</v>
      </c>
      <c r="M1321" s="516">
        <v>17.32</v>
      </c>
      <c r="N1321" s="505" t="s">
        <v>2466</v>
      </c>
    </row>
    <row r="1322" spans="1:14" x14ac:dyDescent="0.25">
      <c r="A1322" s="505" t="s">
        <v>3912</v>
      </c>
      <c r="B1322" s="505" t="s">
        <v>3913</v>
      </c>
      <c r="C1322" s="512" t="s">
        <v>7762</v>
      </c>
      <c r="D1322" s="512" t="s">
        <v>8703</v>
      </c>
      <c r="E1322" s="512" t="s">
        <v>7742</v>
      </c>
      <c r="F1322" s="512" t="s">
        <v>8704</v>
      </c>
      <c r="G1322" s="512" t="s">
        <v>8705</v>
      </c>
      <c r="H1322" s="512" t="s">
        <v>8716</v>
      </c>
      <c r="I1322" s="512" t="s">
        <v>8164</v>
      </c>
      <c r="J1322" s="505" t="s">
        <v>8706</v>
      </c>
      <c r="L1322" s="505" t="s">
        <v>2466</v>
      </c>
      <c r="M1322" s="516">
        <v>17.32</v>
      </c>
      <c r="N1322" s="505" t="s">
        <v>2466</v>
      </c>
    </row>
    <row r="1323" spans="1:14" x14ac:dyDescent="0.25">
      <c r="A1323" s="505" t="s">
        <v>3914</v>
      </c>
      <c r="B1323" s="505" t="s">
        <v>3915</v>
      </c>
      <c r="C1323" s="512" t="s">
        <v>7762</v>
      </c>
      <c r="D1323" s="512" t="s">
        <v>8703</v>
      </c>
      <c r="E1323" s="512" t="s">
        <v>7742</v>
      </c>
      <c r="F1323" s="512" t="s">
        <v>8704</v>
      </c>
      <c r="G1323" s="512" t="s">
        <v>8705</v>
      </c>
      <c r="H1323" s="512" t="s">
        <v>7890</v>
      </c>
      <c r="I1323" s="512" t="s">
        <v>7881</v>
      </c>
      <c r="J1323" s="505" t="s">
        <v>8706</v>
      </c>
      <c r="L1323" s="505" t="s">
        <v>2466</v>
      </c>
      <c r="M1323" s="516">
        <v>17.32</v>
      </c>
      <c r="N1323" s="505" t="s">
        <v>2466</v>
      </c>
    </row>
    <row r="1324" spans="1:14" x14ac:dyDescent="0.25">
      <c r="A1324" s="505" t="s">
        <v>3916</v>
      </c>
      <c r="B1324" s="505" t="s">
        <v>3917</v>
      </c>
      <c r="C1324" s="512" t="s">
        <v>7762</v>
      </c>
      <c r="D1324" s="512" t="s">
        <v>8703</v>
      </c>
      <c r="E1324" s="512" t="s">
        <v>7742</v>
      </c>
      <c r="F1324" s="512" t="s">
        <v>8704</v>
      </c>
      <c r="G1324" s="512" t="s">
        <v>8705</v>
      </c>
      <c r="H1324" s="512" t="s">
        <v>8717</v>
      </c>
      <c r="I1324" s="512" t="s">
        <v>7489</v>
      </c>
      <c r="J1324" s="505" t="s">
        <v>8706</v>
      </c>
      <c r="L1324" s="505" t="s">
        <v>2466</v>
      </c>
      <c r="M1324" s="516">
        <v>17.32</v>
      </c>
      <c r="N1324" s="505" t="s">
        <v>2466</v>
      </c>
    </row>
    <row r="1325" spans="1:14" x14ac:dyDescent="0.25">
      <c r="A1325" s="505" t="s">
        <v>3918</v>
      </c>
      <c r="B1325" s="505" t="s">
        <v>3919</v>
      </c>
      <c r="C1325" s="512" t="s">
        <v>7762</v>
      </c>
      <c r="D1325" s="512" t="s">
        <v>8703</v>
      </c>
      <c r="E1325" s="512" t="s">
        <v>7742</v>
      </c>
      <c r="F1325" s="512" t="s">
        <v>8709</v>
      </c>
      <c r="G1325" s="512" t="s">
        <v>8710</v>
      </c>
      <c r="H1325" s="512" t="s">
        <v>8718</v>
      </c>
      <c r="I1325" s="512" t="s">
        <v>8706</v>
      </c>
      <c r="L1325" s="505" t="s">
        <v>2466</v>
      </c>
      <c r="M1325" s="516">
        <v>17.32</v>
      </c>
      <c r="N1325" s="505" t="s">
        <v>2466</v>
      </c>
    </row>
    <row r="1326" spans="1:14" x14ac:dyDescent="0.25">
      <c r="A1326" s="505" t="s">
        <v>3920</v>
      </c>
      <c r="B1326" s="505" t="s">
        <v>3921</v>
      </c>
      <c r="C1326" s="512" t="s">
        <v>7762</v>
      </c>
      <c r="D1326" s="512" t="s">
        <v>8703</v>
      </c>
      <c r="E1326" s="512" t="s">
        <v>7742</v>
      </c>
      <c r="F1326" s="512" t="s">
        <v>8704</v>
      </c>
      <c r="G1326" s="512" t="s">
        <v>8705</v>
      </c>
      <c r="H1326" s="512" t="s">
        <v>8148</v>
      </c>
      <c r="I1326" s="512" t="s">
        <v>8706</v>
      </c>
      <c r="L1326" s="505" t="s">
        <v>2466</v>
      </c>
      <c r="M1326" s="516">
        <v>17.32</v>
      </c>
      <c r="N1326" s="505" t="s">
        <v>2466</v>
      </c>
    </row>
    <row r="1327" spans="1:14" x14ac:dyDescent="0.25">
      <c r="A1327" s="505" t="s">
        <v>3922</v>
      </c>
      <c r="B1327" s="505" t="s">
        <v>3923</v>
      </c>
      <c r="C1327" s="512" t="s">
        <v>7762</v>
      </c>
      <c r="D1327" s="512" t="s">
        <v>8703</v>
      </c>
      <c r="E1327" s="512" t="s">
        <v>7742</v>
      </c>
      <c r="F1327" s="512" t="s">
        <v>8704</v>
      </c>
      <c r="G1327" s="512" t="s">
        <v>8705</v>
      </c>
      <c r="H1327" s="512" t="s">
        <v>7568</v>
      </c>
      <c r="I1327" s="512" t="s">
        <v>8706</v>
      </c>
      <c r="L1327" s="505" t="s">
        <v>2466</v>
      </c>
      <c r="M1327" s="516">
        <v>17.32</v>
      </c>
      <c r="N1327" s="505" t="s">
        <v>2466</v>
      </c>
    </row>
    <row r="1328" spans="1:14" x14ac:dyDescent="0.25">
      <c r="A1328" s="505" t="s">
        <v>3924</v>
      </c>
      <c r="B1328" s="505" t="s">
        <v>3925</v>
      </c>
      <c r="C1328" s="512" t="s">
        <v>7762</v>
      </c>
      <c r="D1328" s="512" t="s">
        <v>8703</v>
      </c>
      <c r="E1328" s="512" t="s">
        <v>7742</v>
      </c>
      <c r="F1328" s="512" t="s">
        <v>8704</v>
      </c>
      <c r="G1328" s="512" t="s">
        <v>8705</v>
      </c>
      <c r="H1328" s="512" t="s">
        <v>7803</v>
      </c>
      <c r="I1328" s="512" t="s">
        <v>8706</v>
      </c>
      <c r="L1328" s="505" t="s">
        <v>2466</v>
      </c>
      <c r="M1328" s="516">
        <v>17.32</v>
      </c>
      <c r="N1328" s="505" t="s">
        <v>2466</v>
      </c>
    </row>
    <row r="1329" spans="1:14" x14ac:dyDescent="0.25">
      <c r="A1329" s="505" t="s">
        <v>3926</v>
      </c>
      <c r="B1329" s="505" t="s">
        <v>3927</v>
      </c>
      <c r="C1329" s="512" t="s">
        <v>7762</v>
      </c>
      <c r="D1329" s="512" t="s">
        <v>8703</v>
      </c>
      <c r="E1329" s="512" t="s">
        <v>7742</v>
      </c>
      <c r="F1329" s="512" t="s">
        <v>8709</v>
      </c>
      <c r="G1329" s="512" t="s">
        <v>8710</v>
      </c>
      <c r="H1329" s="512" t="s">
        <v>531</v>
      </c>
      <c r="I1329" s="512" t="s">
        <v>8706</v>
      </c>
      <c r="L1329" s="505" t="s">
        <v>2466</v>
      </c>
      <c r="M1329" s="516">
        <v>17.32</v>
      </c>
      <c r="N1329" s="505" t="s">
        <v>2466</v>
      </c>
    </row>
    <row r="1330" spans="1:14" x14ac:dyDescent="0.25">
      <c r="A1330" s="505" t="s">
        <v>3928</v>
      </c>
      <c r="B1330" s="505" t="s">
        <v>3929</v>
      </c>
      <c r="C1330" s="512" t="s">
        <v>7762</v>
      </c>
      <c r="D1330" s="512" t="s">
        <v>8703</v>
      </c>
      <c r="E1330" s="512" t="s">
        <v>7742</v>
      </c>
      <c r="F1330" s="512" t="s">
        <v>8709</v>
      </c>
      <c r="G1330" s="512" t="s">
        <v>8710</v>
      </c>
      <c r="H1330" s="512" t="s">
        <v>8719</v>
      </c>
      <c r="I1330" s="512" t="s">
        <v>8720</v>
      </c>
      <c r="J1330" s="505" t="s">
        <v>8706</v>
      </c>
      <c r="L1330" s="505" t="s">
        <v>2466</v>
      </c>
      <c r="M1330" s="516">
        <v>17.32</v>
      </c>
      <c r="N1330" s="505" t="s">
        <v>2466</v>
      </c>
    </row>
    <row r="1331" spans="1:14" x14ac:dyDescent="0.25">
      <c r="A1331" s="505" t="s">
        <v>3930</v>
      </c>
      <c r="B1331" s="505" t="s">
        <v>3931</v>
      </c>
      <c r="C1331" s="512" t="s">
        <v>7762</v>
      </c>
      <c r="D1331" s="512" t="s">
        <v>8703</v>
      </c>
      <c r="E1331" s="512" t="s">
        <v>7742</v>
      </c>
      <c r="F1331" s="512" t="s">
        <v>8704</v>
      </c>
      <c r="G1331" s="512" t="s">
        <v>8705</v>
      </c>
      <c r="H1331" s="512" t="s">
        <v>8721</v>
      </c>
      <c r="I1331" s="512" t="s">
        <v>8722</v>
      </c>
      <c r="J1331" s="505" t="s">
        <v>8706</v>
      </c>
      <c r="L1331" s="505" t="s">
        <v>2466</v>
      </c>
      <c r="M1331" s="516">
        <v>17.32</v>
      </c>
      <c r="N1331" s="505" t="s">
        <v>2466</v>
      </c>
    </row>
    <row r="1332" spans="1:14" x14ac:dyDescent="0.25">
      <c r="A1332" s="505" t="s">
        <v>3932</v>
      </c>
      <c r="B1332" s="505" t="s">
        <v>3933</v>
      </c>
      <c r="C1332" s="512" t="s">
        <v>7762</v>
      </c>
      <c r="D1332" s="512" t="s">
        <v>8703</v>
      </c>
      <c r="E1332" s="512" t="s">
        <v>7742</v>
      </c>
      <c r="F1332" s="512" t="s">
        <v>8704</v>
      </c>
      <c r="G1332" s="512" t="s">
        <v>8705</v>
      </c>
      <c r="H1332" s="512" t="s">
        <v>8723</v>
      </c>
      <c r="I1332" s="512" t="s">
        <v>8706</v>
      </c>
      <c r="L1332" s="505" t="s">
        <v>2466</v>
      </c>
      <c r="M1332" s="516">
        <v>17.32</v>
      </c>
      <c r="N1332" s="505" t="s">
        <v>2466</v>
      </c>
    </row>
    <row r="1333" spans="1:14" x14ac:dyDescent="0.25">
      <c r="A1333" s="505" t="s">
        <v>3934</v>
      </c>
      <c r="B1333" s="505" t="s">
        <v>3935</v>
      </c>
      <c r="C1333" s="512" t="s">
        <v>7762</v>
      </c>
      <c r="D1333" s="512" t="s">
        <v>8703</v>
      </c>
      <c r="E1333" s="512" t="s">
        <v>7742</v>
      </c>
      <c r="F1333" s="512" t="s">
        <v>8704</v>
      </c>
      <c r="G1333" s="512" t="s">
        <v>8705</v>
      </c>
      <c r="H1333" s="512" t="s">
        <v>8030</v>
      </c>
      <c r="I1333" s="512" t="s">
        <v>8706</v>
      </c>
      <c r="L1333" s="505" t="s">
        <v>2466</v>
      </c>
      <c r="M1333" s="516">
        <v>17.32</v>
      </c>
      <c r="N1333" s="505" t="s">
        <v>2466</v>
      </c>
    </row>
    <row r="1334" spans="1:14" x14ac:dyDescent="0.25">
      <c r="A1334" s="505" t="s">
        <v>3936</v>
      </c>
      <c r="B1334" s="505" t="s">
        <v>3937</v>
      </c>
      <c r="C1334" s="512" t="s">
        <v>7762</v>
      </c>
      <c r="D1334" s="512" t="s">
        <v>8703</v>
      </c>
      <c r="E1334" s="512" t="s">
        <v>7742</v>
      </c>
      <c r="F1334" s="512" t="s">
        <v>8704</v>
      </c>
      <c r="G1334" s="512" t="s">
        <v>8705</v>
      </c>
      <c r="H1334" s="512" t="s">
        <v>8724</v>
      </c>
      <c r="I1334" s="512" t="s">
        <v>8725</v>
      </c>
      <c r="J1334" s="505" t="s">
        <v>8706</v>
      </c>
      <c r="L1334" s="505" t="s">
        <v>2466</v>
      </c>
      <c r="M1334" s="516">
        <v>17.32</v>
      </c>
      <c r="N1334" s="505" t="s">
        <v>2466</v>
      </c>
    </row>
    <row r="1335" spans="1:14" x14ac:dyDescent="0.25">
      <c r="A1335" s="505" t="s">
        <v>3938</v>
      </c>
      <c r="B1335" s="505" t="s">
        <v>3939</v>
      </c>
      <c r="C1335" s="512" t="s">
        <v>7762</v>
      </c>
      <c r="D1335" s="512" t="s">
        <v>8703</v>
      </c>
      <c r="E1335" s="512" t="s">
        <v>7742</v>
      </c>
      <c r="F1335" s="512" t="s">
        <v>8704</v>
      </c>
      <c r="G1335" s="512" t="s">
        <v>8705</v>
      </c>
      <c r="H1335" s="512" t="s">
        <v>8177</v>
      </c>
      <c r="I1335" s="512" t="s">
        <v>8706</v>
      </c>
      <c r="L1335" s="505" t="s">
        <v>2466</v>
      </c>
      <c r="M1335" s="516">
        <v>17.32</v>
      </c>
      <c r="N1335" s="505" t="s">
        <v>2466</v>
      </c>
    </row>
    <row r="1336" spans="1:14" x14ac:dyDescent="0.25">
      <c r="A1336" s="505" t="s">
        <v>3940</v>
      </c>
      <c r="B1336" s="505" t="s">
        <v>3941</v>
      </c>
      <c r="C1336" s="512" t="s">
        <v>7762</v>
      </c>
      <c r="D1336" s="512" t="s">
        <v>8703</v>
      </c>
      <c r="E1336" s="512" t="s">
        <v>7742</v>
      </c>
      <c r="F1336" s="512" t="s">
        <v>8704</v>
      </c>
      <c r="G1336" s="512" t="s">
        <v>8705</v>
      </c>
      <c r="H1336" s="512" t="s">
        <v>8726</v>
      </c>
      <c r="I1336" s="512" t="s">
        <v>8727</v>
      </c>
      <c r="J1336" s="505" t="s">
        <v>8706</v>
      </c>
      <c r="L1336" s="505" t="s">
        <v>2466</v>
      </c>
      <c r="M1336" s="516">
        <v>17.32</v>
      </c>
      <c r="N1336" s="505" t="s">
        <v>2466</v>
      </c>
    </row>
    <row r="1337" spans="1:14" x14ac:dyDescent="0.25">
      <c r="A1337" s="505" t="s">
        <v>3942</v>
      </c>
      <c r="B1337" s="505" t="s">
        <v>3943</v>
      </c>
      <c r="C1337" s="512" t="s">
        <v>7762</v>
      </c>
      <c r="D1337" s="512" t="s">
        <v>8703</v>
      </c>
      <c r="E1337" s="512" t="s">
        <v>7742</v>
      </c>
      <c r="F1337" s="512" t="s">
        <v>8709</v>
      </c>
      <c r="G1337" s="512" t="s">
        <v>8710</v>
      </c>
      <c r="H1337" s="512" t="s">
        <v>8728</v>
      </c>
      <c r="I1337" s="512" t="s">
        <v>7945</v>
      </c>
      <c r="J1337" s="505" t="s">
        <v>8706</v>
      </c>
      <c r="L1337" s="505" t="s">
        <v>2466</v>
      </c>
      <c r="M1337" s="516">
        <v>17.32</v>
      </c>
      <c r="N1337" s="505" t="s">
        <v>2466</v>
      </c>
    </row>
    <row r="1338" spans="1:14" x14ac:dyDescent="0.25">
      <c r="A1338" s="505" t="s">
        <v>3944</v>
      </c>
      <c r="B1338" s="505" t="s">
        <v>3945</v>
      </c>
      <c r="C1338" s="512" t="s">
        <v>7762</v>
      </c>
      <c r="D1338" s="512" t="s">
        <v>8703</v>
      </c>
      <c r="E1338" s="512" t="s">
        <v>7742</v>
      </c>
      <c r="F1338" s="512" t="s">
        <v>8709</v>
      </c>
      <c r="G1338" s="512" t="s">
        <v>8710</v>
      </c>
      <c r="H1338" s="512" t="s">
        <v>8729</v>
      </c>
      <c r="I1338" s="512" t="s">
        <v>8730</v>
      </c>
      <c r="J1338" s="505" t="s">
        <v>8706</v>
      </c>
      <c r="L1338" s="505" t="s">
        <v>2466</v>
      </c>
      <c r="M1338" s="516">
        <v>17.32</v>
      </c>
      <c r="N1338" s="505" t="s">
        <v>2466</v>
      </c>
    </row>
    <row r="1339" spans="1:14" x14ac:dyDescent="0.25">
      <c r="A1339" s="505" t="s">
        <v>3946</v>
      </c>
      <c r="B1339" s="505" t="s">
        <v>3947</v>
      </c>
      <c r="C1339" s="512" t="s">
        <v>7762</v>
      </c>
      <c r="D1339" s="512" t="s">
        <v>8703</v>
      </c>
      <c r="E1339" s="512" t="s">
        <v>7742</v>
      </c>
      <c r="F1339" s="512" t="s">
        <v>8704</v>
      </c>
      <c r="G1339" s="512" t="s">
        <v>8705</v>
      </c>
      <c r="H1339" s="512" t="s">
        <v>8158</v>
      </c>
      <c r="I1339" s="512" t="s">
        <v>8706</v>
      </c>
      <c r="L1339" s="505" t="s">
        <v>2466</v>
      </c>
      <c r="M1339" s="516">
        <v>17.32</v>
      </c>
      <c r="N1339" s="505" t="s">
        <v>2466</v>
      </c>
    </row>
    <row r="1340" spans="1:14" x14ac:dyDescent="0.25">
      <c r="A1340" s="505" t="s">
        <v>3948</v>
      </c>
      <c r="B1340" s="505" t="s">
        <v>3949</v>
      </c>
      <c r="C1340" s="512" t="s">
        <v>7762</v>
      </c>
      <c r="D1340" s="512" t="s">
        <v>8703</v>
      </c>
      <c r="E1340" s="512" t="s">
        <v>7742</v>
      </c>
      <c r="F1340" s="512" t="s">
        <v>8704</v>
      </c>
      <c r="G1340" s="512" t="s">
        <v>8705</v>
      </c>
      <c r="H1340" s="512" t="s">
        <v>8731</v>
      </c>
      <c r="I1340" s="512" t="s">
        <v>279</v>
      </c>
      <c r="J1340" s="505" t="s">
        <v>8706</v>
      </c>
      <c r="L1340" s="505" t="s">
        <v>2466</v>
      </c>
      <c r="M1340" s="516">
        <v>17.32</v>
      </c>
      <c r="N1340" s="505" t="s">
        <v>2466</v>
      </c>
    </row>
    <row r="1341" spans="1:14" x14ac:dyDescent="0.25">
      <c r="A1341" s="505" t="s">
        <v>3950</v>
      </c>
      <c r="B1341" s="505" t="s">
        <v>3951</v>
      </c>
      <c r="C1341" s="512" t="s">
        <v>7762</v>
      </c>
      <c r="D1341" s="512" t="s">
        <v>8703</v>
      </c>
      <c r="E1341" s="512" t="s">
        <v>7742</v>
      </c>
      <c r="F1341" s="512" t="s">
        <v>8704</v>
      </c>
      <c r="G1341" s="512" t="s">
        <v>8705</v>
      </c>
      <c r="H1341" s="512" t="s">
        <v>7721</v>
      </c>
      <c r="I1341" s="512" t="s">
        <v>8706</v>
      </c>
      <c r="L1341" s="505" t="s">
        <v>2466</v>
      </c>
      <c r="M1341" s="516">
        <v>17.32</v>
      </c>
      <c r="N1341" s="505" t="s">
        <v>2466</v>
      </c>
    </row>
    <row r="1342" spans="1:14" x14ac:dyDescent="0.25">
      <c r="A1342" s="505" t="s">
        <v>3952</v>
      </c>
      <c r="B1342" s="505" t="s">
        <v>3953</v>
      </c>
      <c r="C1342" s="512" t="s">
        <v>7762</v>
      </c>
      <c r="D1342" s="512" t="s">
        <v>8703</v>
      </c>
      <c r="E1342" s="512" t="s">
        <v>7742</v>
      </c>
      <c r="F1342" s="512" t="s">
        <v>8704</v>
      </c>
      <c r="G1342" s="512" t="s">
        <v>8705</v>
      </c>
      <c r="H1342" s="512" t="s">
        <v>7804</v>
      </c>
      <c r="I1342" s="512" t="s">
        <v>8706</v>
      </c>
      <c r="L1342" s="505" t="s">
        <v>2466</v>
      </c>
      <c r="M1342" s="516">
        <v>17.32</v>
      </c>
      <c r="N1342" s="505" t="s">
        <v>2466</v>
      </c>
    </row>
    <row r="1343" spans="1:14" x14ac:dyDescent="0.25">
      <c r="A1343" s="505" t="s">
        <v>3954</v>
      </c>
      <c r="B1343" s="505" t="s">
        <v>3955</v>
      </c>
      <c r="C1343" s="512" t="s">
        <v>7762</v>
      </c>
      <c r="D1343" s="512" t="s">
        <v>8703</v>
      </c>
      <c r="E1343" s="512" t="s">
        <v>7742</v>
      </c>
      <c r="F1343" s="512" t="s">
        <v>8704</v>
      </c>
      <c r="G1343" s="512" t="s">
        <v>8705</v>
      </c>
      <c r="H1343" s="512" t="s">
        <v>8170</v>
      </c>
      <c r="I1343" s="512" t="s">
        <v>8706</v>
      </c>
      <c r="L1343" s="505" t="s">
        <v>2466</v>
      </c>
      <c r="M1343" s="516">
        <v>17.32</v>
      </c>
      <c r="N1343" s="505" t="s">
        <v>2466</v>
      </c>
    </row>
    <row r="1344" spans="1:14" x14ac:dyDescent="0.25">
      <c r="A1344" s="505" t="s">
        <v>3956</v>
      </c>
      <c r="B1344" s="505" t="s">
        <v>3957</v>
      </c>
      <c r="C1344" s="512" t="s">
        <v>8732</v>
      </c>
      <c r="D1344" s="512" t="s">
        <v>8733</v>
      </c>
      <c r="E1344" s="512" t="s">
        <v>8734</v>
      </c>
      <c r="F1344" s="512" t="s">
        <v>8735</v>
      </c>
      <c r="G1344" s="512">
        <v>19</v>
      </c>
      <c r="H1344" s="512" t="s">
        <v>511</v>
      </c>
      <c r="I1344" s="512" t="s">
        <v>7471</v>
      </c>
      <c r="L1344" s="505" t="s">
        <v>1233</v>
      </c>
      <c r="M1344" s="516">
        <v>43.54</v>
      </c>
      <c r="N1344" s="505" t="s">
        <v>1233</v>
      </c>
    </row>
    <row r="1345" spans="1:14" x14ac:dyDescent="0.25">
      <c r="A1345" s="505" t="s">
        <v>3958</v>
      </c>
      <c r="B1345" s="505" t="s">
        <v>3959</v>
      </c>
      <c r="C1345" s="512" t="s">
        <v>8732</v>
      </c>
      <c r="D1345" s="512" t="s">
        <v>8733</v>
      </c>
      <c r="E1345" s="512" t="s">
        <v>8734</v>
      </c>
      <c r="F1345" s="512" t="s">
        <v>8735</v>
      </c>
      <c r="G1345" s="512">
        <v>19</v>
      </c>
      <c r="H1345" s="512" t="s">
        <v>8736</v>
      </c>
      <c r="I1345" s="512" t="s">
        <v>8709</v>
      </c>
      <c r="L1345" s="505" t="s">
        <v>1233</v>
      </c>
      <c r="M1345" s="516">
        <v>43.54</v>
      </c>
      <c r="N1345" s="505" t="s">
        <v>1233</v>
      </c>
    </row>
    <row r="1346" spans="1:14" x14ac:dyDescent="0.25">
      <c r="A1346" s="505" t="s">
        <v>3960</v>
      </c>
      <c r="B1346" s="505" t="s">
        <v>3961</v>
      </c>
      <c r="C1346" s="512" t="s">
        <v>8732</v>
      </c>
      <c r="D1346" s="512" t="s">
        <v>8733</v>
      </c>
      <c r="E1346" s="512" t="s">
        <v>8734</v>
      </c>
      <c r="F1346" s="512" t="s">
        <v>8735</v>
      </c>
      <c r="G1346" s="512">
        <v>19</v>
      </c>
      <c r="H1346" s="512" t="s">
        <v>7953</v>
      </c>
      <c r="I1346" s="512" t="s">
        <v>7471</v>
      </c>
      <c r="L1346" s="505" t="s">
        <v>1233</v>
      </c>
      <c r="M1346" s="516">
        <v>43.54</v>
      </c>
      <c r="N1346" s="505" t="s">
        <v>1233</v>
      </c>
    </row>
    <row r="1347" spans="1:14" x14ac:dyDescent="0.25">
      <c r="A1347" s="505" t="s">
        <v>3962</v>
      </c>
      <c r="B1347" s="505" t="s">
        <v>3963</v>
      </c>
      <c r="C1347" s="512" t="s">
        <v>8732</v>
      </c>
      <c r="D1347" s="512" t="s">
        <v>8733</v>
      </c>
      <c r="E1347" s="512" t="s">
        <v>8734</v>
      </c>
      <c r="F1347" s="512" t="s">
        <v>8735</v>
      </c>
      <c r="G1347" s="512">
        <v>19</v>
      </c>
      <c r="H1347" s="512" t="s">
        <v>8401</v>
      </c>
      <c r="I1347" s="512" t="s">
        <v>8737</v>
      </c>
      <c r="L1347" s="505" t="s">
        <v>1233</v>
      </c>
      <c r="M1347" s="516">
        <v>43.54</v>
      </c>
      <c r="N1347" s="505" t="s">
        <v>1233</v>
      </c>
    </row>
    <row r="1348" spans="1:14" x14ac:dyDescent="0.25">
      <c r="A1348" s="505" t="s">
        <v>3964</v>
      </c>
      <c r="B1348" s="505" t="s">
        <v>3965</v>
      </c>
      <c r="C1348" s="512" t="s">
        <v>8732</v>
      </c>
      <c r="D1348" s="512" t="s">
        <v>8733</v>
      </c>
      <c r="E1348" s="512" t="s">
        <v>8734</v>
      </c>
      <c r="F1348" s="512" t="s">
        <v>8735</v>
      </c>
      <c r="G1348" s="512">
        <v>19</v>
      </c>
      <c r="H1348" s="512" t="s">
        <v>8738</v>
      </c>
      <c r="L1348" s="505" t="s">
        <v>1233</v>
      </c>
      <c r="M1348" s="516">
        <v>43.54</v>
      </c>
      <c r="N1348" s="505" t="s">
        <v>1233</v>
      </c>
    </row>
    <row r="1349" spans="1:14" x14ac:dyDescent="0.25">
      <c r="A1349" s="505" t="s">
        <v>3966</v>
      </c>
      <c r="B1349" s="505" t="s">
        <v>3967</v>
      </c>
      <c r="C1349" s="512" t="s">
        <v>8732</v>
      </c>
      <c r="D1349" s="512" t="s">
        <v>8733</v>
      </c>
      <c r="E1349" s="512" t="s">
        <v>8739</v>
      </c>
      <c r="F1349" s="512" t="s">
        <v>8735</v>
      </c>
      <c r="G1349" s="512">
        <v>19</v>
      </c>
      <c r="H1349" s="512" t="s">
        <v>511</v>
      </c>
      <c r="I1349" s="512" t="s">
        <v>7471</v>
      </c>
      <c r="L1349" s="505" t="s">
        <v>1233</v>
      </c>
      <c r="M1349" s="516">
        <v>42.43</v>
      </c>
      <c r="N1349" s="505" t="s">
        <v>1233</v>
      </c>
    </row>
    <row r="1350" spans="1:14" x14ac:dyDescent="0.25">
      <c r="A1350" s="505" t="s">
        <v>3968</v>
      </c>
      <c r="B1350" s="505" t="s">
        <v>3969</v>
      </c>
      <c r="C1350" s="512" t="s">
        <v>8732</v>
      </c>
      <c r="D1350" s="512" t="s">
        <v>8733</v>
      </c>
      <c r="E1350" s="512" t="s">
        <v>8739</v>
      </c>
      <c r="F1350" s="512" t="s">
        <v>8735</v>
      </c>
      <c r="G1350" s="512">
        <v>19</v>
      </c>
      <c r="H1350" s="512" t="s">
        <v>8736</v>
      </c>
      <c r="I1350" s="512" t="s">
        <v>8709</v>
      </c>
      <c r="L1350" s="505" t="s">
        <v>1233</v>
      </c>
      <c r="M1350" s="516">
        <v>42.43</v>
      </c>
      <c r="N1350" s="505" t="s">
        <v>1233</v>
      </c>
    </row>
    <row r="1351" spans="1:14" x14ac:dyDescent="0.25">
      <c r="A1351" s="505" t="s">
        <v>3970</v>
      </c>
      <c r="B1351" s="505" t="s">
        <v>3971</v>
      </c>
      <c r="C1351" s="512" t="s">
        <v>8732</v>
      </c>
      <c r="D1351" s="512" t="s">
        <v>8733</v>
      </c>
      <c r="E1351" s="512" t="s">
        <v>8739</v>
      </c>
      <c r="F1351" s="512" t="s">
        <v>8735</v>
      </c>
      <c r="G1351" s="512">
        <v>19</v>
      </c>
      <c r="H1351" s="512" t="s">
        <v>8740</v>
      </c>
      <c r="I1351" s="512" t="s">
        <v>7471</v>
      </c>
      <c r="L1351" s="505" t="s">
        <v>1233</v>
      </c>
      <c r="M1351" s="516">
        <v>42.43</v>
      </c>
      <c r="N1351" s="505" t="s">
        <v>1233</v>
      </c>
    </row>
    <row r="1352" spans="1:14" x14ac:dyDescent="0.25">
      <c r="A1352" s="505" t="s">
        <v>3972</v>
      </c>
      <c r="B1352" s="505" t="s">
        <v>3973</v>
      </c>
      <c r="C1352" s="512" t="s">
        <v>8732</v>
      </c>
      <c r="D1352" s="512" t="s">
        <v>8733</v>
      </c>
      <c r="E1352" s="512" t="s">
        <v>8739</v>
      </c>
      <c r="F1352" s="512" t="s">
        <v>8735</v>
      </c>
      <c r="G1352" s="512">
        <v>19</v>
      </c>
      <c r="H1352" s="512" t="s">
        <v>8401</v>
      </c>
      <c r="I1352" s="512" t="s">
        <v>8737</v>
      </c>
      <c r="L1352" s="505" t="s">
        <v>1233</v>
      </c>
      <c r="M1352" s="516">
        <v>42.43</v>
      </c>
      <c r="N1352" s="505" t="s">
        <v>1233</v>
      </c>
    </row>
    <row r="1353" spans="1:14" x14ac:dyDescent="0.25">
      <c r="A1353" s="505" t="s">
        <v>3974</v>
      </c>
      <c r="B1353" s="505" t="s">
        <v>3975</v>
      </c>
      <c r="C1353" s="512" t="s">
        <v>8732</v>
      </c>
      <c r="D1353" s="512" t="s">
        <v>8741</v>
      </c>
      <c r="E1353" s="512" t="s">
        <v>8734</v>
      </c>
      <c r="F1353" s="512" t="s">
        <v>8735</v>
      </c>
      <c r="G1353" s="512">
        <v>12</v>
      </c>
      <c r="H1353" s="512" t="s">
        <v>522</v>
      </c>
      <c r="I1353" s="512" t="s">
        <v>8742</v>
      </c>
      <c r="L1353" s="505" t="s">
        <v>1233</v>
      </c>
      <c r="M1353" s="516">
        <v>26.95</v>
      </c>
      <c r="N1353" s="505" t="s">
        <v>1233</v>
      </c>
    </row>
    <row r="1354" spans="1:14" x14ac:dyDescent="0.25">
      <c r="A1354" s="505" t="s">
        <v>3976</v>
      </c>
      <c r="B1354" s="505" t="s">
        <v>3977</v>
      </c>
      <c r="C1354" s="512" t="s">
        <v>8732</v>
      </c>
      <c r="D1354" s="512" t="s">
        <v>8741</v>
      </c>
      <c r="E1354" s="512" t="s">
        <v>8739</v>
      </c>
      <c r="F1354" s="512" t="s">
        <v>8735</v>
      </c>
      <c r="G1354" s="512">
        <v>12</v>
      </c>
      <c r="H1354" s="512" t="s">
        <v>8743</v>
      </c>
      <c r="I1354" s="512" t="s">
        <v>8744</v>
      </c>
      <c r="L1354" s="505" t="s">
        <v>1233</v>
      </c>
      <c r="M1354" s="516">
        <v>17.88</v>
      </c>
      <c r="N1354" s="505" t="s">
        <v>1233</v>
      </c>
    </row>
    <row r="1355" spans="1:14" x14ac:dyDescent="0.25">
      <c r="A1355" s="505" t="s">
        <v>3978</v>
      </c>
      <c r="B1355" s="505" t="s">
        <v>3979</v>
      </c>
      <c r="C1355" s="512" t="s">
        <v>8732</v>
      </c>
      <c r="D1355" s="512" t="s">
        <v>8741</v>
      </c>
      <c r="E1355" s="512" t="s">
        <v>8739</v>
      </c>
      <c r="F1355" s="512" t="s">
        <v>8735</v>
      </c>
      <c r="G1355" s="512">
        <v>12</v>
      </c>
      <c r="H1355" s="512" t="s">
        <v>522</v>
      </c>
      <c r="I1355" s="512" t="s">
        <v>8742</v>
      </c>
      <c r="L1355" s="505" t="s">
        <v>1233</v>
      </c>
      <c r="M1355" s="516">
        <v>17.88</v>
      </c>
      <c r="N1355" s="505" t="s">
        <v>1233</v>
      </c>
    </row>
    <row r="1356" spans="1:14" x14ac:dyDescent="0.25">
      <c r="A1356" s="505" t="s">
        <v>3980</v>
      </c>
      <c r="B1356" s="505" t="s">
        <v>3981</v>
      </c>
      <c r="C1356" s="512" t="s">
        <v>8732</v>
      </c>
      <c r="D1356" s="512" t="s">
        <v>8741</v>
      </c>
      <c r="E1356" s="512" t="s">
        <v>8745</v>
      </c>
      <c r="F1356" s="512" t="s">
        <v>7784</v>
      </c>
      <c r="G1356" s="512" t="s">
        <v>8746</v>
      </c>
      <c r="H1356" s="512" t="s">
        <v>8747</v>
      </c>
      <c r="L1356" s="505" t="s">
        <v>1233</v>
      </c>
      <c r="M1356" s="516">
        <v>102.04</v>
      </c>
      <c r="N1356" s="505" t="s">
        <v>1233</v>
      </c>
    </row>
    <row r="1357" spans="1:14" x14ac:dyDescent="0.25">
      <c r="A1357" s="505" t="s">
        <v>3982</v>
      </c>
      <c r="B1357" s="505" t="s">
        <v>3983</v>
      </c>
      <c r="C1357" s="512" t="s">
        <v>8732</v>
      </c>
      <c r="D1357" s="512" t="s">
        <v>8741</v>
      </c>
      <c r="E1357" s="512" t="s">
        <v>8745</v>
      </c>
      <c r="F1357" s="512" t="s">
        <v>7784</v>
      </c>
      <c r="G1357" s="512" t="s">
        <v>8748</v>
      </c>
      <c r="H1357" s="512" t="s">
        <v>8747</v>
      </c>
      <c r="L1357" s="505" t="s">
        <v>1233</v>
      </c>
      <c r="M1357" s="516">
        <v>102.04</v>
      </c>
      <c r="N1357" s="505" t="s">
        <v>1233</v>
      </c>
    </row>
    <row r="1358" spans="1:14" x14ac:dyDescent="0.25">
      <c r="A1358" s="505" t="s">
        <v>3984</v>
      </c>
      <c r="B1358" s="505" t="s">
        <v>3985</v>
      </c>
      <c r="C1358" s="512" t="s">
        <v>8732</v>
      </c>
      <c r="D1358" s="512" t="s">
        <v>8741</v>
      </c>
      <c r="E1358" s="512" t="s">
        <v>8745</v>
      </c>
      <c r="F1358" s="512" t="s">
        <v>7784</v>
      </c>
      <c r="G1358" s="512" t="s">
        <v>8749</v>
      </c>
      <c r="H1358" s="512" t="s">
        <v>8709</v>
      </c>
      <c r="L1358" s="505" t="s">
        <v>1233</v>
      </c>
      <c r="M1358" s="516">
        <v>102.04</v>
      </c>
      <c r="N1358" s="505" t="s">
        <v>1233</v>
      </c>
    </row>
    <row r="1359" spans="1:14" x14ac:dyDescent="0.25">
      <c r="A1359" s="505" t="s">
        <v>3986</v>
      </c>
      <c r="B1359" s="505" t="s">
        <v>3987</v>
      </c>
      <c r="C1359" s="512" t="s">
        <v>8732</v>
      </c>
      <c r="D1359" s="512" t="s">
        <v>8741</v>
      </c>
      <c r="E1359" s="512" t="s">
        <v>8745</v>
      </c>
      <c r="F1359" s="512" t="s">
        <v>7784</v>
      </c>
      <c r="G1359" s="512" t="s">
        <v>8546</v>
      </c>
      <c r="H1359" s="512" t="s">
        <v>8750</v>
      </c>
      <c r="L1359" s="505" t="s">
        <v>1233</v>
      </c>
      <c r="M1359" s="516">
        <v>102.04</v>
      </c>
      <c r="N1359" s="505" t="s">
        <v>1233</v>
      </c>
    </row>
    <row r="1360" spans="1:14" x14ac:dyDescent="0.25">
      <c r="A1360" s="505" t="s">
        <v>3988</v>
      </c>
      <c r="B1360" s="505" t="s">
        <v>3989</v>
      </c>
      <c r="C1360" s="512" t="s">
        <v>8732</v>
      </c>
      <c r="D1360" s="512" t="s">
        <v>8741</v>
      </c>
      <c r="E1360" s="512" t="s">
        <v>8745</v>
      </c>
      <c r="F1360" s="512" t="s">
        <v>7784</v>
      </c>
      <c r="G1360" s="512" t="s">
        <v>8751</v>
      </c>
      <c r="H1360" s="512" t="s">
        <v>8752</v>
      </c>
      <c r="L1360" s="505" t="s">
        <v>1233</v>
      </c>
      <c r="M1360" s="516">
        <v>102.04</v>
      </c>
      <c r="N1360" s="505" t="s">
        <v>1233</v>
      </c>
    </row>
    <row r="1361" spans="1:14" x14ac:dyDescent="0.25">
      <c r="A1361" s="505" t="s">
        <v>3990</v>
      </c>
      <c r="B1361" s="505" t="s">
        <v>3991</v>
      </c>
      <c r="C1361" s="512" t="s">
        <v>8732</v>
      </c>
      <c r="D1361" s="512" t="s">
        <v>8741</v>
      </c>
      <c r="E1361" s="512" t="s">
        <v>8745</v>
      </c>
      <c r="F1361" s="512" t="s">
        <v>7784</v>
      </c>
      <c r="G1361" s="512" t="s">
        <v>8547</v>
      </c>
      <c r="H1361" s="512" t="s">
        <v>8753</v>
      </c>
      <c r="L1361" s="505" t="s">
        <v>1233</v>
      </c>
      <c r="M1361" s="516">
        <v>102.04</v>
      </c>
      <c r="N1361" s="505" t="s">
        <v>1233</v>
      </c>
    </row>
    <row r="1362" spans="1:14" x14ac:dyDescent="0.25">
      <c r="A1362" s="505" t="s">
        <v>3992</v>
      </c>
      <c r="B1362" s="505" t="s">
        <v>3993</v>
      </c>
      <c r="C1362" s="512" t="s">
        <v>8732</v>
      </c>
      <c r="D1362" s="512" t="s">
        <v>8741</v>
      </c>
      <c r="E1362" s="512" t="s">
        <v>8745</v>
      </c>
      <c r="F1362" s="512" t="s">
        <v>7784</v>
      </c>
      <c r="G1362" s="512" t="s">
        <v>7492</v>
      </c>
      <c r="H1362" s="512" t="s">
        <v>7471</v>
      </c>
      <c r="L1362" s="505" t="s">
        <v>1233</v>
      </c>
      <c r="M1362" s="516">
        <v>102.04</v>
      </c>
      <c r="N1362" s="505" t="s">
        <v>1233</v>
      </c>
    </row>
    <row r="1363" spans="1:14" x14ac:dyDescent="0.25">
      <c r="A1363" s="505" t="s">
        <v>3994</v>
      </c>
      <c r="B1363" s="505" t="s">
        <v>3995</v>
      </c>
      <c r="C1363" s="512" t="s">
        <v>8732</v>
      </c>
      <c r="D1363" s="512" t="s">
        <v>8741</v>
      </c>
      <c r="E1363" s="512" t="s">
        <v>8745</v>
      </c>
      <c r="F1363" s="512" t="s">
        <v>7784</v>
      </c>
      <c r="G1363" s="512" t="s">
        <v>8754</v>
      </c>
      <c r="H1363" s="512" t="s">
        <v>7471</v>
      </c>
      <c r="L1363" s="505" t="s">
        <v>1233</v>
      </c>
      <c r="M1363" s="516">
        <v>102.04</v>
      </c>
      <c r="N1363" s="505" t="s">
        <v>1233</v>
      </c>
    </row>
    <row r="1364" spans="1:14" x14ac:dyDescent="0.25">
      <c r="A1364" s="505" t="s">
        <v>3996</v>
      </c>
      <c r="B1364" s="505" t="s">
        <v>3997</v>
      </c>
      <c r="C1364" s="512" t="s">
        <v>8732</v>
      </c>
      <c r="D1364" s="512" t="s">
        <v>8741</v>
      </c>
      <c r="E1364" s="512" t="s">
        <v>8745</v>
      </c>
      <c r="F1364" s="512" t="s">
        <v>7784</v>
      </c>
      <c r="G1364" s="512" t="s">
        <v>8755</v>
      </c>
      <c r="H1364" s="512" t="s">
        <v>7471</v>
      </c>
      <c r="L1364" s="505" t="s">
        <v>1233</v>
      </c>
      <c r="M1364" s="516">
        <v>102.04</v>
      </c>
      <c r="N1364" s="505" t="s">
        <v>1233</v>
      </c>
    </row>
    <row r="1365" spans="1:14" x14ac:dyDescent="0.25">
      <c r="A1365" s="505" t="s">
        <v>3998</v>
      </c>
      <c r="B1365" s="505" t="s">
        <v>3999</v>
      </c>
      <c r="C1365" s="512" t="s">
        <v>8732</v>
      </c>
      <c r="D1365" s="512" t="s">
        <v>8741</v>
      </c>
      <c r="E1365" s="512" t="s">
        <v>8745</v>
      </c>
      <c r="F1365" s="512" t="s">
        <v>7784</v>
      </c>
      <c r="G1365" s="512" t="s">
        <v>8756</v>
      </c>
      <c r="H1365" s="512" t="s">
        <v>8737</v>
      </c>
      <c r="L1365" s="505" t="s">
        <v>1233</v>
      </c>
      <c r="M1365" s="516">
        <v>102.04</v>
      </c>
      <c r="N1365" s="505" t="s">
        <v>1233</v>
      </c>
    </row>
    <row r="1366" spans="1:14" x14ac:dyDescent="0.25">
      <c r="A1366" s="505" t="s">
        <v>4000</v>
      </c>
      <c r="B1366" s="505" t="s">
        <v>4001</v>
      </c>
      <c r="C1366" s="512" t="s">
        <v>8732</v>
      </c>
      <c r="D1366" s="512" t="s">
        <v>8741</v>
      </c>
      <c r="E1366" s="512" t="s">
        <v>8745</v>
      </c>
      <c r="F1366" s="512" t="s">
        <v>7784</v>
      </c>
      <c r="G1366" s="512" t="s">
        <v>8757</v>
      </c>
      <c r="H1366" s="512" t="s">
        <v>7471</v>
      </c>
      <c r="L1366" s="505" t="s">
        <v>1233</v>
      </c>
      <c r="M1366" s="516">
        <v>102.04</v>
      </c>
      <c r="N1366" s="505" t="s">
        <v>1233</v>
      </c>
    </row>
    <row r="1367" spans="1:14" x14ac:dyDescent="0.25">
      <c r="A1367" s="505" t="s">
        <v>4002</v>
      </c>
      <c r="B1367" s="505" t="s">
        <v>4003</v>
      </c>
      <c r="C1367" s="512" t="s">
        <v>8732</v>
      </c>
      <c r="D1367" s="512" t="s">
        <v>8741</v>
      </c>
      <c r="E1367" s="512" t="s">
        <v>8758</v>
      </c>
      <c r="F1367" s="512" t="s">
        <v>8574</v>
      </c>
      <c r="G1367" s="512" t="s">
        <v>7784</v>
      </c>
      <c r="H1367" s="512" t="s">
        <v>8736</v>
      </c>
      <c r="I1367" s="512" t="s">
        <v>8709</v>
      </c>
      <c r="L1367" s="505" t="s">
        <v>1233</v>
      </c>
      <c r="M1367" s="516">
        <v>63.31</v>
      </c>
      <c r="N1367" s="505" t="s">
        <v>1233</v>
      </c>
    </row>
    <row r="1368" spans="1:14" x14ac:dyDescent="0.25">
      <c r="A1368" s="505" t="s">
        <v>4004</v>
      </c>
      <c r="B1368" s="505" t="s">
        <v>4005</v>
      </c>
      <c r="C1368" s="512" t="s">
        <v>8759</v>
      </c>
      <c r="D1368" s="512" t="s">
        <v>8760</v>
      </c>
      <c r="E1368" s="512" t="s">
        <v>1073</v>
      </c>
      <c r="F1368" s="512" t="s">
        <v>7871</v>
      </c>
      <c r="G1368" s="512" t="s">
        <v>8761</v>
      </c>
      <c r="H1368" s="512" t="s">
        <v>522</v>
      </c>
      <c r="I1368" s="512" t="s">
        <v>8336</v>
      </c>
      <c r="L1368" s="505" t="s">
        <v>1233</v>
      </c>
      <c r="M1368" s="516">
        <v>131.11000000000001</v>
      </c>
      <c r="N1368" s="505" t="s">
        <v>1233</v>
      </c>
    </row>
    <row r="1369" spans="1:14" x14ac:dyDescent="0.25">
      <c r="A1369" s="505" t="s">
        <v>4006</v>
      </c>
      <c r="B1369" s="505" t="s">
        <v>4007</v>
      </c>
      <c r="C1369" s="512" t="s">
        <v>8732</v>
      </c>
      <c r="D1369" s="512" t="s">
        <v>8741</v>
      </c>
      <c r="E1369" s="512" t="s">
        <v>8739</v>
      </c>
      <c r="F1369" s="512" t="s">
        <v>8735</v>
      </c>
      <c r="G1369" s="512">
        <v>19</v>
      </c>
      <c r="H1369" s="512" t="s">
        <v>8736</v>
      </c>
      <c r="I1369" s="512" t="s">
        <v>8709</v>
      </c>
      <c r="L1369" s="505" t="s">
        <v>1233</v>
      </c>
      <c r="M1369" s="516">
        <v>29.92</v>
      </c>
      <c r="N1369" s="505" t="s">
        <v>1233</v>
      </c>
    </row>
    <row r="1370" spans="1:14" x14ac:dyDescent="0.25">
      <c r="A1370" s="505" t="s">
        <v>4008</v>
      </c>
      <c r="B1370" s="505" t="s">
        <v>4009</v>
      </c>
      <c r="C1370" s="512" t="s">
        <v>8732</v>
      </c>
      <c r="D1370" s="512" t="s">
        <v>8741</v>
      </c>
      <c r="E1370" s="512" t="s">
        <v>8739</v>
      </c>
      <c r="F1370" s="512" t="s">
        <v>8735</v>
      </c>
      <c r="G1370" s="512">
        <v>19</v>
      </c>
      <c r="H1370" s="512" t="s">
        <v>8762</v>
      </c>
      <c r="I1370" s="512" t="s">
        <v>7471</v>
      </c>
      <c r="L1370" s="505" t="s">
        <v>1233</v>
      </c>
      <c r="M1370" s="516">
        <v>29.92</v>
      </c>
      <c r="N1370" s="505" t="s">
        <v>1233</v>
      </c>
    </row>
    <row r="1371" spans="1:14" x14ac:dyDescent="0.25">
      <c r="A1371" s="505" t="s">
        <v>4010</v>
      </c>
      <c r="B1371" s="505" t="s">
        <v>4011</v>
      </c>
      <c r="C1371" s="512" t="s">
        <v>8732</v>
      </c>
      <c r="D1371" s="512" t="s">
        <v>8741</v>
      </c>
      <c r="E1371" s="512" t="s">
        <v>8745</v>
      </c>
      <c r="F1371" s="512" t="s">
        <v>8761</v>
      </c>
      <c r="G1371" s="512" t="s">
        <v>8748</v>
      </c>
      <c r="H1371" s="512" t="s">
        <v>8747</v>
      </c>
      <c r="L1371" s="505" t="s">
        <v>1233</v>
      </c>
      <c r="M1371" s="516">
        <v>43.54</v>
      </c>
      <c r="N1371" s="505" t="s">
        <v>1233</v>
      </c>
    </row>
    <row r="1372" spans="1:14" x14ac:dyDescent="0.25">
      <c r="A1372" s="505" t="s">
        <v>4012</v>
      </c>
      <c r="B1372" s="505" t="s">
        <v>4013</v>
      </c>
      <c r="C1372" s="512" t="s">
        <v>8732</v>
      </c>
      <c r="D1372" s="512" t="s">
        <v>8741</v>
      </c>
      <c r="E1372" s="512" t="s">
        <v>8584</v>
      </c>
      <c r="F1372" s="512" t="s">
        <v>8763</v>
      </c>
      <c r="G1372" s="512" t="s">
        <v>8764</v>
      </c>
      <c r="L1372" s="505" t="s">
        <v>1233</v>
      </c>
      <c r="M1372" s="516">
        <v>65</v>
      </c>
      <c r="N1372" s="505" t="s">
        <v>1233</v>
      </c>
    </row>
    <row r="1373" spans="1:14" x14ac:dyDescent="0.25">
      <c r="A1373" s="505" t="s">
        <v>4014</v>
      </c>
      <c r="B1373" s="505" t="s">
        <v>4015</v>
      </c>
      <c r="C1373" s="512" t="s">
        <v>8732</v>
      </c>
      <c r="D1373" s="512" t="s">
        <v>8741</v>
      </c>
      <c r="E1373" s="512" t="s">
        <v>8584</v>
      </c>
      <c r="F1373" s="512" t="s">
        <v>8763</v>
      </c>
      <c r="G1373" s="512" t="s">
        <v>8765</v>
      </c>
      <c r="L1373" s="505" t="s">
        <v>1233</v>
      </c>
      <c r="M1373" s="516">
        <v>65</v>
      </c>
      <c r="N1373" s="505" t="s">
        <v>1233</v>
      </c>
    </row>
    <row r="1374" spans="1:14" x14ac:dyDescent="0.25">
      <c r="A1374" s="505" t="s">
        <v>4016</v>
      </c>
      <c r="B1374" s="505" t="s">
        <v>4017</v>
      </c>
      <c r="C1374" s="512" t="s">
        <v>8759</v>
      </c>
      <c r="D1374" s="512" t="s">
        <v>8760</v>
      </c>
      <c r="E1374" s="512" t="s">
        <v>1073</v>
      </c>
      <c r="F1374" s="512" t="s">
        <v>7871</v>
      </c>
      <c r="G1374" s="512" t="s">
        <v>7784</v>
      </c>
      <c r="H1374" s="512" t="s">
        <v>522</v>
      </c>
      <c r="I1374" s="512" t="s">
        <v>8336</v>
      </c>
      <c r="L1374" s="505" t="s">
        <v>1233</v>
      </c>
      <c r="M1374" s="516">
        <v>64.91</v>
      </c>
      <c r="N1374" s="505" t="s">
        <v>1233</v>
      </c>
    </row>
    <row r="1375" spans="1:14" x14ac:dyDescent="0.25">
      <c r="A1375" s="505" t="s">
        <v>4018</v>
      </c>
      <c r="B1375" s="505" t="s">
        <v>4019</v>
      </c>
      <c r="C1375" s="512" t="s">
        <v>8759</v>
      </c>
      <c r="D1375" s="512" t="s">
        <v>8760</v>
      </c>
      <c r="E1375" s="512" t="s">
        <v>1073</v>
      </c>
      <c r="F1375" s="512" t="s">
        <v>7871</v>
      </c>
      <c r="G1375" s="512" t="s">
        <v>7784</v>
      </c>
      <c r="H1375" s="512" t="s">
        <v>8766</v>
      </c>
      <c r="I1375" s="512" t="s">
        <v>8767</v>
      </c>
      <c r="L1375" s="505" t="s">
        <v>1233</v>
      </c>
      <c r="M1375" s="516">
        <v>64.91</v>
      </c>
      <c r="N1375" s="505" t="s">
        <v>1233</v>
      </c>
    </row>
    <row r="1376" spans="1:14" x14ac:dyDescent="0.25">
      <c r="A1376" s="505" t="s">
        <v>4020</v>
      </c>
      <c r="B1376" s="505" t="s">
        <v>4021</v>
      </c>
      <c r="C1376" s="512" t="s">
        <v>8732</v>
      </c>
      <c r="D1376" s="512" t="s">
        <v>8741</v>
      </c>
      <c r="E1376" s="512" t="s">
        <v>8734</v>
      </c>
      <c r="F1376" s="512" t="s">
        <v>8735</v>
      </c>
      <c r="G1376" s="512">
        <v>12</v>
      </c>
      <c r="H1376" s="512" t="s">
        <v>8762</v>
      </c>
      <c r="I1376" s="512" t="s">
        <v>7471</v>
      </c>
      <c r="L1376" s="505" t="s">
        <v>1233</v>
      </c>
      <c r="M1376" s="516">
        <v>64.91</v>
      </c>
      <c r="N1376" s="505" t="s">
        <v>1233</v>
      </c>
    </row>
    <row r="1377" spans="1:14" x14ac:dyDescent="0.25">
      <c r="A1377" s="505" t="s">
        <v>4022</v>
      </c>
      <c r="B1377" s="505" t="s">
        <v>4023</v>
      </c>
      <c r="C1377" s="512" t="s">
        <v>8732</v>
      </c>
      <c r="D1377" s="512" t="s">
        <v>8741</v>
      </c>
      <c r="E1377" s="512" t="s">
        <v>8734</v>
      </c>
      <c r="F1377" s="512" t="s">
        <v>8735</v>
      </c>
      <c r="G1377" s="512">
        <v>19</v>
      </c>
      <c r="H1377" s="512" t="s">
        <v>8736</v>
      </c>
      <c r="I1377" s="512" t="s">
        <v>8709</v>
      </c>
      <c r="L1377" s="505" t="s">
        <v>1233</v>
      </c>
      <c r="M1377" s="516">
        <v>131.11000000000001</v>
      </c>
      <c r="N1377" s="505" t="s">
        <v>1233</v>
      </c>
    </row>
    <row r="1378" spans="1:14" x14ac:dyDescent="0.25">
      <c r="A1378" s="505" t="s">
        <v>4024</v>
      </c>
      <c r="B1378" s="505" t="s">
        <v>4025</v>
      </c>
      <c r="C1378" s="512" t="s">
        <v>8732</v>
      </c>
      <c r="D1378" s="512" t="s">
        <v>8741</v>
      </c>
      <c r="E1378" s="512" t="s">
        <v>8734</v>
      </c>
      <c r="F1378" s="512" t="s">
        <v>8735</v>
      </c>
      <c r="G1378" s="512">
        <v>19</v>
      </c>
      <c r="H1378" s="512" t="s">
        <v>8762</v>
      </c>
      <c r="I1378" s="512" t="s">
        <v>7471</v>
      </c>
      <c r="L1378" s="505" t="s">
        <v>1233</v>
      </c>
      <c r="M1378" s="516">
        <v>64.91</v>
      </c>
      <c r="N1378" s="505" t="s">
        <v>1233</v>
      </c>
    </row>
    <row r="1379" spans="1:14" x14ac:dyDescent="0.25">
      <c r="A1379" s="505" t="s">
        <v>4026</v>
      </c>
      <c r="B1379" s="505" t="s">
        <v>4027</v>
      </c>
      <c r="C1379" s="512" t="s">
        <v>8732</v>
      </c>
      <c r="D1379" s="512" t="s">
        <v>8741</v>
      </c>
      <c r="E1379" s="512" t="s">
        <v>8768</v>
      </c>
      <c r="F1379" s="512" t="s">
        <v>8769</v>
      </c>
      <c r="G1379" s="512" t="s">
        <v>8761</v>
      </c>
      <c r="L1379" s="505" t="s">
        <v>1233</v>
      </c>
      <c r="M1379" s="516">
        <v>131.11000000000001</v>
      </c>
      <c r="N1379" s="505" t="s">
        <v>1233</v>
      </c>
    </row>
    <row r="1380" spans="1:14" x14ac:dyDescent="0.25">
      <c r="A1380" s="505" t="s">
        <v>4028</v>
      </c>
      <c r="B1380" s="505" t="s">
        <v>4029</v>
      </c>
      <c r="C1380" s="512" t="s">
        <v>8732</v>
      </c>
      <c r="D1380" s="512" t="s">
        <v>8741</v>
      </c>
      <c r="E1380" s="512" t="s">
        <v>8574</v>
      </c>
      <c r="F1380" s="512" t="s">
        <v>7765</v>
      </c>
      <c r="G1380" s="512" t="s">
        <v>7784</v>
      </c>
      <c r="H1380" s="512" t="s">
        <v>8770</v>
      </c>
      <c r="I1380" s="512" t="s">
        <v>8771</v>
      </c>
      <c r="L1380" s="505" t="s">
        <v>1233</v>
      </c>
      <c r="M1380" s="516">
        <v>64.41</v>
      </c>
      <c r="N1380" s="505" t="s">
        <v>1233</v>
      </c>
    </row>
    <row r="1381" spans="1:14" x14ac:dyDescent="0.25">
      <c r="A1381" s="505" t="s">
        <v>4030</v>
      </c>
      <c r="B1381" s="505" t="s">
        <v>4031</v>
      </c>
      <c r="C1381" s="512" t="s">
        <v>8732</v>
      </c>
      <c r="D1381" s="512" t="s">
        <v>8741</v>
      </c>
      <c r="E1381" s="512" t="s">
        <v>8574</v>
      </c>
      <c r="F1381" s="512" t="s">
        <v>7765</v>
      </c>
      <c r="G1381" s="512" t="s">
        <v>7784</v>
      </c>
      <c r="H1381" s="512" t="s">
        <v>8772</v>
      </c>
      <c r="I1381" s="512" t="s">
        <v>7740</v>
      </c>
      <c r="L1381" s="505" t="s">
        <v>1233</v>
      </c>
      <c r="M1381" s="516">
        <v>64.41</v>
      </c>
      <c r="N1381" s="505" t="s">
        <v>1233</v>
      </c>
    </row>
    <row r="1382" spans="1:14" x14ac:dyDescent="0.25">
      <c r="A1382" s="505" t="s">
        <v>4032</v>
      </c>
      <c r="B1382" s="505" t="s">
        <v>4033</v>
      </c>
      <c r="C1382" s="512" t="s">
        <v>8732</v>
      </c>
      <c r="D1382" s="512" t="s">
        <v>8741</v>
      </c>
      <c r="E1382" s="512" t="s">
        <v>8574</v>
      </c>
      <c r="F1382" s="512" t="s">
        <v>7765</v>
      </c>
      <c r="G1382" s="512" t="s">
        <v>7784</v>
      </c>
      <c r="H1382" s="512" t="s">
        <v>8773</v>
      </c>
      <c r="I1382" s="512" t="s">
        <v>8709</v>
      </c>
      <c r="L1382" s="505" t="s">
        <v>1233</v>
      </c>
      <c r="M1382" s="516">
        <v>64.41</v>
      </c>
      <c r="N1382" s="505" t="s">
        <v>1233</v>
      </c>
    </row>
    <row r="1383" spans="1:14" x14ac:dyDescent="0.25">
      <c r="A1383" s="505" t="s">
        <v>4034</v>
      </c>
      <c r="B1383" s="505" t="s">
        <v>4035</v>
      </c>
      <c r="C1383" s="512" t="s">
        <v>8732</v>
      </c>
      <c r="D1383" s="512" t="s">
        <v>8741</v>
      </c>
      <c r="E1383" s="512" t="s">
        <v>8574</v>
      </c>
      <c r="F1383" s="512" t="s">
        <v>7765</v>
      </c>
      <c r="G1383" s="512" t="s">
        <v>7784</v>
      </c>
      <c r="H1383" s="512" t="s">
        <v>8774</v>
      </c>
      <c r="L1383" s="505" t="s">
        <v>1233</v>
      </c>
      <c r="M1383" s="516">
        <v>64.41</v>
      </c>
      <c r="N1383" s="505" t="s">
        <v>1233</v>
      </c>
    </row>
    <row r="1384" spans="1:14" x14ac:dyDescent="0.25">
      <c r="A1384" s="505" t="s">
        <v>4036</v>
      </c>
      <c r="B1384" s="505" t="s">
        <v>4037</v>
      </c>
      <c r="C1384" s="512" t="s">
        <v>8732</v>
      </c>
      <c r="D1384" s="512" t="s">
        <v>8741</v>
      </c>
      <c r="E1384" s="512" t="s">
        <v>8574</v>
      </c>
      <c r="F1384" s="512" t="s">
        <v>7765</v>
      </c>
      <c r="G1384" s="512" t="s">
        <v>7784</v>
      </c>
      <c r="H1384" s="512" t="s">
        <v>8775</v>
      </c>
      <c r="I1384" s="512" t="s">
        <v>8776</v>
      </c>
      <c r="L1384" s="505" t="s">
        <v>1233</v>
      </c>
      <c r="M1384" s="516">
        <v>64.41</v>
      </c>
      <c r="N1384" s="505" t="s">
        <v>1233</v>
      </c>
    </row>
    <row r="1385" spans="1:14" x14ac:dyDescent="0.25">
      <c r="A1385" s="505" t="s">
        <v>4038</v>
      </c>
      <c r="B1385" s="505" t="s">
        <v>4039</v>
      </c>
      <c r="C1385" s="512" t="s">
        <v>8732</v>
      </c>
      <c r="D1385" s="512" t="s">
        <v>8741</v>
      </c>
      <c r="E1385" s="512" t="s">
        <v>8574</v>
      </c>
      <c r="F1385" s="512" t="s">
        <v>7765</v>
      </c>
      <c r="G1385" s="512" t="s">
        <v>7784</v>
      </c>
      <c r="H1385" s="512" t="s">
        <v>8777</v>
      </c>
      <c r="I1385" s="512" t="s">
        <v>8326</v>
      </c>
      <c r="L1385" s="505" t="s">
        <v>1233</v>
      </c>
      <c r="M1385" s="516">
        <v>64.41</v>
      </c>
      <c r="N1385" s="505" t="s">
        <v>1233</v>
      </c>
    </row>
    <row r="1386" spans="1:14" x14ac:dyDescent="0.25">
      <c r="A1386" s="505" t="s">
        <v>4040</v>
      </c>
      <c r="B1386" s="505" t="s">
        <v>4041</v>
      </c>
      <c r="C1386" s="512" t="s">
        <v>8732</v>
      </c>
      <c r="D1386" s="512" t="s">
        <v>8741</v>
      </c>
      <c r="E1386" s="512" t="s">
        <v>8574</v>
      </c>
      <c r="F1386" s="512" t="s">
        <v>7765</v>
      </c>
      <c r="G1386" s="512" t="s">
        <v>7784</v>
      </c>
      <c r="H1386" s="512" t="s">
        <v>8555</v>
      </c>
      <c r="I1386" s="512" t="s">
        <v>7740</v>
      </c>
      <c r="L1386" s="505" t="s">
        <v>1233</v>
      </c>
      <c r="M1386" s="516">
        <v>64.41</v>
      </c>
      <c r="N1386" s="505" t="s">
        <v>1233</v>
      </c>
    </row>
    <row r="1387" spans="1:14" x14ac:dyDescent="0.25">
      <c r="A1387" s="505" t="s">
        <v>4042</v>
      </c>
      <c r="B1387" s="505" t="s">
        <v>4043</v>
      </c>
      <c r="C1387" s="512" t="s">
        <v>8732</v>
      </c>
      <c r="D1387" s="512" t="s">
        <v>8741</v>
      </c>
      <c r="E1387" s="512" t="s">
        <v>8574</v>
      </c>
      <c r="F1387" s="512" t="s">
        <v>7765</v>
      </c>
      <c r="G1387" s="512" t="s">
        <v>7784</v>
      </c>
      <c r="H1387" s="512" t="s">
        <v>8778</v>
      </c>
      <c r="I1387" s="512" t="s">
        <v>8779</v>
      </c>
      <c r="L1387" s="505" t="s">
        <v>1233</v>
      </c>
      <c r="M1387" s="516">
        <v>64.41</v>
      </c>
      <c r="N1387" s="505" t="s">
        <v>1233</v>
      </c>
    </row>
    <row r="1388" spans="1:14" x14ac:dyDescent="0.25">
      <c r="A1388" s="505" t="s">
        <v>4044</v>
      </c>
      <c r="B1388" s="505" t="s">
        <v>4045</v>
      </c>
      <c r="C1388" s="512" t="s">
        <v>8732</v>
      </c>
      <c r="D1388" s="512" t="s">
        <v>8741</v>
      </c>
      <c r="E1388" s="512" t="s">
        <v>8574</v>
      </c>
      <c r="F1388" s="512" t="s">
        <v>7765</v>
      </c>
      <c r="G1388" s="512" t="s">
        <v>7784</v>
      </c>
      <c r="H1388" s="512" t="s">
        <v>8780</v>
      </c>
      <c r="L1388" s="505" t="s">
        <v>1233</v>
      </c>
      <c r="M1388" s="516">
        <v>64.41</v>
      </c>
      <c r="N1388" s="505" t="s">
        <v>1233</v>
      </c>
    </row>
    <row r="1389" spans="1:14" x14ac:dyDescent="0.25">
      <c r="A1389" s="505" t="s">
        <v>4046</v>
      </c>
      <c r="B1389" s="505" t="s">
        <v>4047</v>
      </c>
      <c r="C1389" s="512" t="s">
        <v>8732</v>
      </c>
      <c r="D1389" s="512" t="s">
        <v>8741</v>
      </c>
      <c r="E1389" s="512" t="s">
        <v>8574</v>
      </c>
      <c r="F1389" s="512" t="s">
        <v>7765</v>
      </c>
      <c r="G1389" s="512" t="s">
        <v>7784</v>
      </c>
      <c r="H1389" s="512" t="s">
        <v>8764</v>
      </c>
      <c r="L1389" s="505" t="s">
        <v>1233</v>
      </c>
      <c r="M1389" s="516">
        <v>64.41</v>
      </c>
      <c r="N1389" s="505" t="s">
        <v>1233</v>
      </c>
    </row>
    <row r="1390" spans="1:14" x14ac:dyDescent="0.25">
      <c r="A1390" s="505" t="s">
        <v>4048</v>
      </c>
      <c r="B1390" s="505" t="s">
        <v>4049</v>
      </c>
      <c r="C1390" s="512" t="s">
        <v>8732</v>
      </c>
      <c r="D1390" s="512" t="s">
        <v>8741</v>
      </c>
      <c r="E1390" s="512" t="s">
        <v>8574</v>
      </c>
      <c r="F1390" s="512" t="s">
        <v>7765</v>
      </c>
      <c r="G1390" s="512" t="s">
        <v>7784</v>
      </c>
      <c r="H1390" s="512" t="s">
        <v>8781</v>
      </c>
      <c r="I1390" s="512" t="s">
        <v>7471</v>
      </c>
      <c r="L1390" s="505" t="s">
        <v>1233</v>
      </c>
      <c r="M1390" s="516">
        <v>64.41</v>
      </c>
      <c r="N1390" s="505" t="s">
        <v>1233</v>
      </c>
    </row>
    <row r="1391" spans="1:14" x14ac:dyDescent="0.25">
      <c r="A1391" s="505" t="s">
        <v>4050</v>
      </c>
      <c r="B1391" s="505" t="s">
        <v>4051</v>
      </c>
      <c r="C1391" s="512" t="s">
        <v>8732</v>
      </c>
      <c r="D1391" s="512" t="s">
        <v>8741</v>
      </c>
      <c r="E1391" s="512" t="s">
        <v>8574</v>
      </c>
      <c r="F1391" s="512" t="s">
        <v>7765</v>
      </c>
      <c r="G1391" s="512" t="s">
        <v>7784</v>
      </c>
      <c r="H1391" s="512" t="s">
        <v>8782</v>
      </c>
      <c r="I1391" s="512" t="s">
        <v>7471</v>
      </c>
      <c r="L1391" s="505" t="s">
        <v>1233</v>
      </c>
      <c r="M1391" s="516">
        <v>64.41</v>
      </c>
      <c r="N1391" s="505" t="s">
        <v>1233</v>
      </c>
    </row>
    <row r="1392" spans="1:14" x14ac:dyDescent="0.25">
      <c r="A1392" s="505" t="s">
        <v>4052</v>
      </c>
      <c r="B1392" s="505" t="s">
        <v>4053</v>
      </c>
      <c r="C1392" s="512" t="s">
        <v>8732</v>
      </c>
      <c r="D1392" s="512" t="s">
        <v>8741</v>
      </c>
      <c r="E1392" s="512" t="s">
        <v>8574</v>
      </c>
      <c r="F1392" s="512" t="s">
        <v>7765</v>
      </c>
      <c r="G1392" s="512" t="s">
        <v>7784</v>
      </c>
      <c r="H1392" s="512" t="s">
        <v>8783</v>
      </c>
      <c r="I1392" s="512" t="s">
        <v>8784</v>
      </c>
      <c r="L1392" s="505" t="s">
        <v>1233</v>
      </c>
      <c r="M1392" s="516">
        <v>64.41</v>
      </c>
      <c r="N1392" s="505" t="s">
        <v>1233</v>
      </c>
    </row>
    <row r="1393" spans="1:14" x14ac:dyDescent="0.25">
      <c r="A1393" s="505" t="s">
        <v>4054</v>
      </c>
      <c r="B1393" s="505" t="s">
        <v>4055</v>
      </c>
      <c r="C1393" s="512" t="s">
        <v>8732</v>
      </c>
      <c r="D1393" s="512" t="s">
        <v>8741</v>
      </c>
      <c r="E1393" s="512" t="s">
        <v>8574</v>
      </c>
      <c r="F1393" s="512" t="s">
        <v>7765</v>
      </c>
      <c r="G1393" s="512" t="s">
        <v>7784</v>
      </c>
      <c r="H1393" s="512" t="s">
        <v>8757</v>
      </c>
      <c r="I1393" s="512" t="s">
        <v>8785</v>
      </c>
      <c r="L1393" s="505" t="s">
        <v>1233</v>
      </c>
      <c r="M1393" s="516">
        <v>64.41</v>
      </c>
      <c r="N1393" s="505" t="s">
        <v>1233</v>
      </c>
    </row>
    <row r="1394" spans="1:14" x14ac:dyDescent="0.25">
      <c r="A1394" s="505" t="s">
        <v>4056</v>
      </c>
      <c r="B1394" s="505" t="s">
        <v>4057</v>
      </c>
      <c r="C1394" s="512" t="s">
        <v>8732</v>
      </c>
      <c r="D1394" s="512" t="s">
        <v>8741</v>
      </c>
      <c r="E1394" s="512" t="s">
        <v>8574</v>
      </c>
      <c r="F1394" s="512" t="s">
        <v>7765</v>
      </c>
      <c r="G1394" s="512" t="s">
        <v>7784</v>
      </c>
      <c r="H1394" s="512" t="s">
        <v>8786</v>
      </c>
      <c r="I1394" s="512" t="s">
        <v>7471</v>
      </c>
      <c r="L1394" s="505" t="s">
        <v>1233</v>
      </c>
      <c r="M1394" s="516">
        <v>64.41</v>
      </c>
      <c r="N1394" s="505" t="s">
        <v>1233</v>
      </c>
    </row>
    <row r="1395" spans="1:14" x14ac:dyDescent="0.25">
      <c r="A1395" s="505" t="s">
        <v>4058</v>
      </c>
      <c r="B1395" s="505" t="s">
        <v>4059</v>
      </c>
      <c r="C1395" s="512" t="s">
        <v>8732</v>
      </c>
      <c r="D1395" s="512" t="s">
        <v>8741</v>
      </c>
      <c r="E1395" s="512" t="s">
        <v>8574</v>
      </c>
      <c r="F1395" s="512" t="s">
        <v>7765</v>
      </c>
      <c r="G1395" s="512" t="s">
        <v>8761</v>
      </c>
      <c r="H1395" s="512" t="s">
        <v>8770</v>
      </c>
      <c r="I1395" s="512" t="s">
        <v>8771</v>
      </c>
      <c r="L1395" s="505" t="s">
        <v>1233</v>
      </c>
      <c r="M1395" s="516">
        <v>67.16</v>
      </c>
      <c r="N1395" s="505" t="s">
        <v>1233</v>
      </c>
    </row>
    <row r="1396" spans="1:14" x14ac:dyDescent="0.25">
      <c r="A1396" s="505" t="s">
        <v>4060</v>
      </c>
      <c r="B1396" s="505" t="s">
        <v>4061</v>
      </c>
      <c r="C1396" s="512" t="s">
        <v>8732</v>
      </c>
      <c r="D1396" s="512" t="s">
        <v>8741</v>
      </c>
      <c r="E1396" s="512" t="s">
        <v>8574</v>
      </c>
      <c r="F1396" s="512" t="s">
        <v>7765</v>
      </c>
      <c r="G1396" s="512" t="s">
        <v>8761</v>
      </c>
      <c r="H1396" s="512" t="s">
        <v>8772</v>
      </c>
      <c r="I1396" s="512" t="s">
        <v>7740</v>
      </c>
      <c r="L1396" s="505" t="s">
        <v>1233</v>
      </c>
      <c r="M1396" s="516">
        <v>67.16</v>
      </c>
      <c r="N1396" s="505" t="s">
        <v>1233</v>
      </c>
    </row>
    <row r="1397" spans="1:14" x14ac:dyDescent="0.25">
      <c r="A1397" s="505" t="s">
        <v>4062</v>
      </c>
      <c r="B1397" s="505" t="s">
        <v>4063</v>
      </c>
      <c r="C1397" s="512" t="s">
        <v>8732</v>
      </c>
      <c r="D1397" s="512" t="s">
        <v>8741</v>
      </c>
      <c r="E1397" s="512" t="s">
        <v>8574</v>
      </c>
      <c r="F1397" s="512" t="s">
        <v>7765</v>
      </c>
      <c r="G1397" s="512" t="s">
        <v>8761</v>
      </c>
      <c r="H1397" s="512" t="s">
        <v>7492</v>
      </c>
      <c r="I1397" s="512" t="s">
        <v>7471</v>
      </c>
      <c r="L1397" s="505" t="s">
        <v>1233</v>
      </c>
      <c r="M1397" s="516">
        <v>67.16</v>
      </c>
      <c r="N1397" s="505" t="s">
        <v>1233</v>
      </c>
    </row>
    <row r="1398" spans="1:14" x14ac:dyDescent="0.25">
      <c r="A1398" s="505" t="s">
        <v>4064</v>
      </c>
      <c r="B1398" s="505" t="s">
        <v>4065</v>
      </c>
      <c r="C1398" s="512" t="s">
        <v>8732</v>
      </c>
      <c r="D1398" s="512" t="s">
        <v>8741</v>
      </c>
      <c r="E1398" s="512" t="s">
        <v>8745</v>
      </c>
      <c r="F1398" s="512" t="s">
        <v>7918</v>
      </c>
      <c r="G1398" s="512" t="s">
        <v>7784</v>
      </c>
      <c r="H1398" s="512" t="s">
        <v>8772</v>
      </c>
      <c r="I1398" s="512" t="s">
        <v>8787</v>
      </c>
      <c r="L1398" s="505" t="s">
        <v>1233</v>
      </c>
      <c r="M1398" s="516">
        <v>95</v>
      </c>
      <c r="N1398" s="505" t="s">
        <v>1233</v>
      </c>
    </row>
    <row r="1399" spans="1:14" x14ac:dyDescent="0.25">
      <c r="A1399" s="505" t="s">
        <v>4066</v>
      </c>
      <c r="B1399" s="505" t="s">
        <v>4067</v>
      </c>
      <c r="C1399" s="512" t="s">
        <v>8732</v>
      </c>
      <c r="D1399" s="512" t="s">
        <v>8741</v>
      </c>
      <c r="E1399" s="512" t="s">
        <v>8745</v>
      </c>
      <c r="F1399" s="512" t="s">
        <v>7918</v>
      </c>
      <c r="G1399" s="512" t="s">
        <v>7784</v>
      </c>
      <c r="H1399" s="512" t="s">
        <v>8788</v>
      </c>
      <c r="I1399" s="512" t="s">
        <v>8776</v>
      </c>
      <c r="L1399" s="505" t="s">
        <v>1233</v>
      </c>
      <c r="M1399" s="516">
        <v>95</v>
      </c>
      <c r="N1399" s="505" t="s">
        <v>1233</v>
      </c>
    </row>
    <row r="1400" spans="1:14" x14ac:dyDescent="0.25">
      <c r="A1400" s="505" t="s">
        <v>4068</v>
      </c>
      <c r="B1400" s="505" t="s">
        <v>4069</v>
      </c>
      <c r="C1400" s="512" t="s">
        <v>8732</v>
      </c>
      <c r="D1400" s="512" t="s">
        <v>8741</v>
      </c>
      <c r="E1400" s="512" t="s">
        <v>8745</v>
      </c>
      <c r="F1400" s="512" t="s">
        <v>7918</v>
      </c>
      <c r="G1400" s="512" t="s">
        <v>7784</v>
      </c>
      <c r="H1400" s="512" t="s">
        <v>8777</v>
      </c>
      <c r="I1400" s="512" t="s">
        <v>8789</v>
      </c>
      <c r="L1400" s="505" t="s">
        <v>1233</v>
      </c>
      <c r="M1400" s="516">
        <v>95</v>
      </c>
      <c r="N1400" s="505" t="s">
        <v>1233</v>
      </c>
    </row>
    <row r="1401" spans="1:14" x14ac:dyDescent="0.25">
      <c r="A1401" s="505" t="s">
        <v>4070</v>
      </c>
      <c r="B1401" s="505" t="s">
        <v>4071</v>
      </c>
      <c r="C1401" s="512" t="s">
        <v>8732</v>
      </c>
      <c r="D1401" s="512" t="s">
        <v>8741</v>
      </c>
      <c r="E1401" s="512" t="s">
        <v>8745</v>
      </c>
      <c r="F1401" s="512" t="s">
        <v>7918</v>
      </c>
      <c r="G1401" s="512" t="s">
        <v>7784</v>
      </c>
      <c r="H1401" s="512" t="s">
        <v>8778</v>
      </c>
      <c r="I1401" s="512" t="s">
        <v>8790</v>
      </c>
      <c r="L1401" s="505" t="s">
        <v>1233</v>
      </c>
      <c r="M1401" s="516">
        <v>95</v>
      </c>
      <c r="N1401" s="505" t="s">
        <v>1233</v>
      </c>
    </row>
    <row r="1402" spans="1:14" x14ac:dyDescent="0.25">
      <c r="A1402" s="505" t="s">
        <v>4072</v>
      </c>
      <c r="B1402" s="505" t="s">
        <v>4073</v>
      </c>
      <c r="C1402" s="512" t="s">
        <v>8732</v>
      </c>
      <c r="D1402" s="512" t="s">
        <v>8741</v>
      </c>
      <c r="E1402" s="512" t="s">
        <v>8745</v>
      </c>
      <c r="F1402" s="512" t="s">
        <v>7918</v>
      </c>
      <c r="G1402" s="512" t="s">
        <v>7784</v>
      </c>
      <c r="H1402" s="512" t="s">
        <v>8781</v>
      </c>
      <c r="I1402" s="512" t="s">
        <v>8785</v>
      </c>
      <c r="L1402" s="505" t="s">
        <v>1233</v>
      </c>
      <c r="M1402" s="516">
        <v>95</v>
      </c>
      <c r="N1402" s="505" t="s">
        <v>1233</v>
      </c>
    </row>
    <row r="1403" spans="1:14" x14ac:dyDescent="0.25">
      <c r="A1403" s="505" t="s">
        <v>4074</v>
      </c>
      <c r="B1403" s="505" t="s">
        <v>4075</v>
      </c>
      <c r="C1403" s="512" t="s">
        <v>8732</v>
      </c>
      <c r="D1403" s="512" t="s">
        <v>8741</v>
      </c>
      <c r="E1403" s="512" t="s">
        <v>8745</v>
      </c>
      <c r="F1403" s="512" t="s">
        <v>7918</v>
      </c>
      <c r="G1403" s="512" t="s">
        <v>7784</v>
      </c>
      <c r="H1403" s="512" t="s">
        <v>8765</v>
      </c>
      <c r="L1403" s="505" t="s">
        <v>1233</v>
      </c>
      <c r="M1403" s="516">
        <v>95</v>
      </c>
      <c r="N1403" s="505" t="s">
        <v>1233</v>
      </c>
    </row>
    <row r="1404" spans="1:14" x14ac:dyDescent="0.25">
      <c r="A1404" s="505" t="s">
        <v>4076</v>
      </c>
      <c r="B1404" s="505" t="s">
        <v>4077</v>
      </c>
      <c r="C1404" s="512" t="s">
        <v>8732</v>
      </c>
      <c r="D1404" s="512" t="s">
        <v>8741</v>
      </c>
      <c r="E1404" s="512" t="s">
        <v>8745</v>
      </c>
      <c r="F1404" s="512" t="s">
        <v>7918</v>
      </c>
      <c r="G1404" s="512" t="s">
        <v>7784</v>
      </c>
      <c r="H1404" s="512" t="s">
        <v>8791</v>
      </c>
      <c r="L1404" s="505" t="s">
        <v>1233</v>
      </c>
      <c r="M1404" s="516">
        <v>95</v>
      </c>
      <c r="N1404" s="505" t="s">
        <v>1233</v>
      </c>
    </row>
    <row r="1405" spans="1:14" x14ac:dyDescent="0.25">
      <c r="A1405" s="505" t="s">
        <v>4078</v>
      </c>
      <c r="B1405" s="505" t="s">
        <v>4079</v>
      </c>
      <c r="C1405" s="512" t="s">
        <v>8732</v>
      </c>
      <c r="D1405" s="512" t="s">
        <v>8741</v>
      </c>
      <c r="E1405" s="512" t="s">
        <v>8745</v>
      </c>
      <c r="F1405" s="512" t="s">
        <v>7918</v>
      </c>
      <c r="G1405" s="512" t="s">
        <v>8761</v>
      </c>
      <c r="H1405" s="512" t="s">
        <v>8770</v>
      </c>
      <c r="I1405" s="512" t="s">
        <v>8787</v>
      </c>
      <c r="L1405" s="505" t="s">
        <v>1233</v>
      </c>
      <c r="M1405" s="516">
        <v>99.41</v>
      </c>
      <c r="N1405" s="505" t="s">
        <v>1233</v>
      </c>
    </row>
    <row r="1406" spans="1:14" x14ac:dyDescent="0.25">
      <c r="A1406" s="505" t="s">
        <v>4080</v>
      </c>
      <c r="B1406" s="505" t="s">
        <v>4081</v>
      </c>
      <c r="C1406" s="512" t="s">
        <v>8732</v>
      </c>
      <c r="D1406" s="512" t="s">
        <v>8741</v>
      </c>
      <c r="E1406" s="512" t="s">
        <v>8745</v>
      </c>
      <c r="F1406" s="512" t="s">
        <v>7918</v>
      </c>
      <c r="G1406" s="512" t="s">
        <v>8761</v>
      </c>
      <c r="H1406" s="512" t="s">
        <v>8778</v>
      </c>
      <c r="I1406" s="512" t="s">
        <v>8790</v>
      </c>
      <c r="L1406" s="505" t="s">
        <v>1233</v>
      </c>
      <c r="M1406" s="516">
        <v>99.41</v>
      </c>
      <c r="N1406" s="505" t="s">
        <v>1233</v>
      </c>
    </row>
    <row r="1407" spans="1:14" x14ac:dyDescent="0.25">
      <c r="A1407" s="505" t="s">
        <v>4082</v>
      </c>
      <c r="B1407" s="505" t="s">
        <v>4083</v>
      </c>
      <c r="C1407" s="512" t="s">
        <v>8732</v>
      </c>
      <c r="D1407" s="512" t="s">
        <v>8741</v>
      </c>
      <c r="E1407" s="512" t="s">
        <v>8745</v>
      </c>
      <c r="F1407" s="512" t="s">
        <v>7918</v>
      </c>
      <c r="G1407" s="512" t="s">
        <v>8761</v>
      </c>
      <c r="H1407" s="512" t="s">
        <v>8781</v>
      </c>
      <c r="I1407" s="512" t="s">
        <v>7471</v>
      </c>
      <c r="L1407" s="505" t="s">
        <v>1233</v>
      </c>
      <c r="M1407" s="516">
        <v>99.41</v>
      </c>
      <c r="N1407" s="505" t="s">
        <v>1233</v>
      </c>
    </row>
    <row r="1408" spans="1:14" x14ac:dyDescent="0.25">
      <c r="A1408" s="505" t="s">
        <v>4084</v>
      </c>
      <c r="B1408" s="505" t="s">
        <v>4085</v>
      </c>
      <c r="C1408" s="512" t="s">
        <v>8732</v>
      </c>
      <c r="D1408" s="512" t="s">
        <v>8741</v>
      </c>
      <c r="E1408" s="512" t="s">
        <v>8745</v>
      </c>
      <c r="F1408" s="512" t="s">
        <v>7918</v>
      </c>
      <c r="G1408" s="512" t="s">
        <v>8761</v>
      </c>
      <c r="H1408" s="512" t="s">
        <v>8782</v>
      </c>
      <c r="I1408" s="512" t="s">
        <v>7471</v>
      </c>
      <c r="L1408" s="505" t="s">
        <v>1233</v>
      </c>
      <c r="M1408" s="516">
        <v>99.41</v>
      </c>
      <c r="N1408" s="505" t="s">
        <v>1233</v>
      </c>
    </row>
    <row r="1409" spans="1:14" x14ac:dyDescent="0.25">
      <c r="A1409" s="505" t="s">
        <v>4086</v>
      </c>
      <c r="B1409" s="505" t="s">
        <v>4087</v>
      </c>
      <c r="C1409" s="512" t="s">
        <v>8732</v>
      </c>
      <c r="D1409" s="512" t="s">
        <v>8741</v>
      </c>
      <c r="E1409" s="512" t="s">
        <v>8792</v>
      </c>
      <c r="F1409" s="512" t="s">
        <v>8793</v>
      </c>
      <c r="G1409" s="512" t="s">
        <v>7784</v>
      </c>
      <c r="L1409" s="505" t="s">
        <v>1233</v>
      </c>
      <c r="M1409" s="516">
        <v>26.95</v>
      </c>
      <c r="N1409" s="505" t="s">
        <v>1233</v>
      </c>
    </row>
    <row r="1410" spans="1:14" x14ac:dyDescent="0.25">
      <c r="A1410" s="505" t="s">
        <v>4088</v>
      </c>
      <c r="B1410" s="505" t="s">
        <v>4089</v>
      </c>
      <c r="C1410" s="512" t="s">
        <v>8732</v>
      </c>
      <c r="D1410" s="512" t="s">
        <v>8741</v>
      </c>
      <c r="E1410" s="512" t="s">
        <v>8792</v>
      </c>
      <c r="F1410" s="512" t="s">
        <v>8793</v>
      </c>
      <c r="G1410" s="512" t="s">
        <v>8761</v>
      </c>
      <c r="L1410" s="505" t="s">
        <v>1233</v>
      </c>
      <c r="M1410" s="516">
        <v>43.54</v>
      </c>
      <c r="N1410" s="505" t="s">
        <v>1233</v>
      </c>
    </row>
    <row r="1411" spans="1:14" x14ac:dyDescent="0.25">
      <c r="A1411" s="505" t="s">
        <v>4090</v>
      </c>
      <c r="B1411" s="505" t="s">
        <v>4091</v>
      </c>
      <c r="C1411" s="512" t="s">
        <v>8732</v>
      </c>
      <c r="D1411" s="512" t="s">
        <v>8741</v>
      </c>
      <c r="E1411" s="512" t="s">
        <v>8758</v>
      </c>
      <c r="F1411" s="512" t="s">
        <v>8574</v>
      </c>
      <c r="G1411" s="512" t="s">
        <v>7918</v>
      </c>
      <c r="H1411" s="512" t="s">
        <v>7784</v>
      </c>
      <c r="I1411" s="512" t="s">
        <v>8773</v>
      </c>
      <c r="L1411" s="505" t="s">
        <v>1233</v>
      </c>
      <c r="M1411" s="516">
        <v>52.9</v>
      </c>
      <c r="N1411" s="505" t="s">
        <v>1233</v>
      </c>
    </row>
    <row r="1412" spans="1:14" x14ac:dyDescent="0.25">
      <c r="A1412" s="505" t="s">
        <v>4092</v>
      </c>
      <c r="B1412" s="505" t="s">
        <v>4093</v>
      </c>
      <c r="C1412" s="512" t="s">
        <v>8732</v>
      </c>
      <c r="D1412" s="512" t="s">
        <v>8741</v>
      </c>
      <c r="E1412" s="512" t="s">
        <v>8758</v>
      </c>
      <c r="F1412" s="512" t="s">
        <v>8574</v>
      </c>
      <c r="G1412" s="512" t="s">
        <v>7918</v>
      </c>
      <c r="H1412" s="512" t="s">
        <v>7784</v>
      </c>
      <c r="I1412" s="512" t="s">
        <v>8794</v>
      </c>
      <c r="L1412" s="505" t="s">
        <v>1233</v>
      </c>
      <c r="M1412" s="516">
        <v>52.9</v>
      </c>
      <c r="N1412" s="505" t="s">
        <v>1233</v>
      </c>
    </row>
    <row r="1413" spans="1:14" x14ac:dyDescent="0.25">
      <c r="A1413" s="505" t="s">
        <v>4094</v>
      </c>
      <c r="B1413" s="505" t="s">
        <v>4095</v>
      </c>
      <c r="C1413" s="512" t="s">
        <v>8732</v>
      </c>
      <c r="D1413" s="512" t="s">
        <v>8741</v>
      </c>
      <c r="E1413" s="512" t="s">
        <v>8758</v>
      </c>
      <c r="F1413" s="512" t="s">
        <v>8574</v>
      </c>
      <c r="G1413" s="512" t="s">
        <v>7918</v>
      </c>
      <c r="H1413" s="512" t="s">
        <v>7784</v>
      </c>
      <c r="I1413" s="512" t="s">
        <v>8795</v>
      </c>
      <c r="L1413" s="505" t="s">
        <v>1233</v>
      </c>
      <c r="M1413" s="516">
        <v>52.9</v>
      </c>
      <c r="N1413" s="505" t="s">
        <v>1233</v>
      </c>
    </row>
    <row r="1414" spans="1:14" x14ac:dyDescent="0.25">
      <c r="A1414" s="505" t="s">
        <v>4096</v>
      </c>
      <c r="B1414" s="505" t="s">
        <v>4097</v>
      </c>
      <c r="C1414" s="512" t="s">
        <v>8732</v>
      </c>
      <c r="D1414" s="512" t="s">
        <v>8741</v>
      </c>
      <c r="E1414" s="512" t="s">
        <v>8758</v>
      </c>
      <c r="F1414" s="512" t="s">
        <v>8574</v>
      </c>
      <c r="G1414" s="512" t="s">
        <v>7918</v>
      </c>
      <c r="H1414" s="512" t="s">
        <v>8761</v>
      </c>
      <c r="I1414" s="512" t="s">
        <v>8794</v>
      </c>
      <c r="L1414" s="505" t="s">
        <v>1233</v>
      </c>
      <c r="M1414" s="516">
        <v>83.88</v>
      </c>
      <c r="N1414" s="505" t="s">
        <v>1233</v>
      </c>
    </row>
    <row r="1415" spans="1:14" x14ac:dyDescent="0.25">
      <c r="A1415" s="505" t="s">
        <v>4098</v>
      </c>
      <c r="B1415" s="505" t="s">
        <v>4099</v>
      </c>
      <c r="C1415" s="512" t="s">
        <v>8732</v>
      </c>
      <c r="D1415" s="512" t="s">
        <v>8741</v>
      </c>
      <c r="E1415" s="512" t="s">
        <v>8758</v>
      </c>
      <c r="F1415" s="512" t="s">
        <v>8574</v>
      </c>
      <c r="G1415" s="512" t="s">
        <v>7918</v>
      </c>
      <c r="H1415" s="512" t="s">
        <v>8761</v>
      </c>
      <c r="I1415" s="512" t="s">
        <v>8796</v>
      </c>
      <c r="J1415" s="505" t="s">
        <v>7471</v>
      </c>
      <c r="L1415" s="505" t="s">
        <v>1233</v>
      </c>
      <c r="M1415" s="516">
        <v>83.88</v>
      </c>
      <c r="N1415" s="505" t="s">
        <v>1233</v>
      </c>
    </row>
    <row r="1416" spans="1:14" x14ac:dyDescent="0.25">
      <c r="A1416" s="505" t="s">
        <v>4100</v>
      </c>
      <c r="B1416" s="505" t="s">
        <v>4101</v>
      </c>
      <c r="C1416" s="512" t="s">
        <v>8732</v>
      </c>
      <c r="D1416" s="512" t="s">
        <v>8741</v>
      </c>
      <c r="E1416" s="512" t="s">
        <v>8758</v>
      </c>
      <c r="F1416" s="512" t="s">
        <v>8574</v>
      </c>
      <c r="G1416" s="512" t="s">
        <v>7918</v>
      </c>
      <c r="H1416" s="512" t="s">
        <v>8761</v>
      </c>
      <c r="I1416" s="512" t="s">
        <v>8786</v>
      </c>
      <c r="L1416" s="505" t="s">
        <v>1233</v>
      </c>
      <c r="M1416" s="516">
        <v>83.88</v>
      </c>
      <c r="N1416" s="505" t="s">
        <v>1233</v>
      </c>
    </row>
    <row r="1417" spans="1:14" x14ac:dyDescent="0.25">
      <c r="A1417" s="505" t="s">
        <v>4102</v>
      </c>
      <c r="B1417" s="505" t="s">
        <v>4103</v>
      </c>
      <c r="C1417" s="512" t="s">
        <v>8732</v>
      </c>
      <c r="D1417" s="512" t="s">
        <v>8741</v>
      </c>
      <c r="E1417" s="512" t="s">
        <v>8797</v>
      </c>
      <c r="F1417" s="512" t="s">
        <v>8798</v>
      </c>
      <c r="G1417" s="512" t="s">
        <v>7784</v>
      </c>
      <c r="L1417" s="505" t="s">
        <v>1233</v>
      </c>
      <c r="M1417" s="516">
        <v>23.54</v>
      </c>
      <c r="N1417" s="505" t="s">
        <v>1233</v>
      </c>
    </row>
    <row r="1418" spans="1:14" x14ac:dyDescent="0.25">
      <c r="A1418" s="505" t="s">
        <v>4104</v>
      </c>
      <c r="B1418" s="505" t="s">
        <v>4105</v>
      </c>
      <c r="C1418" s="512" t="s">
        <v>8732</v>
      </c>
      <c r="D1418" s="512" t="s">
        <v>8741</v>
      </c>
      <c r="E1418" s="512" t="s">
        <v>8797</v>
      </c>
      <c r="F1418" s="512" t="s">
        <v>8798</v>
      </c>
      <c r="G1418" s="512" t="s">
        <v>8761</v>
      </c>
      <c r="L1418" s="505" t="s">
        <v>1233</v>
      </c>
      <c r="M1418" s="516">
        <v>25.83</v>
      </c>
      <c r="N1418" s="505" t="s">
        <v>1233</v>
      </c>
    </row>
    <row r="1419" spans="1:14" x14ac:dyDescent="0.25">
      <c r="A1419" s="505" t="s">
        <v>4106</v>
      </c>
      <c r="B1419" s="505" t="s">
        <v>4107</v>
      </c>
      <c r="C1419" s="512" t="s">
        <v>8732</v>
      </c>
      <c r="D1419" s="512" t="s">
        <v>8741</v>
      </c>
      <c r="E1419" s="512" t="s">
        <v>8799</v>
      </c>
      <c r="F1419" s="512" t="s">
        <v>7784</v>
      </c>
      <c r="G1419" s="512" t="s">
        <v>8800</v>
      </c>
      <c r="L1419" s="505" t="s">
        <v>114</v>
      </c>
      <c r="M1419" s="516">
        <v>67.05</v>
      </c>
      <c r="N1419" s="505" t="s">
        <v>114</v>
      </c>
    </row>
    <row r="1420" spans="1:14" x14ac:dyDescent="0.25">
      <c r="A1420" s="505" t="s">
        <v>4108</v>
      </c>
      <c r="B1420" s="505" t="s">
        <v>4109</v>
      </c>
      <c r="C1420" s="512" t="s">
        <v>8732</v>
      </c>
      <c r="D1420" s="512" t="s">
        <v>8741</v>
      </c>
      <c r="E1420" s="512" t="s">
        <v>8799</v>
      </c>
      <c r="F1420" s="512" t="s">
        <v>7784</v>
      </c>
      <c r="G1420" s="512" t="s">
        <v>8772</v>
      </c>
      <c r="H1420" s="512" t="s">
        <v>8744</v>
      </c>
      <c r="L1420" s="505" t="s">
        <v>114</v>
      </c>
      <c r="M1420" s="516">
        <v>67.05</v>
      </c>
      <c r="N1420" s="505" t="s">
        <v>114</v>
      </c>
    </row>
    <row r="1421" spans="1:14" x14ac:dyDescent="0.25">
      <c r="A1421" s="505" t="s">
        <v>4110</v>
      </c>
      <c r="B1421" s="505" t="s">
        <v>4111</v>
      </c>
      <c r="C1421" s="512" t="s">
        <v>8732</v>
      </c>
      <c r="D1421" s="512" t="s">
        <v>8741</v>
      </c>
      <c r="E1421" s="512" t="s">
        <v>8799</v>
      </c>
      <c r="F1421" s="512" t="s">
        <v>7784</v>
      </c>
      <c r="G1421" s="512" t="s">
        <v>8736</v>
      </c>
      <c r="H1421" s="512" t="s">
        <v>8336</v>
      </c>
      <c r="L1421" s="505" t="s">
        <v>114</v>
      </c>
      <c r="M1421" s="516">
        <v>67.05</v>
      </c>
      <c r="N1421" s="505" t="s">
        <v>114</v>
      </c>
    </row>
    <row r="1422" spans="1:14" x14ac:dyDescent="0.25">
      <c r="A1422" s="505" t="s">
        <v>4112</v>
      </c>
      <c r="B1422" s="505" t="s">
        <v>4113</v>
      </c>
      <c r="C1422" s="512" t="s">
        <v>8732</v>
      </c>
      <c r="D1422" s="512" t="s">
        <v>8741</v>
      </c>
      <c r="E1422" s="512" t="s">
        <v>8799</v>
      </c>
      <c r="F1422" s="512" t="s">
        <v>7784</v>
      </c>
      <c r="G1422" s="512" t="s">
        <v>8773</v>
      </c>
      <c r="H1422" s="512" t="s">
        <v>8801</v>
      </c>
      <c r="L1422" s="505" t="s">
        <v>114</v>
      </c>
      <c r="M1422" s="516">
        <v>67.05</v>
      </c>
      <c r="N1422" s="505" t="s">
        <v>114</v>
      </c>
    </row>
    <row r="1423" spans="1:14" x14ac:dyDescent="0.25">
      <c r="A1423" s="505" t="s">
        <v>4114</v>
      </c>
      <c r="B1423" s="505" t="s">
        <v>4115</v>
      </c>
      <c r="C1423" s="512" t="s">
        <v>8732</v>
      </c>
      <c r="D1423" s="512" t="s">
        <v>8741</v>
      </c>
      <c r="E1423" s="512" t="s">
        <v>8799</v>
      </c>
      <c r="F1423" s="512" t="s">
        <v>7784</v>
      </c>
      <c r="G1423" s="512" t="s">
        <v>8802</v>
      </c>
      <c r="H1423" s="512" t="s">
        <v>8750</v>
      </c>
      <c r="L1423" s="505" t="s">
        <v>114</v>
      </c>
      <c r="M1423" s="516">
        <v>67.05</v>
      </c>
      <c r="N1423" s="505" t="s">
        <v>114</v>
      </c>
    </row>
    <row r="1424" spans="1:14" x14ac:dyDescent="0.25">
      <c r="A1424" s="505" t="s">
        <v>4116</v>
      </c>
      <c r="B1424" s="505" t="s">
        <v>4117</v>
      </c>
      <c r="C1424" s="512" t="s">
        <v>8732</v>
      </c>
      <c r="D1424" s="512" t="s">
        <v>8741</v>
      </c>
      <c r="E1424" s="512" t="s">
        <v>8799</v>
      </c>
      <c r="F1424" s="512" t="s">
        <v>7784</v>
      </c>
      <c r="G1424" s="512" t="s">
        <v>8803</v>
      </c>
      <c r="H1424" s="512" t="s">
        <v>8752</v>
      </c>
      <c r="L1424" s="505" t="s">
        <v>114</v>
      </c>
      <c r="M1424" s="516">
        <v>67.05</v>
      </c>
      <c r="N1424" s="505" t="s">
        <v>114</v>
      </c>
    </row>
    <row r="1425" spans="1:14" x14ac:dyDescent="0.25">
      <c r="A1425" s="505" t="s">
        <v>4118</v>
      </c>
      <c r="B1425" s="505" t="s">
        <v>4119</v>
      </c>
      <c r="C1425" s="512" t="s">
        <v>8732</v>
      </c>
      <c r="D1425" s="512" t="s">
        <v>8741</v>
      </c>
      <c r="E1425" s="512" t="s">
        <v>8799</v>
      </c>
      <c r="F1425" s="512" t="s">
        <v>7784</v>
      </c>
      <c r="G1425" s="512" t="s">
        <v>522</v>
      </c>
      <c r="H1425" s="512" t="s">
        <v>8336</v>
      </c>
      <c r="L1425" s="505" t="s">
        <v>114</v>
      </c>
      <c r="M1425" s="516">
        <v>67.05</v>
      </c>
      <c r="N1425" s="505" t="s">
        <v>114</v>
      </c>
    </row>
    <row r="1426" spans="1:14" x14ac:dyDescent="0.25">
      <c r="A1426" s="505" t="s">
        <v>4120</v>
      </c>
      <c r="B1426" s="505" t="s">
        <v>4121</v>
      </c>
      <c r="C1426" s="512" t="s">
        <v>8732</v>
      </c>
      <c r="D1426" s="512" t="s">
        <v>8741</v>
      </c>
      <c r="E1426" s="512" t="s">
        <v>8799</v>
      </c>
      <c r="F1426" s="512" t="s">
        <v>7784</v>
      </c>
      <c r="G1426" s="512" t="s">
        <v>8555</v>
      </c>
      <c r="H1426" s="512" t="s">
        <v>7473</v>
      </c>
      <c r="L1426" s="505" t="s">
        <v>114</v>
      </c>
      <c r="M1426" s="516">
        <v>67.05</v>
      </c>
      <c r="N1426" s="505" t="s">
        <v>114</v>
      </c>
    </row>
    <row r="1427" spans="1:14" x14ac:dyDescent="0.25">
      <c r="A1427" s="505" t="s">
        <v>4122</v>
      </c>
      <c r="B1427" s="505" t="s">
        <v>4123</v>
      </c>
      <c r="C1427" s="512" t="s">
        <v>8732</v>
      </c>
      <c r="D1427" s="512" t="s">
        <v>8741</v>
      </c>
      <c r="E1427" s="512" t="s">
        <v>8799</v>
      </c>
      <c r="F1427" s="512" t="s">
        <v>7784</v>
      </c>
      <c r="G1427" s="512" t="s">
        <v>8537</v>
      </c>
      <c r="H1427" s="512" t="s">
        <v>8753</v>
      </c>
      <c r="L1427" s="505" t="s">
        <v>114</v>
      </c>
      <c r="M1427" s="516">
        <v>67.05</v>
      </c>
      <c r="N1427" s="505" t="s">
        <v>114</v>
      </c>
    </row>
    <row r="1428" spans="1:14" x14ac:dyDescent="0.25">
      <c r="A1428" s="505" t="s">
        <v>4124</v>
      </c>
      <c r="B1428" s="505" t="s">
        <v>4125</v>
      </c>
      <c r="C1428" s="512" t="s">
        <v>8732</v>
      </c>
      <c r="D1428" s="512" t="s">
        <v>8741</v>
      </c>
      <c r="E1428" s="512" t="s">
        <v>8799</v>
      </c>
      <c r="F1428" s="512" t="s">
        <v>7784</v>
      </c>
      <c r="G1428" s="512" t="s">
        <v>8804</v>
      </c>
      <c r="H1428" s="512" t="s">
        <v>8805</v>
      </c>
      <c r="L1428" s="505" t="s">
        <v>114</v>
      </c>
      <c r="M1428" s="516">
        <v>67.05</v>
      </c>
      <c r="N1428" s="505" t="s">
        <v>114</v>
      </c>
    </row>
    <row r="1429" spans="1:14" x14ac:dyDescent="0.25">
      <c r="A1429" s="505" t="s">
        <v>4126</v>
      </c>
      <c r="B1429" s="505" t="s">
        <v>4127</v>
      </c>
      <c r="C1429" s="512" t="s">
        <v>8732</v>
      </c>
      <c r="D1429" s="512" t="s">
        <v>8741</v>
      </c>
      <c r="E1429" s="512" t="s">
        <v>8799</v>
      </c>
      <c r="F1429" s="512" t="s">
        <v>7784</v>
      </c>
      <c r="G1429" s="512" t="s">
        <v>8781</v>
      </c>
      <c r="H1429" s="512" t="s">
        <v>7471</v>
      </c>
      <c r="L1429" s="505" t="s">
        <v>1233</v>
      </c>
      <c r="M1429" s="516">
        <v>67.05</v>
      </c>
      <c r="N1429" s="505" t="s">
        <v>1233</v>
      </c>
    </row>
    <row r="1430" spans="1:14" x14ac:dyDescent="0.25">
      <c r="A1430" s="505" t="s">
        <v>4128</v>
      </c>
      <c r="B1430" s="505" t="s">
        <v>4129</v>
      </c>
      <c r="C1430" s="512" t="s">
        <v>8732</v>
      </c>
      <c r="D1430" s="512" t="s">
        <v>8741</v>
      </c>
      <c r="E1430" s="512" t="s">
        <v>8799</v>
      </c>
      <c r="F1430" s="512" t="s">
        <v>7784</v>
      </c>
      <c r="G1430" s="512" t="s">
        <v>8782</v>
      </c>
      <c r="H1430" s="512" t="s">
        <v>7471</v>
      </c>
      <c r="L1430" s="505" t="s">
        <v>1233</v>
      </c>
      <c r="M1430" s="516">
        <v>67.05</v>
      </c>
      <c r="N1430" s="505" t="s">
        <v>1233</v>
      </c>
    </row>
    <row r="1431" spans="1:14" x14ac:dyDescent="0.25">
      <c r="A1431" s="505" t="s">
        <v>4130</v>
      </c>
      <c r="B1431" s="505" t="s">
        <v>4131</v>
      </c>
      <c r="C1431" s="512" t="s">
        <v>8732</v>
      </c>
      <c r="D1431" s="512" t="s">
        <v>8741</v>
      </c>
      <c r="E1431" s="512" t="s">
        <v>8799</v>
      </c>
      <c r="F1431" s="512" t="s">
        <v>7784</v>
      </c>
      <c r="G1431" s="512" t="s">
        <v>8783</v>
      </c>
      <c r="H1431" s="512" t="s">
        <v>8802</v>
      </c>
      <c r="L1431" s="505" t="s">
        <v>1233</v>
      </c>
      <c r="M1431" s="516">
        <v>67.05</v>
      </c>
      <c r="N1431" s="505" t="s">
        <v>1233</v>
      </c>
    </row>
    <row r="1432" spans="1:14" x14ac:dyDescent="0.25">
      <c r="A1432" s="505" t="s">
        <v>4132</v>
      </c>
      <c r="B1432" s="505" t="s">
        <v>4133</v>
      </c>
      <c r="C1432" s="512" t="s">
        <v>8732</v>
      </c>
      <c r="D1432" s="512" t="s">
        <v>8741</v>
      </c>
      <c r="E1432" s="512" t="s">
        <v>8799</v>
      </c>
      <c r="F1432" s="512" t="s">
        <v>7784</v>
      </c>
      <c r="G1432" s="512" t="s">
        <v>8757</v>
      </c>
      <c r="H1432" s="512" t="s">
        <v>7471</v>
      </c>
      <c r="L1432" s="505" t="s">
        <v>114</v>
      </c>
      <c r="M1432" s="516">
        <v>67.05</v>
      </c>
      <c r="N1432" s="505" t="s">
        <v>114</v>
      </c>
    </row>
    <row r="1433" spans="1:14" x14ac:dyDescent="0.25">
      <c r="A1433" s="505" t="s">
        <v>4134</v>
      </c>
      <c r="B1433" s="505" t="s">
        <v>4135</v>
      </c>
      <c r="C1433" s="512" t="s">
        <v>8732</v>
      </c>
      <c r="D1433" s="512" t="s">
        <v>8741</v>
      </c>
      <c r="E1433" s="512" t="s">
        <v>8799</v>
      </c>
      <c r="F1433" s="512" t="s">
        <v>7784</v>
      </c>
      <c r="G1433" s="512" t="s">
        <v>8786</v>
      </c>
      <c r="H1433" s="512" t="s">
        <v>7471</v>
      </c>
      <c r="L1433" s="505" t="s">
        <v>114</v>
      </c>
      <c r="M1433" s="516">
        <v>67.05</v>
      </c>
      <c r="N1433" s="505" t="s">
        <v>114</v>
      </c>
    </row>
    <row r="1434" spans="1:14" x14ac:dyDescent="0.25">
      <c r="A1434" s="505" t="s">
        <v>4136</v>
      </c>
      <c r="B1434" s="505" t="s">
        <v>4137</v>
      </c>
      <c r="C1434" s="512" t="s">
        <v>8732</v>
      </c>
      <c r="D1434" s="512" t="s">
        <v>8741</v>
      </c>
      <c r="E1434" s="512" t="s">
        <v>8799</v>
      </c>
      <c r="F1434" s="512" t="s">
        <v>7784</v>
      </c>
      <c r="G1434" s="512" t="s">
        <v>8806</v>
      </c>
      <c r="H1434" s="512" t="s">
        <v>7471</v>
      </c>
      <c r="L1434" s="505" t="s">
        <v>114</v>
      </c>
      <c r="M1434" s="516">
        <v>67.05</v>
      </c>
      <c r="N1434" s="505" t="s">
        <v>114</v>
      </c>
    </row>
    <row r="1435" spans="1:14" x14ac:dyDescent="0.25">
      <c r="A1435" s="505" t="s">
        <v>4138</v>
      </c>
      <c r="B1435" s="505" t="s">
        <v>4139</v>
      </c>
      <c r="C1435" s="512" t="s">
        <v>8732</v>
      </c>
      <c r="D1435" s="512" t="s">
        <v>8741</v>
      </c>
      <c r="E1435" s="512" t="s">
        <v>8799</v>
      </c>
      <c r="F1435" s="512" t="s">
        <v>8761</v>
      </c>
      <c r="G1435" s="512" t="s">
        <v>8800</v>
      </c>
      <c r="L1435" s="505" t="s">
        <v>114</v>
      </c>
      <c r="M1435" s="516">
        <v>106.18</v>
      </c>
      <c r="N1435" s="505" t="s">
        <v>114</v>
      </c>
    </row>
    <row r="1436" spans="1:14" x14ac:dyDescent="0.25">
      <c r="A1436" s="505" t="s">
        <v>4140</v>
      </c>
      <c r="B1436" s="505" t="s">
        <v>4141</v>
      </c>
      <c r="C1436" s="512" t="s">
        <v>8732</v>
      </c>
      <c r="D1436" s="512" t="s">
        <v>8741</v>
      </c>
      <c r="E1436" s="512" t="s">
        <v>8799</v>
      </c>
      <c r="F1436" s="512" t="s">
        <v>8761</v>
      </c>
      <c r="G1436" s="512" t="s">
        <v>8772</v>
      </c>
      <c r="H1436" s="512" t="s">
        <v>8744</v>
      </c>
      <c r="L1436" s="505" t="s">
        <v>114</v>
      </c>
      <c r="M1436" s="516">
        <v>106.18</v>
      </c>
      <c r="N1436" s="505" t="s">
        <v>114</v>
      </c>
    </row>
    <row r="1437" spans="1:14" x14ac:dyDescent="0.25">
      <c r="A1437" s="505" t="s">
        <v>4142</v>
      </c>
      <c r="B1437" s="505" t="s">
        <v>4143</v>
      </c>
      <c r="C1437" s="512" t="s">
        <v>8732</v>
      </c>
      <c r="D1437" s="512" t="s">
        <v>8741</v>
      </c>
      <c r="E1437" s="512" t="s">
        <v>8799</v>
      </c>
      <c r="F1437" s="512" t="s">
        <v>8761</v>
      </c>
      <c r="G1437" s="512" t="s">
        <v>8803</v>
      </c>
      <c r="H1437" s="512" t="s">
        <v>8752</v>
      </c>
      <c r="L1437" s="505" t="s">
        <v>114</v>
      </c>
      <c r="M1437" s="516">
        <v>106.18</v>
      </c>
      <c r="N1437" s="505" t="s">
        <v>114</v>
      </c>
    </row>
    <row r="1438" spans="1:14" x14ac:dyDescent="0.25">
      <c r="A1438" s="505" t="s">
        <v>4144</v>
      </c>
      <c r="B1438" s="505" t="s">
        <v>4145</v>
      </c>
      <c r="C1438" s="512" t="s">
        <v>8732</v>
      </c>
      <c r="D1438" s="512" t="s">
        <v>8741</v>
      </c>
      <c r="E1438" s="512" t="s">
        <v>8799</v>
      </c>
      <c r="F1438" s="512" t="s">
        <v>8761</v>
      </c>
      <c r="G1438" s="512" t="s">
        <v>522</v>
      </c>
      <c r="H1438" s="512" t="s">
        <v>8336</v>
      </c>
      <c r="L1438" s="505" t="s">
        <v>114</v>
      </c>
      <c r="M1438" s="516">
        <v>106.18</v>
      </c>
      <c r="N1438" s="505" t="s">
        <v>114</v>
      </c>
    </row>
    <row r="1439" spans="1:14" x14ac:dyDescent="0.25">
      <c r="A1439" s="505" t="s">
        <v>4146</v>
      </c>
      <c r="B1439" s="505" t="s">
        <v>4147</v>
      </c>
      <c r="C1439" s="512" t="s">
        <v>8732</v>
      </c>
      <c r="D1439" s="512" t="s">
        <v>8741</v>
      </c>
      <c r="E1439" s="512" t="s">
        <v>8799</v>
      </c>
      <c r="F1439" s="512" t="s">
        <v>8761</v>
      </c>
      <c r="G1439" s="512" t="s">
        <v>8807</v>
      </c>
      <c r="H1439" s="512" t="s">
        <v>7740</v>
      </c>
      <c r="L1439" s="505" t="s">
        <v>114</v>
      </c>
      <c r="M1439" s="516">
        <v>106.18</v>
      </c>
      <c r="N1439" s="505" t="s">
        <v>114</v>
      </c>
    </row>
    <row r="1440" spans="1:14" x14ac:dyDescent="0.25">
      <c r="A1440" s="505" t="s">
        <v>4148</v>
      </c>
      <c r="B1440" s="505" t="s">
        <v>4149</v>
      </c>
      <c r="C1440" s="512" t="s">
        <v>8732</v>
      </c>
      <c r="D1440" s="512" t="s">
        <v>8741</v>
      </c>
      <c r="E1440" s="512" t="s">
        <v>8799</v>
      </c>
      <c r="F1440" s="512" t="s">
        <v>8761</v>
      </c>
      <c r="G1440" s="512" t="s">
        <v>8537</v>
      </c>
      <c r="H1440" s="512" t="s">
        <v>8753</v>
      </c>
      <c r="L1440" s="505" t="s">
        <v>114</v>
      </c>
      <c r="M1440" s="516">
        <v>106.18</v>
      </c>
      <c r="N1440" s="505" t="s">
        <v>114</v>
      </c>
    </row>
    <row r="1441" spans="1:14" x14ac:dyDescent="0.25">
      <c r="A1441" s="505" t="s">
        <v>4150</v>
      </c>
      <c r="B1441" s="505" t="s">
        <v>4151</v>
      </c>
      <c r="C1441" s="512" t="s">
        <v>8732</v>
      </c>
      <c r="D1441" s="512" t="s">
        <v>8741</v>
      </c>
      <c r="E1441" s="512" t="s">
        <v>8799</v>
      </c>
      <c r="F1441" s="512" t="s">
        <v>8761</v>
      </c>
      <c r="G1441" s="512" t="s">
        <v>7953</v>
      </c>
      <c r="H1441" s="512" t="s">
        <v>7471</v>
      </c>
      <c r="L1441" s="505" t="s">
        <v>1233</v>
      </c>
      <c r="M1441" s="516">
        <v>106.18</v>
      </c>
      <c r="N1441" s="505" t="s">
        <v>1233</v>
      </c>
    </row>
    <row r="1442" spans="1:14" x14ac:dyDescent="0.25">
      <c r="A1442" s="505" t="s">
        <v>4152</v>
      </c>
      <c r="B1442" s="505" t="s">
        <v>4153</v>
      </c>
      <c r="C1442" s="512" t="s">
        <v>8732</v>
      </c>
      <c r="D1442" s="512" t="s">
        <v>8741</v>
      </c>
      <c r="E1442" s="512" t="s">
        <v>8799</v>
      </c>
      <c r="F1442" s="512" t="s">
        <v>8761</v>
      </c>
      <c r="G1442" s="512" t="s">
        <v>8740</v>
      </c>
      <c r="H1442" s="512" t="s">
        <v>7471</v>
      </c>
      <c r="L1442" s="505" t="s">
        <v>1233</v>
      </c>
      <c r="M1442" s="516">
        <v>106.18</v>
      </c>
      <c r="N1442" s="505" t="s">
        <v>1233</v>
      </c>
    </row>
    <row r="1443" spans="1:14" x14ac:dyDescent="0.25">
      <c r="A1443" s="505" t="s">
        <v>4154</v>
      </c>
      <c r="B1443" s="505" t="s">
        <v>4155</v>
      </c>
      <c r="C1443" s="512" t="s">
        <v>8732</v>
      </c>
      <c r="D1443" s="512" t="s">
        <v>8741</v>
      </c>
      <c r="E1443" s="512" t="s">
        <v>8799</v>
      </c>
      <c r="F1443" s="512" t="s">
        <v>8761</v>
      </c>
      <c r="G1443" s="512" t="s">
        <v>8783</v>
      </c>
      <c r="H1443" s="512" t="s">
        <v>8802</v>
      </c>
      <c r="L1443" s="505" t="s">
        <v>1233</v>
      </c>
      <c r="M1443" s="516">
        <v>106.18</v>
      </c>
      <c r="N1443" s="505" t="s">
        <v>1233</v>
      </c>
    </row>
    <row r="1444" spans="1:14" x14ac:dyDescent="0.25">
      <c r="A1444" s="505" t="s">
        <v>4156</v>
      </c>
      <c r="B1444" s="505" t="s">
        <v>4157</v>
      </c>
      <c r="C1444" s="512" t="s">
        <v>8732</v>
      </c>
      <c r="D1444" s="512" t="s">
        <v>8741</v>
      </c>
      <c r="E1444" s="512" t="s">
        <v>8799</v>
      </c>
      <c r="F1444" s="512" t="s">
        <v>8761</v>
      </c>
      <c r="G1444" s="512" t="s">
        <v>8786</v>
      </c>
      <c r="H1444" s="512" t="s">
        <v>7471</v>
      </c>
      <c r="L1444" s="505" t="s">
        <v>114</v>
      </c>
      <c r="M1444" s="516">
        <v>106.18</v>
      </c>
      <c r="N1444" s="505" t="s">
        <v>114</v>
      </c>
    </row>
    <row r="1445" spans="1:14" x14ac:dyDescent="0.25">
      <c r="A1445" s="505" t="s">
        <v>4158</v>
      </c>
      <c r="B1445" s="505" t="s">
        <v>4159</v>
      </c>
      <c r="C1445" s="512" t="s">
        <v>8732</v>
      </c>
      <c r="D1445" s="512" t="s">
        <v>8741</v>
      </c>
      <c r="E1445" s="512" t="s">
        <v>8799</v>
      </c>
      <c r="F1445" s="512" t="s">
        <v>8761</v>
      </c>
      <c r="G1445" s="512" t="s">
        <v>8808</v>
      </c>
      <c r="H1445" s="512" t="s">
        <v>8809</v>
      </c>
      <c r="L1445" s="505" t="s">
        <v>114</v>
      </c>
      <c r="M1445" s="516">
        <v>106.18</v>
      </c>
      <c r="N1445" s="505" t="s">
        <v>114</v>
      </c>
    </row>
    <row r="1446" spans="1:14" s="530" customFormat="1" x14ac:dyDescent="0.25">
      <c r="A1446" s="530" t="s">
        <v>4160</v>
      </c>
      <c r="B1446" s="530" t="s">
        <v>4161</v>
      </c>
      <c r="C1446" s="531" t="s">
        <v>8810</v>
      </c>
      <c r="D1446" s="531" t="s">
        <v>8811</v>
      </c>
      <c r="E1446" s="531" t="s">
        <v>8475</v>
      </c>
      <c r="F1446" s="531" t="s">
        <v>8453</v>
      </c>
      <c r="G1446" s="531" t="s">
        <v>8473</v>
      </c>
      <c r="H1446" s="531"/>
      <c r="I1446" s="531"/>
      <c r="L1446" s="530" t="s">
        <v>3135</v>
      </c>
      <c r="M1446" s="532">
        <v>0</v>
      </c>
      <c r="N1446" s="530" t="s">
        <v>1544</v>
      </c>
    </row>
    <row r="1447" spans="1:14" x14ac:dyDescent="0.25">
      <c r="A1447" s="505" t="s">
        <v>4162</v>
      </c>
      <c r="B1447" s="505" t="s">
        <v>4163</v>
      </c>
      <c r="C1447" s="512" t="s">
        <v>8812</v>
      </c>
      <c r="D1447" s="512" t="s">
        <v>7554</v>
      </c>
      <c r="E1447" s="512" t="s">
        <v>8813</v>
      </c>
      <c r="L1447" s="505" t="s">
        <v>1233</v>
      </c>
      <c r="M1447" s="516">
        <v>197.32</v>
      </c>
      <c r="N1447" s="505" t="s">
        <v>1233</v>
      </c>
    </row>
    <row r="1448" spans="1:14" x14ac:dyDescent="0.25">
      <c r="A1448" s="505" t="s">
        <v>4164</v>
      </c>
      <c r="B1448" s="505" t="s">
        <v>4165</v>
      </c>
      <c r="C1448" s="512" t="s">
        <v>7762</v>
      </c>
      <c r="D1448" s="512" t="s">
        <v>8814</v>
      </c>
      <c r="E1448" s="512" t="s">
        <v>8676</v>
      </c>
      <c r="F1448" s="512" t="s">
        <v>7889</v>
      </c>
      <c r="G1448" s="512" t="s">
        <v>8815</v>
      </c>
      <c r="H1448" s="512" t="s">
        <v>8816</v>
      </c>
      <c r="L1448" s="505" t="s">
        <v>1233</v>
      </c>
      <c r="M1448" s="516">
        <v>38.4</v>
      </c>
      <c r="N1448" s="505" t="s">
        <v>1233</v>
      </c>
    </row>
    <row r="1449" spans="1:14" x14ac:dyDescent="0.25">
      <c r="A1449" s="505" t="s">
        <v>4166</v>
      </c>
      <c r="B1449" s="505" t="s">
        <v>4167</v>
      </c>
      <c r="C1449" s="512" t="s">
        <v>7762</v>
      </c>
      <c r="D1449" s="512" t="s">
        <v>8814</v>
      </c>
      <c r="E1449" s="512" t="s">
        <v>8676</v>
      </c>
      <c r="F1449" s="512" t="s">
        <v>8189</v>
      </c>
      <c r="G1449" s="512" t="s">
        <v>8817</v>
      </c>
      <c r="H1449" s="512" t="s">
        <v>8815</v>
      </c>
      <c r="I1449" s="512" t="s">
        <v>8816</v>
      </c>
      <c r="L1449" s="505" t="s">
        <v>1233</v>
      </c>
      <c r="M1449" s="516">
        <v>41.76</v>
      </c>
      <c r="N1449" s="505" t="s">
        <v>1233</v>
      </c>
    </row>
    <row r="1450" spans="1:14" x14ac:dyDescent="0.25">
      <c r="A1450" s="505" t="s">
        <v>4168</v>
      </c>
      <c r="B1450" s="505" t="s">
        <v>4169</v>
      </c>
      <c r="C1450" s="512" t="s">
        <v>7762</v>
      </c>
      <c r="D1450" s="512" t="s">
        <v>8814</v>
      </c>
      <c r="E1450" s="512" t="s">
        <v>8676</v>
      </c>
      <c r="F1450" s="512" t="s">
        <v>7721</v>
      </c>
      <c r="G1450" s="512" t="s">
        <v>8815</v>
      </c>
      <c r="H1450" s="512" t="s">
        <v>8816</v>
      </c>
      <c r="L1450" s="505" t="s">
        <v>1233</v>
      </c>
      <c r="M1450" s="516">
        <v>38.4</v>
      </c>
      <c r="N1450" s="505" t="s">
        <v>1233</v>
      </c>
    </row>
    <row r="1451" spans="1:14" x14ac:dyDescent="0.25">
      <c r="A1451" s="505" t="s">
        <v>4170</v>
      </c>
      <c r="B1451" s="505" t="s">
        <v>4171</v>
      </c>
      <c r="C1451" s="512" t="s">
        <v>7762</v>
      </c>
      <c r="D1451" s="512" t="s">
        <v>8539</v>
      </c>
      <c r="E1451" s="512" t="s">
        <v>8818</v>
      </c>
      <c r="F1451" s="512" t="s">
        <v>8819</v>
      </c>
      <c r="G1451" s="512" t="s">
        <v>7721</v>
      </c>
      <c r="H1451" s="512" t="s">
        <v>8820</v>
      </c>
      <c r="L1451" s="505" t="s">
        <v>1233</v>
      </c>
      <c r="M1451" s="516">
        <v>23.82</v>
      </c>
      <c r="N1451" s="505" t="s">
        <v>1233</v>
      </c>
    </row>
    <row r="1452" spans="1:14" x14ac:dyDescent="0.25">
      <c r="A1452" s="505" t="s">
        <v>4172</v>
      </c>
      <c r="B1452" s="505" t="s">
        <v>4173</v>
      </c>
      <c r="C1452" s="512" t="s">
        <v>7762</v>
      </c>
      <c r="D1452" s="512" t="s">
        <v>8821</v>
      </c>
      <c r="E1452" s="512" t="s">
        <v>8034</v>
      </c>
      <c r="F1452" s="512" t="s">
        <v>8818</v>
      </c>
      <c r="G1452" s="512" t="s">
        <v>8819</v>
      </c>
      <c r="H1452" s="512" t="s">
        <v>7721</v>
      </c>
      <c r="I1452" s="512" t="s">
        <v>8822</v>
      </c>
      <c r="L1452" s="505" t="s">
        <v>1233</v>
      </c>
      <c r="M1452" s="516">
        <v>25.49</v>
      </c>
      <c r="N1452" s="505" t="s">
        <v>1233</v>
      </c>
    </row>
    <row r="1453" spans="1:14" x14ac:dyDescent="0.25">
      <c r="A1453" s="505" t="s">
        <v>4174</v>
      </c>
      <c r="B1453" s="505" t="s">
        <v>4175</v>
      </c>
      <c r="C1453" s="512" t="s">
        <v>7762</v>
      </c>
      <c r="D1453" s="512" t="s">
        <v>8823</v>
      </c>
      <c r="E1453" s="512" t="s">
        <v>8818</v>
      </c>
      <c r="F1453" s="512" t="s">
        <v>7563</v>
      </c>
      <c r="G1453" s="512" t="s">
        <v>7721</v>
      </c>
      <c r="H1453" s="512" t="s">
        <v>8824</v>
      </c>
      <c r="L1453" s="505" t="s">
        <v>1233</v>
      </c>
      <c r="M1453" s="516">
        <v>5.72</v>
      </c>
      <c r="N1453" s="505" t="s">
        <v>1233</v>
      </c>
    </row>
    <row r="1454" spans="1:14" x14ac:dyDescent="0.25">
      <c r="A1454" s="505" t="s">
        <v>4176</v>
      </c>
      <c r="B1454" s="505" t="s">
        <v>4177</v>
      </c>
      <c r="C1454" s="512" t="s">
        <v>7762</v>
      </c>
      <c r="D1454" s="512" t="s">
        <v>8825</v>
      </c>
      <c r="E1454" s="512" t="s">
        <v>7797</v>
      </c>
      <c r="F1454" s="512" t="s">
        <v>7445</v>
      </c>
      <c r="G1454" s="512" t="s">
        <v>7489</v>
      </c>
      <c r="H1454" s="512" t="s">
        <v>8826</v>
      </c>
      <c r="L1454" s="505" t="s">
        <v>1233</v>
      </c>
      <c r="M1454" s="516">
        <v>4.2699999999999996</v>
      </c>
      <c r="N1454" s="505" t="s">
        <v>1233</v>
      </c>
    </row>
    <row r="1455" spans="1:14" x14ac:dyDescent="0.25">
      <c r="A1455" s="505" t="s">
        <v>4178</v>
      </c>
      <c r="B1455" s="505" t="s">
        <v>4179</v>
      </c>
      <c r="C1455" s="512" t="s">
        <v>7762</v>
      </c>
      <c r="D1455" s="512" t="s">
        <v>8825</v>
      </c>
      <c r="E1455" s="512" t="s">
        <v>7797</v>
      </c>
      <c r="F1455" s="512" t="s">
        <v>7447</v>
      </c>
      <c r="G1455" s="512" t="s">
        <v>8826</v>
      </c>
      <c r="L1455" s="505" t="s">
        <v>1233</v>
      </c>
      <c r="M1455" s="516">
        <v>4.2699999999999996</v>
      </c>
      <c r="N1455" s="505" t="s">
        <v>1233</v>
      </c>
    </row>
    <row r="1456" spans="1:14" x14ac:dyDescent="0.25">
      <c r="A1456" s="505" t="s">
        <v>4180</v>
      </c>
      <c r="B1456" s="505" t="s">
        <v>4181</v>
      </c>
      <c r="C1456" s="512" t="s">
        <v>7762</v>
      </c>
      <c r="D1456" s="512" t="s">
        <v>8825</v>
      </c>
      <c r="E1456" s="512" t="s">
        <v>7797</v>
      </c>
      <c r="F1456" s="512" t="s">
        <v>8140</v>
      </c>
      <c r="G1456" s="512" t="s">
        <v>8826</v>
      </c>
      <c r="L1456" s="505" t="s">
        <v>1233</v>
      </c>
      <c r="M1456" s="516">
        <v>5.27</v>
      </c>
      <c r="N1456" s="505" t="s">
        <v>1233</v>
      </c>
    </row>
    <row r="1457" spans="1:14" x14ac:dyDescent="0.25">
      <c r="A1457" s="505" t="s">
        <v>4182</v>
      </c>
      <c r="B1457" s="505" t="s">
        <v>4183</v>
      </c>
      <c r="C1457" s="512" t="s">
        <v>7762</v>
      </c>
      <c r="D1457" s="512" t="s">
        <v>8825</v>
      </c>
      <c r="E1457" s="512" t="s">
        <v>7797</v>
      </c>
      <c r="F1457" s="512" t="s">
        <v>8173</v>
      </c>
      <c r="G1457" s="512" t="s">
        <v>8826</v>
      </c>
      <c r="L1457" s="505" t="s">
        <v>1233</v>
      </c>
      <c r="M1457" s="516">
        <v>4.7</v>
      </c>
      <c r="N1457" s="505" t="s">
        <v>1233</v>
      </c>
    </row>
    <row r="1458" spans="1:14" x14ac:dyDescent="0.25">
      <c r="A1458" s="505" t="s">
        <v>4184</v>
      </c>
      <c r="B1458" s="505" t="s">
        <v>4185</v>
      </c>
      <c r="C1458" s="512" t="s">
        <v>7762</v>
      </c>
      <c r="D1458" s="512" t="s">
        <v>8825</v>
      </c>
      <c r="E1458" s="512" t="s">
        <v>7797</v>
      </c>
      <c r="F1458" s="512" t="s">
        <v>7596</v>
      </c>
      <c r="G1458" s="512" t="s">
        <v>7489</v>
      </c>
      <c r="H1458" s="512" t="s">
        <v>8826</v>
      </c>
      <c r="L1458" s="505" t="s">
        <v>1233</v>
      </c>
      <c r="M1458" s="516">
        <v>4.2699999999999996</v>
      </c>
      <c r="N1458" s="505" t="s">
        <v>1233</v>
      </c>
    </row>
    <row r="1459" spans="1:14" x14ac:dyDescent="0.25">
      <c r="A1459" s="505" t="s">
        <v>4186</v>
      </c>
      <c r="B1459" s="505" t="s">
        <v>4187</v>
      </c>
      <c r="C1459" s="512" t="s">
        <v>7762</v>
      </c>
      <c r="D1459" s="512" t="s">
        <v>8825</v>
      </c>
      <c r="E1459" s="512" t="s">
        <v>7797</v>
      </c>
      <c r="F1459" s="512" t="s">
        <v>8183</v>
      </c>
      <c r="G1459" s="512" t="s">
        <v>8826</v>
      </c>
      <c r="L1459" s="505" t="s">
        <v>1233</v>
      </c>
      <c r="M1459" s="516">
        <v>4.2699999999999996</v>
      </c>
      <c r="N1459" s="505" t="s">
        <v>1233</v>
      </c>
    </row>
    <row r="1460" spans="1:14" x14ac:dyDescent="0.25">
      <c r="A1460" s="505" t="s">
        <v>4188</v>
      </c>
      <c r="B1460" s="505" t="s">
        <v>4189</v>
      </c>
      <c r="C1460" s="512" t="s">
        <v>7762</v>
      </c>
      <c r="D1460" s="512" t="s">
        <v>8825</v>
      </c>
      <c r="E1460" s="512" t="s">
        <v>7797</v>
      </c>
      <c r="F1460" s="512" t="s">
        <v>7454</v>
      </c>
      <c r="G1460" s="512" t="s">
        <v>8826</v>
      </c>
      <c r="L1460" s="505" t="s">
        <v>1233</v>
      </c>
      <c r="M1460" s="516">
        <v>5.27</v>
      </c>
      <c r="N1460" s="505" t="s">
        <v>1233</v>
      </c>
    </row>
    <row r="1461" spans="1:14" x14ac:dyDescent="0.25">
      <c r="A1461" s="505" t="s">
        <v>4190</v>
      </c>
      <c r="B1461" s="505" t="s">
        <v>4191</v>
      </c>
      <c r="C1461" s="512" t="s">
        <v>7762</v>
      </c>
      <c r="D1461" s="512" t="s">
        <v>8825</v>
      </c>
      <c r="E1461" s="512" t="s">
        <v>7797</v>
      </c>
      <c r="F1461" s="512" t="s">
        <v>8162</v>
      </c>
      <c r="G1461" s="512" t="s">
        <v>7445</v>
      </c>
      <c r="H1461" s="512" t="s">
        <v>8826</v>
      </c>
      <c r="L1461" s="505" t="s">
        <v>1233</v>
      </c>
      <c r="M1461" s="516">
        <v>5.27</v>
      </c>
      <c r="N1461" s="505" t="s">
        <v>1233</v>
      </c>
    </row>
    <row r="1462" spans="1:14" x14ac:dyDescent="0.25">
      <c r="A1462" s="505" t="s">
        <v>4192</v>
      </c>
      <c r="B1462" s="505" t="s">
        <v>4193</v>
      </c>
      <c r="C1462" s="512" t="s">
        <v>7762</v>
      </c>
      <c r="D1462" s="512" t="s">
        <v>8825</v>
      </c>
      <c r="E1462" s="512" t="s">
        <v>7797</v>
      </c>
      <c r="F1462" s="512" t="s">
        <v>8176</v>
      </c>
      <c r="G1462" s="512" t="s">
        <v>8826</v>
      </c>
      <c r="L1462" s="505" t="s">
        <v>1233</v>
      </c>
      <c r="M1462" s="516">
        <v>4.2699999999999996</v>
      </c>
      <c r="N1462" s="505" t="s">
        <v>1233</v>
      </c>
    </row>
    <row r="1463" spans="1:14" x14ac:dyDescent="0.25">
      <c r="A1463" s="505" t="s">
        <v>4194</v>
      </c>
      <c r="B1463" s="505" t="s">
        <v>4195</v>
      </c>
      <c r="C1463" s="512" t="s">
        <v>7762</v>
      </c>
      <c r="D1463" s="512" t="s">
        <v>8825</v>
      </c>
      <c r="E1463" s="512" t="s">
        <v>7797</v>
      </c>
      <c r="F1463" s="512" t="s">
        <v>7440</v>
      </c>
      <c r="G1463" s="512" t="s">
        <v>7441</v>
      </c>
      <c r="H1463" s="512" t="s">
        <v>8826</v>
      </c>
      <c r="L1463" s="505" t="s">
        <v>1233</v>
      </c>
      <c r="M1463" s="516">
        <v>4.2699999999999996</v>
      </c>
      <c r="N1463" s="505" t="s">
        <v>1233</v>
      </c>
    </row>
    <row r="1464" spans="1:14" x14ac:dyDescent="0.25">
      <c r="A1464" s="505" t="s">
        <v>4196</v>
      </c>
      <c r="B1464" s="505" t="s">
        <v>4197</v>
      </c>
      <c r="C1464" s="512" t="s">
        <v>7762</v>
      </c>
      <c r="D1464" s="512" t="s">
        <v>8825</v>
      </c>
      <c r="E1464" s="512" t="s">
        <v>7797</v>
      </c>
      <c r="F1464" s="512" t="s">
        <v>7888</v>
      </c>
      <c r="G1464" s="512" t="s">
        <v>8826</v>
      </c>
      <c r="L1464" s="505" t="s">
        <v>1233</v>
      </c>
      <c r="M1464" s="516">
        <v>5.27</v>
      </c>
      <c r="N1464" s="505" t="s">
        <v>1233</v>
      </c>
    </row>
    <row r="1465" spans="1:14" x14ac:dyDescent="0.25">
      <c r="A1465" s="505" t="s">
        <v>4198</v>
      </c>
      <c r="B1465" s="505" t="s">
        <v>4199</v>
      </c>
      <c r="C1465" s="512" t="s">
        <v>7762</v>
      </c>
      <c r="D1465" s="512" t="s">
        <v>8825</v>
      </c>
      <c r="E1465" s="512" t="s">
        <v>7797</v>
      </c>
      <c r="F1465" s="512" t="s">
        <v>7889</v>
      </c>
      <c r="G1465" s="512" t="s">
        <v>8826</v>
      </c>
      <c r="L1465" s="505" t="s">
        <v>1233</v>
      </c>
      <c r="M1465" s="516">
        <v>4.2699999999999996</v>
      </c>
      <c r="N1465" s="505" t="s">
        <v>1233</v>
      </c>
    </row>
    <row r="1466" spans="1:14" x14ac:dyDescent="0.25">
      <c r="A1466" s="505" t="s">
        <v>4200</v>
      </c>
      <c r="B1466" s="505" t="s">
        <v>4201</v>
      </c>
      <c r="C1466" s="512" t="s">
        <v>7762</v>
      </c>
      <c r="D1466" s="512" t="s">
        <v>8825</v>
      </c>
      <c r="E1466" s="512" t="s">
        <v>7797</v>
      </c>
      <c r="F1466" s="512" t="s">
        <v>8144</v>
      </c>
      <c r="G1466" s="512" t="s">
        <v>7445</v>
      </c>
      <c r="H1466" s="512" t="s">
        <v>8826</v>
      </c>
      <c r="L1466" s="505" t="s">
        <v>1233</v>
      </c>
      <c r="M1466" s="516">
        <v>5.27</v>
      </c>
      <c r="N1466" s="505" t="s">
        <v>1233</v>
      </c>
    </row>
    <row r="1467" spans="1:14" x14ac:dyDescent="0.25">
      <c r="A1467" s="505" t="s">
        <v>4202</v>
      </c>
      <c r="B1467" s="505" t="s">
        <v>4203</v>
      </c>
      <c r="C1467" s="512" t="s">
        <v>7762</v>
      </c>
      <c r="D1467" s="512" t="s">
        <v>8825</v>
      </c>
      <c r="E1467" s="512" t="s">
        <v>7797</v>
      </c>
      <c r="F1467" s="512" t="s">
        <v>8163</v>
      </c>
      <c r="G1467" s="512" t="s">
        <v>8164</v>
      </c>
      <c r="H1467" s="512" t="s">
        <v>8826</v>
      </c>
      <c r="L1467" s="505" t="s">
        <v>1233</v>
      </c>
      <c r="M1467" s="516">
        <v>5.27</v>
      </c>
      <c r="N1467" s="505" t="s">
        <v>1233</v>
      </c>
    </row>
    <row r="1468" spans="1:14" x14ac:dyDescent="0.25">
      <c r="A1468" s="505" t="s">
        <v>4204</v>
      </c>
      <c r="B1468" s="505" t="s">
        <v>4205</v>
      </c>
      <c r="C1468" s="512" t="s">
        <v>7762</v>
      </c>
      <c r="D1468" s="512" t="s">
        <v>8825</v>
      </c>
      <c r="E1468" s="512" t="s">
        <v>7797</v>
      </c>
      <c r="F1468" s="512" t="s">
        <v>8189</v>
      </c>
      <c r="G1468" s="512" t="s">
        <v>7881</v>
      </c>
      <c r="H1468" s="512" t="s">
        <v>8826</v>
      </c>
      <c r="L1468" s="505" t="s">
        <v>1233</v>
      </c>
      <c r="M1468" s="516">
        <v>4.7</v>
      </c>
      <c r="N1468" s="505" t="s">
        <v>1233</v>
      </c>
    </row>
    <row r="1469" spans="1:14" x14ac:dyDescent="0.25">
      <c r="A1469" s="505" t="s">
        <v>4206</v>
      </c>
      <c r="B1469" s="505" t="s">
        <v>4207</v>
      </c>
      <c r="C1469" s="512" t="s">
        <v>7762</v>
      </c>
      <c r="D1469" s="512" t="s">
        <v>8825</v>
      </c>
      <c r="E1469" s="512" t="s">
        <v>7797</v>
      </c>
      <c r="F1469" s="512" t="s">
        <v>8147</v>
      </c>
      <c r="G1469" s="512" t="s">
        <v>8826</v>
      </c>
      <c r="L1469" s="505" t="s">
        <v>1233</v>
      </c>
      <c r="M1469" s="516">
        <v>5.27</v>
      </c>
      <c r="N1469" s="505" t="s">
        <v>1233</v>
      </c>
    </row>
    <row r="1470" spans="1:14" x14ac:dyDescent="0.25">
      <c r="A1470" s="505" t="s">
        <v>4208</v>
      </c>
      <c r="B1470" s="505" t="s">
        <v>4209</v>
      </c>
      <c r="C1470" s="512" t="s">
        <v>7762</v>
      </c>
      <c r="D1470" s="512" t="s">
        <v>8825</v>
      </c>
      <c r="E1470" s="512" t="s">
        <v>7797</v>
      </c>
      <c r="F1470" s="512" t="s">
        <v>8148</v>
      </c>
      <c r="G1470" s="512" t="s">
        <v>8826</v>
      </c>
      <c r="L1470" s="505" t="s">
        <v>1233</v>
      </c>
      <c r="M1470" s="516">
        <v>4.7</v>
      </c>
      <c r="N1470" s="505" t="s">
        <v>1233</v>
      </c>
    </row>
    <row r="1471" spans="1:14" x14ac:dyDescent="0.25">
      <c r="A1471" s="505" t="s">
        <v>4210</v>
      </c>
      <c r="B1471" s="505" t="s">
        <v>4211</v>
      </c>
      <c r="C1471" s="512" t="s">
        <v>7762</v>
      </c>
      <c r="D1471" s="512" t="s">
        <v>8825</v>
      </c>
      <c r="E1471" s="512" t="s">
        <v>7797</v>
      </c>
      <c r="F1471" s="512" t="s">
        <v>7568</v>
      </c>
      <c r="G1471" s="512" t="s">
        <v>8826</v>
      </c>
      <c r="L1471" s="505" t="s">
        <v>1233</v>
      </c>
      <c r="M1471" s="516">
        <v>5.27</v>
      </c>
      <c r="N1471" s="505" t="s">
        <v>1233</v>
      </c>
    </row>
    <row r="1472" spans="1:14" x14ac:dyDescent="0.25">
      <c r="A1472" s="505" t="s">
        <v>4212</v>
      </c>
      <c r="B1472" s="505" t="s">
        <v>4213</v>
      </c>
      <c r="C1472" s="512" t="s">
        <v>7762</v>
      </c>
      <c r="D1472" s="512" t="s">
        <v>8825</v>
      </c>
      <c r="E1472" s="512" t="s">
        <v>7797</v>
      </c>
      <c r="F1472" s="512" t="s">
        <v>8149</v>
      </c>
      <c r="G1472" s="512" t="s">
        <v>8826</v>
      </c>
      <c r="L1472" s="505" t="s">
        <v>1233</v>
      </c>
      <c r="M1472" s="516">
        <v>4.7</v>
      </c>
      <c r="N1472" s="505" t="s">
        <v>1233</v>
      </c>
    </row>
    <row r="1473" spans="1:14" x14ac:dyDescent="0.25">
      <c r="A1473" s="505" t="s">
        <v>4214</v>
      </c>
      <c r="B1473" s="505" t="s">
        <v>4215</v>
      </c>
      <c r="C1473" s="512" t="s">
        <v>7762</v>
      </c>
      <c r="D1473" s="512" t="s">
        <v>8825</v>
      </c>
      <c r="E1473" s="512" t="s">
        <v>7797</v>
      </c>
      <c r="F1473" s="512" t="s">
        <v>7803</v>
      </c>
      <c r="G1473" s="512" t="s">
        <v>8826</v>
      </c>
      <c r="L1473" s="505" t="s">
        <v>1233</v>
      </c>
      <c r="M1473" s="516">
        <v>4.2699999999999996</v>
      </c>
      <c r="N1473" s="505" t="s">
        <v>1233</v>
      </c>
    </row>
    <row r="1474" spans="1:14" x14ac:dyDescent="0.25">
      <c r="A1474" s="505" t="s">
        <v>4216</v>
      </c>
      <c r="B1474" s="505" t="s">
        <v>4217</v>
      </c>
      <c r="C1474" s="512" t="s">
        <v>7762</v>
      </c>
      <c r="D1474" s="512" t="s">
        <v>8825</v>
      </c>
      <c r="E1474" s="512" t="s">
        <v>7797</v>
      </c>
      <c r="F1474" s="512" t="s">
        <v>8165</v>
      </c>
      <c r="G1474" s="512" t="s">
        <v>8152</v>
      </c>
      <c r="H1474" s="512" t="s">
        <v>8826</v>
      </c>
      <c r="L1474" s="505" t="s">
        <v>1233</v>
      </c>
      <c r="M1474" s="516">
        <v>4.7</v>
      </c>
      <c r="N1474" s="505" t="s">
        <v>1233</v>
      </c>
    </row>
    <row r="1475" spans="1:14" x14ac:dyDescent="0.25">
      <c r="A1475" s="505" t="s">
        <v>4218</v>
      </c>
      <c r="B1475" s="505" t="s">
        <v>4219</v>
      </c>
      <c r="C1475" s="512" t="s">
        <v>7762</v>
      </c>
      <c r="D1475" s="512" t="s">
        <v>8825</v>
      </c>
      <c r="E1475" s="512" t="s">
        <v>7797</v>
      </c>
      <c r="F1475" s="512" t="s">
        <v>8030</v>
      </c>
      <c r="G1475" s="512" t="s">
        <v>8826</v>
      </c>
      <c r="L1475" s="505" t="s">
        <v>1233</v>
      </c>
      <c r="M1475" s="516">
        <v>4.7</v>
      </c>
      <c r="N1475" s="505" t="s">
        <v>1233</v>
      </c>
    </row>
    <row r="1476" spans="1:14" x14ac:dyDescent="0.25">
      <c r="A1476" s="505" t="s">
        <v>4220</v>
      </c>
      <c r="B1476" s="505" t="s">
        <v>4221</v>
      </c>
      <c r="C1476" s="512" t="s">
        <v>7762</v>
      </c>
      <c r="D1476" s="512" t="s">
        <v>8825</v>
      </c>
      <c r="E1476" s="512" t="s">
        <v>7797</v>
      </c>
      <c r="F1476" s="512" t="s">
        <v>8150</v>
      </c>
      <c r="G1476" s="512" t="s">
        <v>8826</v>
      </c>
      <c r="L1476" s="505" t="s">
        <v>1233</v>
      </c>
      <c r="M1476" s="516">
        <v>5.27</v>
      </c>
      <c r="N1476" s="505" t="s">
        <v>1233</v>
      </c>
    </row>
    <row r="1477" spans="1:14" x14ac:dyDescent="0.25">
      <c r="A1477" s="505" t="s">
        <v>4222</v>
      </c>
      <c r="B1477" s="505" t="s">
        <v>4223</v>
      </c>
      <c r="C1477" s="512" t="s">
        <v>7762</v>
      </c>
      <c r="D1477" s="512" t="s">
        <v>8825</v>
      </c>
      <c r="E1477" s="512" t="s">
        <v>7797</v>
      </c>
      <c r="F1477" s="512" t="s">
        <v>8177</v>
      </c>
      <c r="G1477" s="512" t="s">
        <v>8826</v>
      </c>
      <c r="L1477" s="505" t="s">
        <v>1233</v>
      </c>
      <c r="M1477" s="516">
        <v>4.2699999999999996</v>
      </c>
      <c r="N1477" s="505" t="s">
        <v>1233</v>
      </c>
    </row>
    <row r="1478" spans="1:14" x14ac:dyDescent="0.25">
      <c r="A1478" s="505" t="s">
        <v>4224</v>
      </c>
      <c r="B1478" s="505" t="s">
        <v>4225</v>
      </c>
      <c r="C1478" s="512" t="s">
        <v>7762</v>
      </c>
      <c r="D1478" s="512" t="s">
        <v>8825</v>
      </c>
      <c r="E1478" s="512" t="s">
        <v>7797</v>
      </c>
      <c r="F1478" s="512" t="s">
        <v>8166</v>
      </c>
      <c r="G1478" s="512" t="s">
        <v>8167</v>
      </c>
      <c r="H1478" s="512" t="s">
        <v>8826</v>
      </c>
      <c r="L1478" s="505" t="s">
        <v>1233</v>
      </c>
      <c r="M1478" s="516">
        <v>4.7</v>
      </c>
      <c r="N1478" s="505" t="s">
        <v>1233</v>
      </c>
    </row>
    <row r="1479" spans="1:14" x14ac:dyDescent="0.25">
      <c r="A1479" s="505" t="s">
        <v>4226</v>
      </c>
      <c r="B1479" s="505" t="s">
        <v>4227</v>
      </c>
      <c r="C1479" s="512" t="s">
        <v>7762</v>
      </c>
      <c r="D1479" s="512" t="s">
        <v>8825</v>
      </c>
      <c r="E1479" s="512" t="s">
        <v>7797</v>
      </c>
      <c r="F1479" s="512" t="s">
        <v>8155</v>
      </c>
      <c r="G1479" s="512" t="s">
        <v>7892</v>
      </c>
      <c r="H1479" s="512" t="s">
        <v>8826</v>
      </c>
      <c r="L1479" s="505" t="s">
        <v>1233</v>
      </c>
      <c r="M1479" s="516">
        <v>4.7</v>
      </c>
      <c r="N1479" s="505" t="s">
        <v>1233</v>
      </c>
    </row>
    <row r="1480" spans="1:14" x14ac:dyDescent="0.25">
      <c r="A1480" s="505" t="s">
        <v>4228</v>
      </c>
      <c r="B1480" s="505" t="s">
        <v>4229</v>
      </c>
      <c r="C1480" s="512" t="s">
        <v>7762</v>
      </c>
      <c r="D1480" s="512" t="s">
        <v>8825</v>
      </c>
      <c r="E1480" s="512" t="s">
        <v>7797</v>
      </c>
      <c r="F1480" s="512" t="s">
        <v>8156</v>
      </c>
      <c r="G1480" s="512" t="s">
        <v>8827</v>
      </c>
      <c r="H1480" s="512" t="s">
        <v>8826</v>
      </c>
      <c r="L1480" s="505" t="s">
        <v>1233</v>
      </c>
      <c r="M1480" s="516">
        <v>5.27</v>
      </c>
      <c r="N1480" s="505" t="s">
        <v>1233</v>
      </c>
    </row>
    <row r="1481" spans="1:14" x14ac:dyDescent="0.25">
      <c r="A1481" s="505" t="s">
        <v>4230</v>
      </c>
      <c r="B1481" s="505" t="s">
        <v>4231</v>
      </c>
      <c r="C1481" s="512" t="s">
        <v>7762</v>
      </c>
      <c r="D1481" s="512" t="s">
        <v>8825</v>
      </c>
      <c r="E1481" s="512" t="s">
        <v>7797</v>
      </c>
      <c r="F1481" s="512" t="s">
        <v>8190</v>
      </c>
      <c r="G1481" s="512" t="s">
        <v>8179</v>
      </c>
      <c r="H1481" s="512" t="s">
        <v>8826</v>
      </c>
      <c r="L1481" s="505" t="s">
        <v>1233</v>
      </c>
      <c r="M1481" s="516">
        <v>4.2699999999999996</v>
      </c>
      <c r="N1481" s="505" t="s">
        <v>1233</v>
      </c>
    </row>
    <row r="1482" spans="1:14" x14ac:dyDescent="0.25">
      <c r="A1482" s="505" t="s">
        <v>4232</v>
      </c>
      <c r="B1482" s="505" t="s">
        <v>4233</v>
      </c>
      <c r="C1482" s="512" t="s">
        <v>7762</v>
      </c>
      <c r="D1482" s="512" t="s">
        <v>8825</v>
      </c>
      <c r="E1482" s="512" t="s">
        <v>7797</v>
      </c>
      <c r="F1482" s="512" t="s">
        <v>8158</v>
      </c>
      <c r="G1482" s="512" t="s">
        <v>8826</v>
      </c>
      <c r="L1482" s="505" t="s">
        <v>1233</v>
      </c>
      <c r="M1482" s="516">
        <v>4.7</v>
      </c>
      <c r="N1482" s="505" t="s">
        <v>1233</v>
      </c>
    </row>
    <row r="1483" spans="1:14" x14ac:dyDescent="0.25">
      <c r="A1483" s="505" t="s">
        <v>4234</v>
      </c>
      <c r="B1483" s="505" t="s">
        <v>4235</v>
      </c>
      <c r="C1483" s="512" t="s">
        <v>7762</v>
      </c>
      <c r="D1483" s="512" t="s">
        <v>8825</v>
      </c>
      <c r="E1483" s="512" t="s">
        <v>7797</v>
      </c>
      <c r="F1483" s="512" t="s">
        <v>8169</v>
      </c>
      <c r="G1483" s="512" t="s">
        <v>7489</v>
      </c>
      <c r="H1483" s="512" t="s">
        <v>8826</v>
      </c>
      <c r="L1483" s="505" t="s">
        <v>1233</v>
      </c>
      <c r="M1483" s="516">
        <v>5.27</v>
      </c>
      <c r="N1483" s="505" t="s">
        <v>1233</v>
      </c>
    </row>
    <row r="1484" spans="1:14" x14ac:dyDescent="0.25">
      <c r="A1484" s="505" t="s">
        <v>4236</v>
      </c>
      <c r="B1484" s="505" t="s">
        <v>4237</v>
      </c>
      <c r="C1484" s="512" t="s">
        <v>7762</v>
      </c>
      <c r="D1484" s="512" t="s">
        <v>8825</v>
      </c>
      <c r="E1484" s="512" t="s">
        <v>7797</v>
      </c>
      <c r="F1484" s="512" t="s">
        <v>7721</v>
      </c>
      <c r="G1484" s="512" t="s">
        <v>8826</v>
      </c>
      <c r="L1484" s="505" t="s">
        <v>1233</v>
      </c>
      <c r="M1484" s="516">
        <v>4.2699999999999996</v>
      </c>
      <c r="N1484" s="505" t="s">
        <v>1233</v>
      </c>
    </row>
    <row r="1485" spans="1:14" x14ac:dyDescent="0.25">
      <c r="A1485" s="505" t="s">
        <v>4238</v>
      </c>
      <c r="B1485" s="505" t="s">
        <v>4239</v>
      </c>
      <c r="C1485" s="512" t="s">
        <v>7762</v>
      </c>
      <c r="D1485" s="512" t="s">
        <v>8825</v>
      </c>
      <c r="E1485" s="512" t="s">
        <v>7797</v>
      </c>
      <c r="F1485" s="512" t="s">
        <v>7804</v>
      </c>
      <c r="G1485" s="512" t="s">
        <v>8826</v>
      </c>
      <c r="L1485" s="505" t="s">
        <v>1233</v>
      </c>
      <c r="M1485" s="516">
        <v>4.2699999999999996</v>
      </c>
      <c r="N1485" s="505" t="s">
        <v>1233</v>
      </c>
    </row>
    <row r="1486" spans="1:14" x14ac:dyDescent="0.25">
      <c r="A1486" s="505" t="s">
        <v>4240</v>
      </c>
      <c r="B1486" s="505" t="s">
        <v>4241</v>
      </c>
      <c r="C1486" s="512" t="s">
        <v>7762</v>
      </c>
      <c r="D1486" s="512" t="s">
        <v>8825</v>
      </c>
      <c r="E1486" s="512" t="s">
        <v>7797</v>
      </c>
      <c r="F1486" s="512" t="s">
        <v>8170</v>
      </c>
      <c r="G1486" s="512" t="s">
        <v>8826</v>
      </c>
      <c r="L1486" s="505" t="s">
        <v>1233</v>
      </c>
      <c r="M1486" s="516">
        <v>5.27</v>
      </c>
      <c r="N1486" s="505" t="s">
        <v>1233</v>
      </c>
    </row>
    <row r="1487" spans="1:14" s="530" customFormat="1" x14ac:dyDescent="0.25">
      <c r="A1487" s="530" t="s">
        <v>4242</v>
      </c>
      <c r="B1487" s="530" t="s">
        <v>4243</v>
      </c>
      <c r="C1487" s="531" t="s">
        <v>7762</v>
      </c>
      <c r="D1487" s="531" t="s">
        <v>8828</v>
      </c>
      <c r="E1487" s="534">
        <v>36899</v>
      </c>
      <c r="F1487" s="531" t="s">
        <v>8829</v>
      </c>
      <c r="G1487" s="531" t="s">
        <v>7496</v>
      </c>
      <c r="H1487" s="531" t="s">
        <v>7600</v>
      </c>
      <c r="I1487" s="531" t="s">
        <v>8830</v>
      </c>
      <c r="L1487" s="530" t="s">
        <v>1233</v>
      </c>
      <c r="M1487" s="532">
        <v>0</v>
      </c>
      <c r="N1487" s="530" t="s">
        <v>1544</v>
      </c>
    </row>
    <row r="1488" spans="1:14" s="530" customFormat="1" x14ac:dyDescent="0.25">
      <c r="A1488" s="530" t="s">
        <v>4244</v>
      </c>
      <c r="B1488" s="530" t="s">
        <v>4245</v>
      </c>
      <c r="C1488" s="531" t="s">
        <v>7762</v>
      </c>
      <c r="D1488" s="531" t="s">
        <v>8828</v>
      </c>
      <c r="E1488" s="534">
        <v>36899</v>
      </c>
      <c r="F1488" s="531" t="s">
        <v>8829</v>
      </c>
      <c r="G1488" s="531" t="s">
        <v>511</v>
      </c>
      <c r="H1488" s="531" t="s">
        <v>8830</v>
      </c>
      <c r="I1488" s="531"/>
      <c r="L1488" s="530" t="s">
        <v>1233</v>
      </c>
      <c r="M1488" s="532">
        <v>0</v>
      </c>
      <c r="N1488" s="530" t="s">
        <v>1544</v>
      </c>
    </row>
    <row r="1489" spans="1:14" s="530" customFormat="1" x14ac:dyDescent="0.25">
      <c r="A1489" s="530" t="s">
        <v>4246</v>
      </c>
      <c r="B1489" s="530" t="s">
        <v>4247</v>
      </c>
      <c r="C1489" s="531" t="s">
        <v>7762</v>
      </c>
      <c r="D1489" s="531" t="s">
        <v>8828</v>
      </c>
      <c r="E1489" s="531" t="s">
        <v>8831</v>
      </c>
      <c r="F1489" s="531" t="s">
        <v>511</v>
      </c>
      <c r="G1489" s="531" t="s">
        <v>8832</v>
      </c>
      <c r="H1489" s="531"/>
      <c r="I1489" s="531"/>
      <c r="L1489" s="530" t="s">
        <v>1233</v>
      </c>
      <c r="M1489" s="532">
        <v>0</v>
      </c>
      <c r="N1489" s="530" t="s">
        <v>1544</v>
      </c>
    </row>
    <row r="1490" spans="1:14" s="530" customFormat="1" x14ac:dyDescent="0.25">
      <c r="A1490" s="530" t="s">
        <v>4248</v>
      </c>
      <c r="B1490" s="530" t="s">
        <v>4249</v>
      </c>
      <c r="C1490" s="531" t="s">
        <v>7762</v>
      </c>
      <c r="D1490" s="531" t="s">
        <v>8828</v>
      </c>
      <c r="E1490" s="531" t="s">
        <v>7533</v>
      </c>
      <c r="F1490" s="531" t="s">
        <v>8833</v>
      </c>
      <c r="G1490" s="531" t="s">
        <v>8834</v>
      </c>
      <c r="H1490" s="531"/>
      <c r="I1490" s="531"/>
      <c r="L1490" s="530" t="s">
        <v>1233</v>
      </c>
      <c r="M1490" s="532">
        <v>0</v>
      </c>
      <c r="N1490" s="530" t="s">
        <v>1544</v>
      </c>
    </row>
    <row r="1491" spans="1:14" s="530" customFormat="1" x14ac:dyDescent="0.25">
      <c r="A1491" s="530" t="s">
        <v>4250</v>
      </c>
      <c r="B1491" s="530" t="s">
        <v>4251</v>
      </c>
      <c r="C1491" s="531" t="s">
        <v>7762</v>
      </c>
      <c r="D1491" s="531" t="s">
        <v>8828</v>
      </c>
      <c r="E1491" s="531" t="s">
        <v>8835</v>
      </c>
      <c r="F1491" s="531" t="s">
        <v>7533</v>
      </c>
      <c r="G1491" s="531" t="s">
        <v>8836</v>
      </c>
      <c r="H1491" s="531"/>
      <c r="I1491" s="531"/>
      <c r="L1491" s="530" t="s">
        <v>1233</v>
      </c>
      <c r="M1491" s="532">
        <v>0</v>
      </c>
      <c r="N1491" s="530" t="s">
        <v>1544</v>
      </c>
    </row>
    <row r="1492" spans="1:14" s="530" customFormat="1" x14ac:dyDescent="0.25">
      <c r="A1492" s="530" t="s">
        <v>4252</v>
      </c>
      <c r="B1492" s="530" t="s">
        <v>4253</v>
      </c>
      <c r="C1492" s="531" t="s">
        <v>7762</v>
      </c>
      <c r="D1492" s="531" t="s">
        <v>7919</v>
      </c>
      <c r="E1492" s="531" t="s">
        <v>8837</v>
      </c>
      <c r="F1492" s="531" t="s">
        <v>7496</v>
      </c>
      <c r="G1492" s="531" t="s">
        <v>363</v>
      </c>
      <c r="H1492" s="531" t="s">
        <v>8838</v>
      </c>
      <c r="I1492" s="531"/>
      <c r="L1492" s="530" t="s">
        <v>1233</v>
      </c>
      <c r="M1492" s="532">
        <v>0</v>
      </c>
      <c r="N1492" s="530" t="s">
        <v>1544</v>
      </c>
    </row>
    <row r="1493" spans="1:14" x14ac:dyDescent="0.25">
      <c r="A1493" s="505" t="s">
        <v>4254</v>
      </c>
      <c r="B1493" s="505" t="s">
        <v>4255</v>
      </c>
      <c r="C1493" s="512" t="s">
        <v>7762</v>
      </c>
      <c r="D1493" s="512" t="s">
        <v>7919</v>
      </c>
      <c r="E1493" s="512" t="s">
        <v>8839</v>
      </c>
      <c r="F1493" s="512" t="s">
        <v>7890</v>
      </c>
      <c r="G1493" s="512" t="s">
        <v>7881</v>
      </c>
      <c r="H1493" s="512" t="s">
        <v>8838</v>
      </c>
      <c r="L1493" s="505" t="s">
        <v>1233</v>
      </c>
      <c r="M1493" s="516">
        <v>4.3</v>
      </c>
      <c r="N1493" s="505" t="s">
        <v>1233</v>
      </c>
    </row>
    <row r="1494" spans="1:14" x14ac:dyDescent="0.25">
      <c r="A1494" s="505" t="s">
        <v>4256</v>
      </c>
      <c r="B1494" s="505" t="s">
        <v>4257</v>
      </c>
      <c r="C1494" s="512" t="s">
        <v>7762</v>
      </c>
      <c r="D1494" s="512" t="s">
        <v>7825</v>
      </c>
      <c r="E1494" s="512" t="s">
        <v>8839</v>
      </c>
      <c r="F1494" s="512" t="s">
        <v>7445</v>
      </c>
      <c r="G1494" s="512" t="s">
        <v>7489</v>
      </c>
      <c r="H1494" s="512" t="s">
        <v>8840</v>
      </c>
      <c r="L1494" s="505" t="s">
        <v>1233</v>
      </c>
      <c r="M1494" s="516">
        <v>4.1100000000000003</v>
      </c>
      <c r="N1494" s="505" t="s">
        <v>1233</v>
      </c>
    </row>
    <row r="1495" spans="1:14" x14ac:dyDescent="0.25">
      <c r="A1495" s="505" t="s">
        <v>4258</v>
      </c>
      <c r="B1495" s="505" t="s">
        <v>4259</v>
      </c>
      <c r="C1495" s="512" t="s">
        <v>7762</v>
      </c>
      <c r="D1495" s="512" t="s">
        <v>7825</v>
      </c>
      <c r="E1495" s="512" t="s">
        <v>8839</v>
      </c>
      <c r="F1495" s="512" t="s">
        <v>7447</v>
      </c>
      <c r="G1495" s="512" t="s">
        <v>8840</v>
      </c>
      <c r="L1495" s="505" t="s">
        <v>1233</v>
      </c>
      <c r="M1495" s="516">
        <v>4.1100000000000003</v>
      </c>
      <c r="N1495" s="505" t="s">
        <v>1233</v>
      </c>
    </row>
    <row r="1496" spans="1:14" x14ac:dyDescent="0.25">
      <c r="A1496" s="505" t="s">
        <v>4260</v>
      </c>
      <c r="B1496" s="505" t="s">
        <v>4261</v>
      </c>
      <c r="C1496" s="512" t="s">
        <v>7762</v>
      </c>
      <c r="D1496" s="512" t="s">
        <v>7825</v>
      </c>
      <c r="E1496" s="512" t="s">
        <v>8839</v>
      </c>
      <c r="F1496" s="512" t="s">
        <v>8140</v>
      </c>
      <c r="G1496" s="512" t="s">
        <v>8840</v>
      </c>
      <c r="L1496" s="505" t="s">
        <v>1233</v>
      </c>
      <c r="M1496" s="516">
        <v>4.8499999999999996</v>
      </c>
      <c r="N1496" s="505" t="s">
        <v>1233</v>
      </c>
    </row>
    <row r="1497" spans="1:14" x14ac:dyDescent="0.25">
      <c r="A1497" s="505" t="s">
        <v>4262</v>
      </c>
      <c r="B1497" s="505" t="s">
        <v>4263</v>
      </c>
      <c r="C1497" s="512" t="s">
        <v>7762</v>
      </c>
      <c r="D1497" s="512" t="s">
        <v>7825</v>
      </c>
      <c r="E1497" s="512" t="s">
        <v>8839</v>
      </c>
      <c r="F1497" s="512" t="s">
        <v>8173</v>
      </c>
      <c r="G1497" s="512" t="s">
        <v>8840</v>
      </c>
      <c r="L1497" s="505" t="s">
        <v>1233</v>
      </c>
      <c r="M1497" s="516">
        <v>4.51</v>
      </c>
      <c r="N1497" s="505" t="s">
        <v>1233</v>
      </c>
    </row>
    <row r="1498" spans="1:14" x14ac:dyDescent="0.25">
      <c r="A1498" s="505" t="s">
        <v>4264</v>
      </c>
      <c r="B1498" s="505" t="s">
        <v>4265</v>
      </c>
      <c r="C1498" s="512" t="s">
        <v>7762</v>
      </c>
      <c r="D1498" s="512" t="s">
        <v>7825</v>
      </c>
      <c r="E1498" s="512" t="s">
        <v>8839</v>
      </c>
      <c r="F1498" s="512" t="s">
        <v>7596</v>
      </c>
      <c r="G1498" s="512" t="s">
        <v>7489</v>
      </c>
      <c r="H1498" s="512" t="s">
        <v>8840</v>
      </c>
      <c r="L1498" s="505" t="s">
        <v>1233</v>
      </c>
      <c r="M1498" s="516">
        <v>4.1100000000000003</v>
      </c>
      <c r="N1498" s="505" t="s">
        <v>1233</v>
      </c>
    </row>
    <row r="1499" spans="1:14" x14ac:dyDescent="0.25">
      <c r="A1499" s="505" t="s">
        <v>4266</v>
      </c>
      <c r="B1499" s="505" t="s">
        <v>4267</v>
      </c>
      <c r="C1499" s="512" t="s">
        <v>7762</v>
      </c>
      <c r="D1499" s="512" t="s">
        <v>7825</v>
      </c>
      <c r="E1499" s="512" t="s">
        <v>8839</v>
      </c>
      <c r="F1499" s="512" t="s">
        <v>8183</v>
      </c>
      <c r="G1499" s="512" t="s">
        <v>8840</v>
      </c>
      <c r="L1499" s="505" t="s">
        <v>1233</v>
      </c>
      <c r="M1499" s="516">
        <v>4.1100000000000003</v>
      </c>
      <c r="N1499" s="505" t="s">
        <v>1233</v>
      </c>
    </row>
    <row r="1500" spans="1:14" x14ac:dyDescent="0.25">
      <c r="A1500" s="505" t="s">
        <v>4268</v>
      </c>
      <c r="B1500" s="505" t="s">
        <v>4269</v>
      </c>
      <c r="C1500" s="512" t="s">
        <v>7762</v>
      </c>
      <c r="D1500" s="512" t="s">
        <v>7825</v>
      </c>
      <c r="E1500" s="512" t="s">
        <v>8839</v>
      </c>
      <c r="F1500" s="512" t="s">
        <v>7454</v>
      </c>
      <c r="G1500" s="512" t="s">
        <v>8840</v>
      </c>
      <c r="L1500" s="505" t="s">
        <v>1233</v>
      </c>
      <c r="M1500" s="516">
        <v>4.8499999999999996</v>
      </c>
      <c r="N1500" s="505" t="s">
        <v>1233</v>
      </c>
    </row>
    <row r="1501" spans="1:14" x14ac:dyDescent="0.25">
      <c r="A1501" s="505" t="s">
        <v>4270</v>
      </c>
      <c r="B1501" s="505" t="s">
        <v>4271</v>
      </c>
      <c r="C1501" s="512" t="s">
        <v>7762</v>
      </c>
      <c r="D1501" s="512" t="s">
        <v>7825</v>
      </c>
      <c r="E1501" s="512" t="s">
        <v>8839</v>
      </c>
      <c r="F1501" s="512" t="s">
        <v>8162</v>
      </c>
      <c r="G1501" s="512" t="s">
        <v>8632</v>
      </c>
      <c r="H1501" s="512" t="s">
        <v>8840</v>
      </c>
      <c r="L1501" s="505" t="s">
        <v>1233</v>
      </c>
      <c r="M1501" s="516">
        <v>4.8499999999999996</v>
      </c>
      <c r="N1501" s="505" t="s">
        <v>1233</v>
      </c>
    </row>
    <row r="1502" spans="1:14" x14ac:dyDescent="0.25">
      <c r="A1502" s="505" t="s">
        <v>4272</v>
      </c>
      <c r="B1502" s="505" t="s">
        <v>4273</v>
      </c>
      <c r="C1502" s="512" t="s">
        <v>7762</v>
      </c>
      <c r="D1502" s="512" t="s">
        <v>7825</v>
      </c>
      <c r="E1502" s="512" t="s">
        <v>8839</v>
      </c>
      <c r="F1502" s="512" t="s">
        <v>8176</v>
      </c>
      <c r="G1502" s="512" t="s">
        <v>8840</v>
      </c>
      <c r="L1502" s="505" t="s">
        <v>1233</v>
      </c>
      <c r="M1502" s="516">
        <v>4.1100000000000003</v>
      </c>
      <c r="N1502" s="505" t="s">
        <v>1233</v>
      </c>
    </row>
    <row r="1503" spans="1:14" x14ac:dyDescent="0.25">
      <c r="A1503" s="505" t="s">
        <v>4274</v>
      </c>
      <c r="B1503" s="505" t="s">
        <v>4275</v>
      </c>
      <c r="C1503" s="512" t="s">
        <v>7762</v>
      </c>
      <c r="D1503" s="512" t="s">
        <v>7825</v>
      </c>
      <c r="E1503" s="512" t="s">
        <v>8839</v>
      </c>
      <c r="F1503" s="512" t="s">
        <v>7440</v>
      </c>
      <c r="G1503" s="512" t="s">
        <v>8841</v>
      </c>
      <c r="H1503" s="512" t="s">
        <v>8840</v>
      </c>
      <c r="L1503" s="505" t="s">
        <v>1233</v>
      </c>
      <c r="M1503" s="516">
        <v>4.1100000000000003</v>
      </c>
      <c r="N1503" s="505" t="s">
        <v>1233</v>
      </c>
    </row>
    <row r="1504" spans="1:14" x14ac:dyDescent="0.25">
      <c r="A1504" s="505" t="s">
        <v>4276</v>
      </c>
      <c r="B1504" s="505" t="s">
        <v>4277</v>
      </c>
      <c r="C1504" s="512" t="s">
        <v>7762</v>
      </c>
      <c r="D1504" s="512" t="s">
        <v>7825</v>
      </c>
      <c r="E1504" s="512" t="s">
        <v>8839</v>
      </c>
      <c r="F1504" s="512" t="s">
        <v>7888</v>
      </c>
      <c r="G1504" s="512" t="s">
        <v>8840</v>
      </c>
      <c r="L1504" s="505" t="s">
        <v>1233</v>
      </c>
      <c r="M1504" s="516">
        <v>4.8499999999999996</v>
      </c>
      <c r="N1504" s="505" t="s">
        <v>1233</v>
      </c>
    </row>
    <row r="1505" spans="1:14" x14ac:dyDescent="0.25">
      <c r="A1505" s="505" t="s">
        <v>4278</v>
      </c>
      <c r="B1505" s="505" t="s">
        <v>4279</v>
      </c>
      <c r="C1505" s="512" t="s">
        <v>7762</v>
      </c>
      <c r="D1505" s="512" t="s">
        <v>7825</v>
      </c>
      <c r="E1505" s="512" t="s">
        <v>8839</v>
      </c>
      <c r="F1505" s="512" t="s">
        <v>7889</v>
      </c>
      <c r="G1505" s="512" t="s">
        <v>8840</v>
      </c>
      <c r="L1505" s="505" t="s">
        <v>1233</v>
      </c>
      <c r="M1505" s="516">
        <v>4.1100000000000003</v>
      </c>
      <c r="N1505" s="505" t="s">
        <v>1233</v>
      </c>
    </row>
    <row r="1506" spans="1:14" x14ac:dyDescent="0.25">
      <c r="A1506" s="505" t="s">
        <v>4280</v>
      </c>
      <c r="B1506" s="505" t="s">
        <v>4281</v>
      </c>
      <c r="C1506" s="512" t="s">
        <v>7762</v>
      </c>
      <c r="D1506" s="512" t="s">
        <v>7825</v>
      </c>
      <c r="E1506" s="512" t="s">
        <v>8839</v>
      </c>
      <c r="F1506" s="512" t="s">
        <v>8144</v>
      </c>
      <c r="G1506" s="512" t="s">
        <v>7445</v>
      </c>
      <c r="H1506" s="512" t="s">
        <v>8840</v>
      </c>
      <c r="L1506" s="505" t="s">
        <v>1233</v>
      </c>
      <c r="M1506" s="516">
        <v>4.8499999999999996</v>
      </c>
      <c r="N1506" s="505" t="s">
        <v>1233</v>
      </c>
    </row>
    <row r="1507" spans="1:14" x14ac:dyDescent="0.25">
      <c r="A1507" s="505" t="s">
        <v>4282</v>
      </c>
      <c r="B1507" s="505" t="s">
        <v>4283</v>
      </c>
      <c r="C1507" s="512" t="s">
        <v>7762</v>
      </c>
      <c r="D1507" s="512" t="s">
        <v>7825</v>
      </c>
      <c r="E1507" s="512" t="s">
        <v>8839</v>
      </c>
      <c r="F1507" s="512" t="s">
        <v>8145</v>
      </c>
      <c r="G1507" s="512" t="s">
        <v>8164</v>
      </c>
      <c r="H1507" s="512" t="s">
        <v>8840</v>
      </c>
      <c r="L1507" s="505" t="s">
        <v>1233</v>
      </c>
      <c r="M1507" s="516">
        <v>4.8499999999999996</v>
      </c>
      <c r="N1507" s="505" t="s">
        <v>1233</v>
      </c>
    </row>
    <row r="1508" spans="1:14" x14ac:dyDescent="0.25">
      <c r="A1508" s="505" t="s">
        <v>4284</v>
      </c>
      <c r="B1508" s="505" t="s">
        <v>4285</v>
      </c>
      <c r="C1508" s="512" t="s">
        <v>7762</v>
      </c>
      <c r="D1508" s="512" t="s">
        <v>7825</v>
      </c>
      <c r="E1508" s="512" t="s">
        <v>8839</v>
      </c>
      <c r="F1508" s="512" t="s">
        <v>8189</v>
      </c>
      <c r="G1508" s="512" t="s">
        <v>7881</v>
      </c>
      <c r="H1508" s="512" t="s">
        <v>8840</v>
      </c>
      <c r="L1508" s="505" t="s">
        <v>1233</v>
      </c>
      <c r="M1508" s="516">
        <v>4.51</v>
      </c>
      <c r="N1508" s="505" t="s">
        <v>1233</v>
      </c>
    </row>
    <row r="1509" spans="1:14" x14ac:dyDescent="0.25">
      <c r="A1509" s="505" t="s">
        <v>4286</v>
      </c>
      <c r="B1509" s="505" t="s">
        <v>4287</v>
      </c>
      <c r="C1509" s="512" t="s">
        <v>7762</v>
      </c>
      <c r="D1509" s="512" t="s">
        <v>7825</v>
      </c>
      <c r="E1509" s="512" t="s">
        <v>8839</v>
      </c>
      <c r="F1509" s="512" t="s">
        <v>8147</v>
      </c>
      <c r="G1509" s="512" t="s">
        <v>8840</v>
      </c>
      <c r="L1509" s="505" t="s">
        <v>1233</v>
      </c>
      <c r="M1509" s="516">
        <v>4.8499999999999996</v>
      </c>
      <c r="N1509" s="505" t="s">
        <v>1233</v>
      </c>
    </row>
    <row r="1510" spans="1:14" x14ac:dyDescent="0.25">
      <c r="A1510" s="505" t="s">
        <v>4288</v>
      </c>
      <c r="B1510" s="505" t="s">
        <v>4289</v>
      </c>
      <c r="C1510" s="512" t="s">
        <v>7762</v>
      </c>
      <c r="D1510" s="512" t="s">
        <v>7825</v>
      </c>
      <c r="E1510" s="512" t="s">
        <v>8839</v>
      </c>
      <c r="F1510" s="512" t="s">
        <v>8148</v>
      </c>
      <c r="G1510" s="512" t="s">
        <v>8840</v>
      </c>
      <c r="L1510" s="505" t="s">
        <v>1233</v>
      </c>
      <c r="M1510" s="516">
        <v>4.51</v>
      </c>
      <c r="N1510" s="505" t="s">
        <v>1233</v>
      </c>
    </row>
    <row r="1511" spans="1:14" x14ac:dyDescent="0.25">
      <c r="A1511" s="505" t="s">
        <v>4290</v>
      </c>
      <c r="B1511" s="505" t="s">
        <v>4291</v>
      </c>
      <c r="C1511" s="512" t="s">
        <v>7762</v>
      </c>
      <c r="D1511" s="512" t="s">
        <v>7825</v>
      </c>
      <c r="E1511" s="512" t="s">
        <v>8839</v>
      </c>
      <c r="F1511" s="512" t="s">
        <v>7568</v>
      </c>
      <c r="G1511" s="512" t="s">
        <v>8840</v>
      </c>
      <c r="L1511" s="505" t="s">
        <v>1233</v>
      </c>
      <c r="M1511" s="516">
        <v>4.8499999999999996</v>
      </c>
      <c r="N1511" s="505" t="s">
        <v>1233</v>
      </c>
    </row>
    <row r="1512" spans="1:14" x14ac:dyDescent="0.25">
      <c r="A1512" s="505" t="s">
        <v>4292</v>
      </c>
      <c r="B1512" s="505" t="s">
        <v>4293</v>
      </c>
      <c r="C1512" s="512" t="s">
        <v>7762</v>
      </c>
      <c r="D1512" s="512" t="s">
        <v>7825</v>
      </c>
      <c r="E1512" s="512" t="s">
        <v>8839</v>
      </c>
      <c r="F1512" s="512" t="s">
        <v>8149</v>
      </c>
      <c r="G1512" s="512" t="s">
        <v>8840</v>
      </c>
      <c r="L1512" s="505" t="s">
        <v>1233</v>
      </c>
      <c r="M1512" s="516">
        <v>4.51</v>
      </c>
      <c r="N1512" s="505" t="s">
        <v>1233</v>
      </c>
    </row>
    <row r="1513" spans="1:14" x14ac:dyDescent="0.25">
      <c r="A1513" s="505" t="s">
        <v>4294</v>
      </c>
      <c r="B1513" s="505" t="s">
        <v>4295</v>
      </c>
      <c r="C1513" s="512" t="s">
        <v>7762</v>
      </c>
      <c r="D1513" s="512" t="s">
        <v>7825</v>
      </c>
      <c r="E1513" s="512" t="s">
        <v>8839</v>
      </c>
      <c r="F1513" s="512" t="s">
        <v>7803</v>
      </c>
      <c r="G1513" s="512" t="s">
        <v>8840</v>
      </c>
      <c r="L1513" s="505" t="s">
        <v>1233</v>
      </c>
      <c r="M1513" s="516">
        <v>4.1100000000000003</v>
      </c>
      <c r="N1513" s="505" t="s">
        <v>1233</v>
      </c>
    </row>
    <row r="1514" spans="1:14" x14ac:dyDescent="0.25">
      <c r="A1514" s="505" t="s">
        <v>4296</v>
      </c>
      <c r="B1514" s="505" t="s">
        <v>4297</v>
      </c>
      <c r="C1514" s="512" t="s">
        <v>7762</v>
      </c>
      <c r="D1514" s="512" t="s">
        <v>7825</v>
      </c>
      <c r="E1514" s="512" t="s">
        <v>8839</v>
      </c>
      <c r="F1514" s="512" t="s">
        <v>8165</v>
      </c>
      <c r="G1514" s="512" t="s">
        <v>8152</v>
      </c>
      <c r="H1514" s="512" t="s">
        <v>8840</v>
      </c>
      <c r="L1514" s="505" t="s">
        <v>1233</v>
      </c>
      <c r="M1514" s="516">
        <v>4.51</v>
      </c>
      <c r="N1514" s="505" t="s">
        <v>1233</v>
      </c>
    </row>
    <row r="1515" spans="1:14" x14ac:dyDescent="0.25">
      <c r="A1515" s="505" t="s">
        <v>4298</v>
      </c>
      <c r="B1515" s="505" t="s">
        <v>4299</v>
      </c>
      <c r="C1515" s="512" t="s">
        <v>7762</v>
      </c>
      <c r="D1515" s="512" t="s">
        <v>7825</v>
      </c>
      <c r="E1515" s="512" t="s">
        <v>8839</v>
      </c>
      <c r="F1515" s="512" t="s">
        <v>8842</v>
      </c>
      <c r="G1515" s="512" t="s">
        <v>8722</v>
      </c>
      <c r="H1515" s="512" t="s">
        <v>8840</v>
      </c>
      <c r="L1515" s="505" t="s">
        <v>1233</v>
      </c>
      <c r="M1515" s="516">
        <v>4.1100000000000003</v>
      </c>
      <c r="N1515" s="505" t="s">
        <v>1233</v>
      </c>
    </row>
    <row r="1516" spans="1:14" x14ac:dyDescent="0.25">
      <c r="A1516" s="505" t="s">
        <v>4300</v>
      </c>
      <c r="B1516" s="505" t="s">
        <v>4301</v>
      </c>
      <c r="C1516" s="512" t="s">
        <v>7762</v>
      </c>
      <c r="D1516" s="512" t="s">
        <v>7825</v>
      </c>
      <c r="E1516" s="512" t="s">
        <v>8839</v>
      </c>
      <c r="F1516" s="512" t="s">
        <v>8150</v>
      </c>
      <c r="G1516" s="512" t="s">
        <v>8840</v>
      </c>
      <c r="L1516" s="505" t="s">
        <v>1233</v>
      </c>
      <c r="M1516" s="516">
        <v>4.8499999999999996</v>
      </c>
      <c r="N1516" s="505" t="s">
        <v>1233</v>
      </c>
    </row>
    <row r="1517" spans="1:14" x14ac:dyDescent="0.25">
      <c r="A1517" s="505" t="s">
        <v>4302</v>
      </c>
      <c r="B1517" s="505" t="s">
        <v>4303</v>
      </c>
      <c r="C1517" s="512" t="s">
        <v>7762</v>
      </c>
      <c r="D1517" s="512" t="s">
        <v>7825</v>
      </c>
      <c r="E1517" s="512" t="s">
        <v>8839</v>
      </c>
      <c r="F1517" s="512" t="s">
        <v>8177</v>
      </c>
      <c r="G1517" s="512" t="s">
        <v>8840</v>
      </c>
      <c r="L1517" s="505" t="s">
        <v>1233</v>
      </c>
      <c r="M1517" s="516">
        <v>4.1100000000000003</v>
      </c>
      <c r="N1517" s="505" t="s">
        <v>1233</v>
      </c>
    </row>
    <row r="1518" spans="1:14" x14ac:dyDescent="0.25">
      <c r="A1518" s="505" t="s">
        <v>4304</v>
      </c>
      <c r="B1518" s="505" t="s">
        <v>4305</v>
      </c>
      <c r="C1518" s="512" t="s">
        <v>7762</v>
      </c>
      <c r="D1518" s="512" t="s">
        <v>7825</v>
      </c>
      <c r="E1518" s="512" t="s">
        <v>8839</v>
      </c>
      <c r="F1518" s="512" t="s">
        <v>8030</v>
      </c>
      <c r="G1518" s="512" t="s">
        <v>8840</v>
      </c>
      <c r="L1518" s="505" t="s">
        <v>1233</v>
      </c>
      <c r="M1518" s="516">
        <v>4.51</v>
      </c>
      <c r="N1518" s="505" t="s">
        <v>1233</v>
      </c>
    </row>
    <row r="1519" spans="1:14" x14ac:dyDescent="0.25">
      <c r="A1519" s="505" t="s">
        <v>4306</v>
      </c>
      <c r="B1519" s="505" t="s">
        <v>4307</v>
      </c>
      <c r="C1519" s="512" t="s">
        <v>7762</v>
      </c>
      <c r="D1519" s="512" t="s">
        <v>7825</v>
      </c>
      <c r="E1519" s="512" t="s">
        <v>8839</v>
      </c>
      <c r="F1519" s="512" t="s">
        <v>8166</v>
      </c>
      <c r="G1519" s="512" t="s">
        <v>8154</v>
      </c>
      <c r="H1519" s="512" t="s">
        <v>8840</v>
      </c>
      <c r="L1519" s="505" t="s">
        <v>1233</v>
      </c>
      <c r="M1519" s="516">
        <v>4.51</v>
      </c>
      <c r="N1519" s="505" t="s">
        <v>1233</v>
      </c>
    </row>
    <row r="1520" spans="1:14" x14ac:dyDescent="0.25">
      <c r="A1520" s="505" t="s">
        <v>4308</v>
      </c>
      <c r="B1520" s="505" t="s">
        <v>4309</v>
      </c>
      <c r="C1520" s="512" t="s">
        <v>7762</v>
      </c>
      <c r="D1520" s="512" t="s">
        <v>7825</v>
      </c>
      <c r="E1520" s="512" t="s">
        <v>8839</v>
      </c>
      <c r="F1520" s="512" t="s">
        <v>8155</v>
      </c>
      <c r="G1520" s="512" t="s">
        <v>7892</v>
      </c>
      <c r="H1520" s="512" t="s">
        <v>8840</v>
      </c>
      <c r="L1520" s="505" t="s">
        <v>1233</v>
      </c>
      <c r="M1520" s="516">
        <v>4.51</v>
      </c>
      <c r="N1520" s="505" t="s">
        <v>1233</v>
      </c>
    </row>
    <row r="1521" spans="1:14" x14ac:dyDescent="0.25">
      <c r="A1521" s="505" t="s">
        <v>4310</v>
      </c>
      <c r="B1521" s="505" t="s">
        <v>4311</v>
      </c>
      <c r="C1521" s="512" t="s">
        <v>7762</v>
      </c>
      <c r="D1521" s="512" t="s">
        <v>7825</v>
      </c>
      <c r="E1521" s="512" t="s">
        <v>8839</v>
      </c>
      <c r="F1521" s="512" t="s">
        <v>8156</v>
      </c>
      <c r="G1521" s="512" t="s">
        <v>8168</v>
      </c>
      <c r="H1521" s="512" t="s">
        <v>8840</v>
      </c>
      <c r="L1521" s="505" t="s">
        <v>1233</v>
      </c>
      <c r="M1521" s="516">
        <v>4.8499999999999996</v>
      </c>
      <c r="N1521" s="505" t="s">
        <v>1233</v>
      </c>
    </row>
    <row r="1522" spans="1:14" x14ac:dyDescent="0.25">
      <c r="A1522" s="505" t="s">
        <v>4312</v>
      </c>
      <c r="B1522" s="505" t="s">
        <v>4313</v>
      </c>
      <c r="C1522" s="512" t="s">
        <v>7762</v>
      </c>
      <c r="D1522" s="512" t="s">
        <v>7825</v>
      </c>
      <c r="E1522" s="512" t="s">
        <v>8839</v>
      </c>
      <c r="F1522" s="512" t="s">
        <v>8185</v>
      </c>
      <c r="G1522" s="512" t="s">
        <v>8179</v>
      </c>
      <c r="H1522" s="512" t="s">
        <v>8840</v>
      </c>
      <c r="L1522" s="505" t="s">
        <v>1233</v>
      </c>
      <c r="M1522" s="516">
        <v>4.1100000000000003</v>
      </c>
      <c r="N1522" s="505" t="s">
        <v>1233</v>
      </c>
    </row>
    <row r="1523" spans="1:14" x14ac:dyDescent="0.25">
      <c r="A1523" s="505" t="s">
        <v>4314</v>
      </c>
      <c r="B1523" s="505" t="s">
        <v>4315</v>
      </c>
      <c r="C1523" s="512" t="s">
        <v>7762</v>
      </c>
      <c r="D1523" s="512" t="s">
        <v>7825</v>
      </c>
      <c r="E1523" s="512" t="s">
        <v>8574</v>
      </c>
      <c r="F1523" s="512" t="s">
        <v>8575</v>
      </c>
      <c r="G1523" s="512" t="s">
        <v>8158</v>
      </c>
      <c r="H1523" s="512" t="s">
        <v>8840</v>
      </c>
      <c r="L1523" s="505" t="s">
        <v>1233</v>
      </c>
      <c r="M1523" s="516">
        <v>4.51</v>
      </c>
      <c r="N1523" s="505" t="s">
        <v>1233</v>
      </c>
    </row>
    <row r="1524" spans="1:14" x14ac:dyDescent="0.25">
      <c r="A1524" s="505" t="s">
        <v>4316</v>
      </c>
      <c r="B1524" s="505" t="s">
        <v>4317</v>
      </c>
      <c r="C1524" s="512" t="s">
        <v>7762</v>
      </c>
      <c r="D1524" s="512" t="s">
        <v>7825</v>
      </c>
      <c r="E1524" s="512" t="s">
        <v>8839</v>
      </c>
      <c r="F1524" s="512" t="s">
        <v>8843</v>
      </c>
      <c r="G1524" s="512" t="s">
        <v>7549</v>
      </c>
      <c r="H1524" s="512" t="s">
        <v>8840</v>
      </c>
      <c r="L1524" s="505" t="s">
        <v>1233</v>
      </c>
      <c r="M1524" s="516">
        <v>4.8499999999999996</v>
      </c>
      <c r="N1524" s="505" t="s">
        <v>1233</v>
      </c>
    </row>
    <row r="1525" spans="1:14" x14ac:dyDescent="0.25">
      <c r="A1525" s="505" t="s">
        <v>4318</v>
      </c>
      <c r="B1525" s="505" t="s">
        <v>4319</v>
      </c>
      <c r="C1525" s="512" t="s">
        <v>7762</v>
      </c>
      <c r="D1525" s="512" t="s">
        <v>7825</v>
      </c>
      <c r="E1525" s="512" t="s">
        <v>8839</v>
      </c>
      <c r="F1525" s="512" t="s">
        <v>7721</v>
      </c>
      <c r="G1525" s="512" t="s">
        <v>8840</v>
      </c>
      <c r="L1525" s="505" t="s">
        <v>1233</v>
      </c>
      <c r="M1525" s="516">
        <v>4.1100000000000003</v>
      </c>
      <c r="N1525" s="505" t="s">
        <v>1233</v>
      </c>
    </row>
    <row r="1526" spans="1:14" x14ac:dyDescent="0.25">
      <c r="A1526" s="505" t="s">
        <v>4320</v>
      </c>
      <c r="B1526" s="505" t="s">
        <v>4321</v>
      </c>
      <c r="C1526" s="512" t="s">
        <v>7762</v>
      </c>
      <c r="D1526" s="512" t="s">
        <v>7825</v>
      </c>
      <c r="E1526" s="512" t="s">
        <v>8839</v>
      </c>
      <c r="F1526" s="512" t="s">
        <v>7804</v>
      </c>
      <c r="G1526" s="512" t="s">
        <v>8840</v>
      </c>
      <c r="L1526" s="505" t="s">
        <v>1233</v>
      </c>
      <c r="M1526" s="516">
        <v>4.1100000000000003</v>
      </c>
      <c r="N1526" s="505" t="s">
        <v>1233</v>
      </c>
    </row>
    <row r="1527" spans="1:14" x14ac:dyDescent="0.25">
      <c r="A1527" s="505" t="s">
        <v>4322</v>
      </c>
      <c r="B1527" s="505" t="s">
        <v>4323</v>
      </c>
      <c r="C1527" s="512" t="s">
        <v>7762</v>
      </c>
      <c r="D1527" s="512" t="s">
        <v>7825</v>
      </c>
      <c r="E1527" s="512" t="s">
        <v>8839</v>
      </c>
      <c r="F1527" s="512" t="s">
        <v>8170</v>
      </c>
      <c r="G1527" s="512" t="s">
        <v>8840</v>
      </c>
      <c r="L1527" s="505" t="s">
        <v>1233</v>
      </c>
      <c r="M1527" s="516">
        <v>4.8499999999999996</v>
      </c>
      <c r="N1527" s="505" t="s">
        <v>1233</v>
      </c>
    </row>
    <row r="1528" spans="1:14" x14ac:dyDescent="0.25">
      <c r="A1528" s="505" t="s">
        <v>4324</v>
      </c>
      <c r="B1528" s="505" t="s">
        <v>4325</v>
      </c>
      <c r="C1528" s="512" t="s">
        <v>7762</v>
      </c>
      <c r="D1528" s="512" t="s">
        <v>7893</v>
      </c>
      <c r="E1528" s="512" t="s">
        <v>8844</v>
      </c>
      <c r="F1528" s="512" t="s">
        <v>8813</v>
      </c>
      <c r="G1528" s="512" t="s">
        <v>7445</v>
      </c>
      <c r="H1528" s="512" t="s">
        <v>7489</v>
      </c>
      <c r="I1528" s="512" t="s">
        <v>8845</v>
      </c>
      <c r="L1528" s="505" t="s">
        <v>1233</v>
      </c>
      <c r="M1528" s="516">
        <v>11.9</v>
      </c>
      <c r="N1528" s="505" t="s">
        <v>1233</v>
      </c>
    </row>
    <row r="1529" spans="1:14" x14ac:dyDescent="0.25">
      <c r="A1529" s="505" t="s">
        <v>4326</v>
      </c>
      <c r="B1529" s="505" t="s">
        <v>4327</v>
      </c>
      <c r="C1529" s="512" t="s">
        <v>7762</v>
      </c>
      <c r="D1529" s="512" t="s">
        <v>7893</v>
      </c>
      <c r="E1529" s="512" t="s">
        <v>8844</v>
      </c>
      <c r="F1529" s="512" t="s">
        <v>8813</v>
      </c>
      <c r="G1529" s="512" t="s">
        <v>7447</v>
      </c>
      <c r="H1529" s="512" t="s">
        <v>8845</v>
      </c>
      <c r="L1529" s="505" t="s">
        <v>1233</v>
      </c>
      <c r="M1529" s="516">
        <v>11.9</v>
      </c>
      <c r="N1529" s="505" t="s">
        <v>1233</v>
      </c>
    </row>
    <row r="1530" spans="1:14" x14ac:dyDescent="0.25">
      <c r="A1530" s="505" t="s">
        <v>4328</v>
      </c>
      <c r="B1530" s="505" t="s">
        <v>4329</v>
      </c>
      <c r="C1530" s="512" t="s">
        <v>7762</v>
      </c>
      <c r="D1530" s="512" t="s">
        <v>7893</v>
      </c>
      <c r="E1530" s="512" t="s">
        <v>8844</v>
      </c>
      <c r="F1530" s="512" t="s">
        <v>8813</v>
      </c>
      <c r="G1530" s="512" t="s">
        <v>8140</v>
      </c>
      <c r="H1530" s="512" t="s">
        <v>8845</v>
      </c>
      <c r="L1530" s="505" t="s">
        <v>1233</v>
      </c>
      <c r="M1530" s="516">
        <v>13.42</v>
      </c>
      <c r="N1530" s="505" t="s">
        <v>1233</v>
      </c>
    </row>
    <row r="1531" spans="1:14" x14ac:dyDescent="0.25">
      <c r="A1531" s="505" t="s">
        <v>4330</v>
      </c>
      <c r="B1531" s="505" t="s">
        <v>4331</v>
      </c>
      <c r="C1531" s="512" t="s">
        <v>7762</v>
      </c>
      <c r="D1531" s="512" t="s">
        <v>7893</v>
      </c>
      <c r="E1531" s="512" t="s">
        <v>8844</v>
      </c>
      <c r="F1531" s="512" t="s">
        <v>8813</v>
      </c>
      <c r="G1531" s="512" t="s">
        <v>8173</v>
      </c>
      <c r="H1531" s="512" t="s">
        <v>8845</v>
      </c>
      <c r="L1531" s="505" t="s">
        <v>1233</v>
      </c>
      <c r="M1531" s="516">
        <v>13.1</v>
      </c>
      <c r="N1531" s="505" t="s">
        <v>1233</v>
      </c>
    </row>
    <row r="1532" spans="1:14" x14ac:dyDescent="0.25">
      <c r="A1532" s="505" t="s">
        <v>4332</v>
      </c>
      <c r="B1532" s="505" t="s">
        <v>4333</v>
      </c>
      <c r="C1532" s="512" t="s">
        <v>7762</v>
      </c>
      <c r="D1532" s="512" t="s">
        <v>7893</v>
      </c>
      <c r="E1532" s="512" t="s">
        <v>8844</v>
      </c>
      <c r="F1532" s="512" t="s">
        <v>8813</v>
      </c>
      <c r="G1532" s="512" t="s">
        <v>7596</v>
      </c>
      <c r="H1532" s="512" t="s">
        <v>7489</v>
      </c>
      <c r="I1532" s="512" t="s">
        <v>8845</v>
      </c>
      <c r="L1532" s="505" t="s">
        <v>1233</v>
      </c>
      <c r="M1532" s="516">
        <v>11.9</v>
      </c>
      <c r="N1532" s="505" t="s">
        <v>1233</v>
      </c>
    </row>
    <row r="1533" spans="1:14" x14ac:dyDescent="0.25">
      <c r="A1533" s="505" t="s">
        <v>4334</v>
      </c>
      <c r="B1533" s="505" t="s">
        <v>4335</v>
      </c>
      <c r="C1533" s="512" t="s">
        <v>7762</v>
      </c>
      <c r="D1533" s="512" t="s">
        <v>7893</v>
      </c>
      <c r="E1533" s="512" t="s">
        <v>8844</v>
      </c>
      <c r="F1533" s="512" t="s">
        <v>8813</v>
      </c>
      <c r="G1533" s="512" t="s">
        <v>8183</v>
      </c>
      <c r="H1533" s="512" t="s">
        <v>8845</v>
      </c>
      <c r="L1533" s="505" t="s">
        <v>1233</v>
      </c>
      <c r="M1533" s="516">
        <v>11.9</v>
      </c>
      <c r="N1533" s="505" t="s">
        <v>1233</v>
      </c>
    </row>
    <row r="1534" spans="1:14" x14ac:dyDescent="0.25">
      <c r="A1534" s="505" t="s">
        <v>4336</v>
      </c>
      <c r="B1534" s="505" t="s">
        <v>4337</v>
      </c>
      <c r="C1534" s="512" t="s">
        <v>7762</v>
      </c>
      <c r="D1534" s="512" t="s">
        <v>7893</v>
      </c>
      <c r="E1534" s="512" t="s">
        <v>8844</v>
      </c>
      <c r="F1534" s="512" t="s">
        <v>8813</v>
      </c>
      <c r="G1534" s="512" t="s">
        <v>7454</v>
      </c>
      <c r="H1534" s="512" t="s">
        <v>8845</v>
      </c>
      <c r="L1534" s="505" t="s">
        <v>1233</v>
      </c>
      <c r="M1534" s="516">
        <v>13.42</v>
      </c>
      <c r="N1534" s="505" t="s">
        <v>1233</v>
      </c>
    </row>
    <row r="1535" spans="1:14" x14ac:dyDescent="0.25">
      <c r="A1535" s="505" t="s">
        <v>4338</v>
      </c>
      <c r="B1535" s="505" t="s">
        <v>4339</v>
      </c>
      <c r="C1535" s="512" t="s">
        <v>7762</v>
      </c>
      <c r="D1535" s="512" t="s">
        <v>7893</v>
      </c>
      <c r="E1535" s="512" t="s">
        <v>8844</v>
      </c>
      <c r="F1535" s="512" t="s">
        <v>8813</v>
      </c>
      <c r="G1535" s="512" t="s">
        <v>8162</v>
      </c>
      <c r="H1535" s="512" t="s">
        <v>8632</v>
      </c>
      <c r="I1535" s="512" t="s">
        <v>8845</v>
      </c>
      <c r="L1535" s="505" t="s">
        <v>1233</v>
      </c>
      <c r="M1535" s="516">
        <v>13.42</v>
      </c>
      <c r="N1535" s="505" t="s">
        <v>1233</v>
      </c>
    </row>
    <row r="1536" spans="1:14" x14ac:dyDescent="0.25">
      <c r="A1536" s="505" t="s">
        <v>4340</v>
      </c>
      <c r="B1536" s="505" t="s">
        <v>4341</v>
      </c>
      <c r="C1536" s="512" t="s">
        <v>7762</v>
      </c>
      <c r="D1536" s="512" t="s">
        <v>7893</v>
      </c>
      <c r="E1536" s="512" t="s">
        <v>8844</v>
      </c>
      <c r="F1536" s="512" t="s">
        <v>8813</v>
      </c>
      <c r="G1536" s="512" t="s">
        <v>8176</v>
      </c>
      <c r="H1536" s="512" t="s">
        <v>8845</v>
      </c>
      <c r="L1536" s="505" t="s">
        <v>1233</v>
      </c>
      <c r="M1536" s="516">
        <v>11.9</v>
      </c>
      <c r="N1536" s="505" t="s">
        <v>1233</v>
      </c>
    </row>
    <row r="1537" spans="1:14" x14ac:dyDescent="0.25">
      <c r="A1537" s="505" t="s">
        <v>4342</v>
      </c>
      <c r="B1537" s="505" t="s">
        <v>4343</v>
      </c>
      <c r="C1537" s="512" t="s">
        <v>7762</v>
      </c>
      <c r="D1537" s="512" t="s">
        <v>7893</v>
      </c>
      <c r="E1537" s="512" t="s">
        <v>8844</v>
      </c>
      <c r="F1537" s="512" t="s">
        <v>8813</v>
      </c>
      <c r="G1537" s="512" t="s">
        <v>7440</v>
      </c>
      <c r="H1537" s="512" t="s">
        <v>8841</v>
      </c>
      <c r="I1537" s="512" t="s">
        <v>8845</v>
      </c>
      <c r="L1537" s="505" t="s">
        <v>1233</v>
      </c>
      <c r="M1537" s="516">
        <v>11.9</v>
      </c>
      <c r="N1537" s="505" t="s">
        <v>1233</v>
      </c>
    </row>
    <row r="1538" spans="1:14" x14ac:dyDescent="0.25">
      <c r="A1538" s="505" t="s">
        <v>4344</v>
      </c>
      <c r="B1538" s="505" t="s">
        <v>4345</v>
      </c>
      <c r="C1538" s="512" t="s">
        <v>7762</v>
      </c>
      <c r="D1538" s="512" t="s">
        <v>7893</v>
      </c>
      <c r="E1538" s="512" t="s">
        <v>8844</v>
      </c>
      <c r="F1538" s="512" t="s">
        <v>8813</v>
      </c>
      <c r="G1538" s="512" t="s">
        <v>7888</v>
      </c>
      <c r="H1538" s="512" t="s">
        <v>8845</v>
      </c>
      <c r="L1538" s="505" t="s">
        <v>1233</v>
      </c>
      <c r="M1538" s="516">
        <v>13.42</v>
      </c>
      <c r="N1538" s="505" t="s">
        <v>1233</v>
      </c>
    </row>
    <row r="1539" spans="1:14" x14ac:dyDescent="0.25">
      <c r="A1539" s="505" t="s">
        <v>4346</v>
      </c>
      <c r="B1539" s="505" t="s">
        <v>4347</v>
      </c>
      <c r="C1539" s="512" t="s">
        <v>7762</v>
      </c>
      <c r="D1539" s="512" t="s">
        <v>7893</v>
      </c>
      <c r="E1539" s="512" t="s">
        <v>8844</v>
      </c>
      <c r="F1539" s="512" t="s">
        <v>8813</v>
      </c>
      <c r="G1539" s="512" t="s">
        <v>7889</v>
      </c>
      <c r="H1539" s="512" t="s">
        <v>8845</v>
      </c>
      <c r="L1539" s="505" t="s">
        <v>1233</v>
      </c>
      <c r="M1539" s="516">
        <v>11.9</v>
      </c>
      <c r="N1539" s="505" t="s">
        <v>1233</v>
      </c>
    </row>
    <row r="1540" spans="1:14" x14ac:dyDescent="0.25">
      <c r="A1540" s="505" t="s">
        <v>4348</v>
      </c>
      <c r="B1540" s="505" t="s">
        <v>4349</v>
      </c>
      <c r="C1540" s="512" t="s">
        <v>7762</v>
      </c>
      <c r="D1540" s="512" t="s">
        <v>7893</v>
      </c>
      <c r="E1540" s="512" t="s">
        <v>8844</v>
      </c>
      <c r="F1540" s="512" t="s">
        <v>8813</v>
      </c>
      <c r="G1540" s="512" t="s">
        <v>8144</v>
      </c>
      <c r="H1540" s="512" t="s">
        <v>7445</v>
      </c>
      <c r="I1540" s="512" t="s">
        <v>8845</v>
      </c>
      <c r="L1540" s="505" t="s">
        <v>1233</v>
      </c>
      <c r="M1540" s="516">
        <v>13.42</v>
      </c>
      <c r="N1540" s="505" t="s">
        <v>1233</v>
      </c>
    </row>
    <row r="1541" spans="1:14" x14ac:dyDescent="0.25">
      <c r="A1541" s="505" t="s">
        <v>4350</v>
      </c>
      <c r="B1541" s="505" t="s">
        <v>4351</v>
      </c>
      <c r="C1541" s="512" t="s">
        <v>7762</v>
      </c>
      <c r="D1541" s="512" t="s">
        <v>7893</v>
      </c>
      <c r="E1541" s="512" t="s">
        <v>8844</v>
      </c>
      <c r="F1541" s="512" t="s">
        <v>8813</v>
      </c>
      <c r="G1541" s="512" t="s">
        <v>8145</v>
      </c>
      <c r="H1541" s="512" t="s">
        <v>8164</v>
      </c>
      <c r="I1541" s="512" t="s">
        <v>8845</v>
      </c>
      <c r="L1541" s="505" t="s">
        <v>1233</v>
      </c>
      <c r="M1541" s="516">
        <v>13.42</v>
      </c>
      <c r="N1541" s="505" t="s">
        <v>1233</v>
      </c>
    </row>
    <row r="1542" spans="1:14" x14ac:dyDescent="0.25">
      <c r="A1542" s="505" t="s">
        <v>4352</v>
      </c>
      <c r="B1542" s="505" t="s">
        <v>4353</v>
      </c>
      <c r="C1542" s="512" t="s">
        <v>7762</v>
      </c>
      <c r="D1542" s="512" t="s">
        <v>7893</v>
      </c>
      <c r="E1542" s="512" t="s">
        <v>8844</v>
      </c>
      <c r="F1542" s="512" t="s">
        <v>8813</v>
      </c>
      <c r="G1542" s="512" t="s">
        <v>8189</v>
      </c>
      <c r="H1542" s="512" t="s">
        <v>7881</v>
      </c>
      <c r="I1542" s="512" t="s">
        <v>8845</v>
      </c>
      <c r="L1542" s="505" t="s">
        <v>1233</v>
      </c>
      <c r="M1542" s="516">
        <v>13.1</v>
      </c>
      <c r="N1542" s="505" t="s">
        <v>1233</v>
      </c>
    </row>
    <row r="1543" spans="1:14" x14ac:dyDescent="0.25">
      <c r="A1543" s="505" t="s">
        <v>4354</v>
      </c>
      <c r="B1543" s="505" t="s">
        <v>4355</v>
      </c>
      <c r="C1543" s="512" t="s">
        <v>7762</v>
      </c>
      <c r="D1543" s="512" t="s">
        <v>7893</v>
      </c>
      <c r="E1543" s="512" t="s">
        <v>8844</v>
      </c>
      <c r="F1543" s="512" t="s">
        <v>8813</v>
      </c>
      <c r="G1543" s="512" t="s">
        <v>8147</v>
      </c>
      <c r="H1543" s="512" t="s">
        <v>8845</v>
      </c>
      <c r="L1543" s="505" t="s">
        <v>1233</v>
      </c>
      <c r="M1543" s="516">
        <v>13.42</v>
      </c>
      <c r="N1543" s="505" t="s">
        <v>1233</v>
      </c>
    </row>
    <row r="1544" spans="1:14" x14ac:dyDescent="0.25">
      <c r="A1544" s="505" t="s">
        <v>4356</v>
      </c>
      <c r="B1544" s="505" t="s">
        <v>4357</v>
      </c>
      <c r="C1544" s="512" t="s">
        <v>7762</v>
      </c>
      <c r="D1544" s="512" t="s">
        <v>7893</v>
      </c>
      <c r="E1544" s="512" t="s">
        <v>8844</v>
      </c>
      <c r="F1544" s="512" t="s">
        <v>8813</v>
      </c>
      <c r="G1544" s="512" t="s">
        <v>8846</v>
      </c>
      <c r="H1544" s="512" t="s">
        <v>8845</v>
      </c>
      <c r="L1544" s="505" t="s">
        <v>1233</v>
      </c>
      <c r="M1544" s="516">
        <v>13.1</v>
      </c>
      <c r="N1544" s="505" t="s">
        <v>1233</v>
      </c>
    </row>
    <row r="1545" spans="1:14" x14ac:dyDescent="0.25">
      <c r="A1545" s="505" t="s">
        <v>4358</v>
      </c>
      <c r="B1545" s="505" t="s">
        <v>4359</v>
      </c>
      <c r="C1545" s="512" t="s">
        <v>7762</v>
      </c>
      <c r="D1545" s="512" t="s">
        <v>7893</v>
      </c>
      <c r="E1545" s="512" t="s">
        <v>8844</v>
      </c>
      <c r="F1545" s="512" t="s">
        <v>8813</v>
      </c>
      <c r="G1545" s="512" t="s">
        <v>7568</v>
      </c>
      <c r="H1545" s="512" t="s">
        <v>8845</v>
      </c>
      <c r="L1545" s="505" t="s">
        <v>1233</v>
      </c>
      <c r="M1545" s="516">
        <v>13.42</v>
      </c>
      <c r="N1545" s="505" t="s">
        <v>1233</v>
      </c>
    </row>
    <row r="1546" spans="1:14" x14ac:dyDescent="0.25">
      <c r="A1546" s="505" t="s">
        <v>4360</v>
      </c>
      <c r="B1546" s="505" t="s">
        <v>4361</v>
      </c>
      <c r="C1546" s="512" t="s">
        <v>7762</v>
      </c>
      <c r="D1546" s="512" t="s">
        <v>7893</v>
      </c>
      <c r="E1546" s="512" t="s">
        <v>8844</v>
      </c>
      <c r="F1546" s="512" t="s">
        <v>8813</v>
      </c>
      <c r="G1546" s="512" t="s">
        <v>8149</v>
      </c>
      <c r="H1546" s="512" t="s">
        <v>8845</v>
      </c>
      <c r="L1546" s="505" t="s">
        <v>1233</v>
      </c>
      <c r="M1546" s="516">
        <v>13.1</v>
      </c>
      <c r="N1546" s="505" t="s">
        <v>1233</v>
      </c>
    </row>
    <row r="1547" spans="1:14" x14ac:dyDescent="0.25">
      <c r="A1547" s="505" t="s">
        <v>4362</v>
      </c>
      <c r="B1547" s="505" t="s">
        <v>4363</v>
      </c>
      <c r="C1547" s="512" t="s">
        <v>7762</v>
      </c>
      <c r="D1547" s="512" t="s">
        <v>7893</v>
      </c>
      <c r="E1547" s="512" t="s">
        <v>8844</v>
      </c>
      <c r="F1547" s="512" t="s">
        <v>8813</v>
      </c>
      <c r="G1547" s="512" t="s">
        <v>7803</v>
      </c>
      <c r="H1547" s="512" t="s">
        <v>8845</v>
      </c>
      <c r="L1547" s="505" t="s">
        <v>1233</v>
      </c>
      <c r="M1547" s="516">
        <v>11.9</v>
      </c>
      <c r="N1547" s="505" t="s">
        <v>1233</v>
      </c>
    </row>
    <row r="1548" spans="1:14" x14ac:dyDescent="0.25">
      <c r="A1548" s="505" t="s">
        <v>4364</v>
      </c>
      <c r="B1548" s="505" t="s">
        <v>4365</v>
      </c>
      <c r="C1548" s="512" t="s">
        <v>7762</v>
      </c>
      <c r="D1548" s="512" t="s">
        <v>7893</v>
      </c>
      <c r="E1548" s="512" t="s">
        <v>8844</v>
      </c>
      <c r="F1548" s="512" t="s">
        <v>8813</v>
      </c>
      <c r="G1548" s="512" t="s">
        <v>8165</v>
      </c>
      <c r="H1548" s="512" t="s">
        <v>8152</v>
      </c>
      <c r="I1548" s="512" t="s">
        <v>8845</v>
      </c>
      <c r="L1548" s="505" t="s">
        <v>1233</v>
      </c>
      <c r="M1548" s="516">
        <v>13.1</v>
      </c>
      <c r="N1548" s="505" t="s">
        <v>1233</v>
      </c>
    </row>
    <row r="1549" spans="1:14" x14ac:dyDescent="0.25">
      <c r="A1549" s="505" t="s">
        <v>4366</v>
      </c>
      <c r="B1549" s="505" t="s">
        <v>4367</v>
      </c>
      <c r="C1549" s="512" t="s">
        <v>7762</v>
      </c>
      <c r="D1549" s="512" t="s">
        <v>7893</v>
      </c>
      <c r="E1549" s="512" t="s">
        <v>8844</v>
      </c>
      <c r="F1549" s="512" t="s">
        <v>8813</v>
      </c>
      <c r="G1549" s="512" t="s">
        <v>8030</v>
      </c>
      <c r="H1549" s="512" t="s">
        <v>8845</v>
      </c>
      <c r="L1549" s="505" t="s">
        <v>1233</v>
      </c>
      <c r="M1549" s="516">
        <v>13.1</v>
      </c>
      <c r="N1549" s="505" t="s">
        <v>1233</v>
      </c>
    </row>
    <row r="1550" spans="1:14" x14ac:dyDescent="0.25">
      <c r="A1550" s="505" t="s">
        <v>4368</v>
      </c>
      <c r="B1550" s="505" t="s">
        <v>4369</v>
      </c>
      <c r="C1550" s="512" t="s">
        <v>7762</v>
      </c>
      <c r="D1550" s="512" t="s">
        <v>7893</v>
      </c>
      <c r="E1550" s="512" t="s">
        <v>8844</v>
      </c>
      <c r="F1550" s="512" t="s">
        <v>8813</v>
      </c>
      <c r="G1550" s="512" t="s">
        <v>8150</v>
      </c>
      <c r="H1550" s="512" t="s">
        <v>8845</v>
      </c>
      <c r="L1550" s="505" t="s">
        <v>1233</v>
      </c>
      <c r="M1550" s="516">
        <v>13.42</v>
      </c>
      <c r="N1550" s="505" t="s">
        <v>1233</v>
      </c>
    </row>
    <row r="1551" spans="1:14" x14ac:dyDescent="0.25">
      <c r="A1551" s="505" t="s">
        <v>4370</v>
      </c>
      <c r="B1551" s="505" t="s">
        <v>4371</v>
      </c>
      <c r="C1551" s="512" t="s">
        <v>7762</v>
      </c>
      <c r="D1551" s="512" t="s">
        <v>7893</v>
      </c>
      <c r="E1551" s="512" t="s">
        <v>8844</v>
      </c>
      <c r="F1551" s="512" t="s">
        <v>8813</v>
      </c>
      <c r="G1551" s="512" t="s">
        <v>8177</v>
      </c>
      <c r="H1551" s="512" t="s">
        <v>8845</v>
      </c>
      <c r="L1551" s="505" t="s">
        <v>1233</v>
      </c>
      <c r="M1551" s="516">
        <v>11.9</v>
      </c>
      <c r="N1551" s="505" t="s">
        <v>1233</v>
      </c>
    </row>
    <row r="1552" spans="1:14" x14ac:dyDescent="0.25">
      <c r="A1552" s="505" t="s">
        <v>4372</v>
      </c>
      <c r="B1552" s="505" t="s">
        <v>4373</v>
      </c>
      <c r="C1552" s="512" t="s">
        <v>7762</v>
      </c>
      <c r="D1552" s="512" t="s">
        <v>7893</v>
      </c>
      <c r="E1552" s="512" t="s">
        <v>8844</v>
      </c>
      <c r="F1552" s="512" t="s">
        <v>8813</v>
      </c>
      <c r="G1552" s="512" t="s">
        <v>8166</v>
      </c>
      <c r="H1552" s="512" t="s">
        <v>8154</v>
      </c>
      <c r="I1552" s="512" t="s">
        <v>8845</v>
      </c>
      <c r="L1552" s="505" t="s">
        <v>1233</v>
      </c>
      <c r="M1552" s="516">
        <v>13.1</v>
      </c>
      <c r="N1552" s="505" t="s">
        <v>1233</v>
      </c>
    </row>
    <row r="1553" spans="1:14" x14ac:dyDescent="0.25">
      <c r="A1553" s="505" t="s">
        <v>4374</v>
      </c>
      <c r="B1553" s="505" t="s">
        <v>4375</v>
      </c>
      <c r="C1553" s="512" t="s">
        <v>7762</v>
      </c>
      <c r="D1553" s="512" t="s">
        <v>7893</v>
      </c>
      <c r="E1553" s="512" t="s">
        <v>8844</v>
      </c>
      <c r="F1553" s="512" t="s">
        <v>8813</v>
      </c>
      <c r="G1553" s="512" t="s">
        <v>8155</v>
      </c>
      <c r="H1553" s="512" t="s">
        <v>7892</v>
      </c>
      <c r="I1553" s="512" t="s">
        <v>8845</v>
      </c>
      <c r="L1553" s="505" t="s">
        <v>1233</v>
      </c>
      <c r="M1553" s="516">
        <v>13.1</v>
      </c>
      <c r="N1553" s="505" t="s">
        <v>1233</v>
      </c>
    </row>
    <row r="1554" spans="1:14" x14ac:dyDescent="0.25">
      <c r="A1554" s="505" t="s">
        <v>4376</v>
      </c>
      <c r="B1554" s="505" t="s">
        <v>4377</v>
      </c>
      <c r="C1554" s="512" t="s">
        <v>7762</v>
      </c>
      <c r="D1554" s="512" t="s">
        <v>7893</v>
      </c>
      <c r="E1554" s="512" t="s">
        <v>8844</v>
      </c>
      <c r="F1554" s="512" t="s">
        <v>8813</v>
      </c>
      <c r="G1554" s="512" t="s">
        <v>8156</v>
      </c>
      <c r="H1554" s="512" t="s">
        <v>8168</v>
      </c>
      <c r="I1554" s="512" t="s">
        <v>8845</v>
      </c>
      <c r="L1554" s="505" t="s">
        <v>1233</v>
      </c>
      <c r="M1554" s="516">
        <v>13.42</v>
      </c>
      <c r="N1554" s="505" t="s">
        <v>1233</v>
      </c>
    </row>
    <row r="1555" spans="1:14" x14ac:dyDescent="0.25">
      <c r="A1555" s="505" t="s">
        <v>4378</v>
      </c>
      <c r="B1555" s="505" t="s">
        <v>4379</v>
      </c>
      <c r="C1555" s="512" t="s">
        <v>7762</v>
      </c>
      <c r="D1555" s="512" t="s">
        <v>7893</v>
      </c>
      <c r="E1555" s="512" t="s">
        <v>8844</v>
      </c>
      <c r="F1555" s="512" t="s">
        <v>8813</v>
      </c>
      <c r="G1555" s="512" t="s">
        <v>8185</v>
      </c>
      <c r="H1555" s="512" t="s">
        <v>8179</v>
      </c>
      <c r="I1555" s="512" t="s">
        <v>8845</v>
      </c>
      <c r="L1555" s="505" t="s">
        <v>1233</v>
      </c>
      <c r="M1555" s="516">
        <v>11.9</v>
      </c>
      <c r="N1555" s="505" t="s">
        <v>1233</v>
      </c>
    </row>
    <row r="1556" spans="1:14" x14ac:dyDescent="0.25">
      <c r="A1556" s="505" t="s">
        <v>4380</v>
      </c>
      <c r="B1556" s="505" t="s">
        <v>4381</v>
      </c>
      <c r="C1556" s="512" t="s">
        <v>7762</v>
      </c>
      <c r="D1556" s="512" t="s">
        <v>7893</v>
      </c>
      <c r="E1556" s="512" t="s">
        <v>8844</v>
      </c>
      <c r="F1556" s="512" t="s">
        <v>8813</v>
      </c>
      <c r="G1556" s="512" t="s">
        <v>8158</v>
      </c>
      <c r="H1556" s="512" t="s">
        <v>8845</v>
      </c>
      <c r="L1556" s="505" t="s">
        <v>1233</v>
      </c>
      <c r="M1556" s="516">
        <v>13.1</v>
      </c>
      <c r="N1556" s="505" t="s">
        <v>1233</v>
      </c>
    </row>
    <row r="1557" spans="1:14" x14ac:dyDescent="0.25">
      <c r="A1557" s="505" t="s">
        <v>4382</v>
      </c>
      <c r="B1557" s="505" t="s">
        <v>4383</v>
      </c>
      <c r="C1557" s="512" t="s">
        <v>7762</v>
      </c>
      <c r="D1557" s="512" t="s">
        <v>7893</v>
      </c>
      <c r="E1557" s="512" t="s">
        <v>8844</v>
      </c>
      <c r="F1557" s="512" t="s">
        <v>8813</v>
      </c>
      <c r="G1557" s="512" t="s">
        <v>8169</v>
      </c>
      <c r="H1557" s="512" t="s">
        <v>8391</v>
      </c>
      <c r="I1557" s="512" t="s">
        <v>8845</v>
      </c>
      <c r="L1557" s="505" t="s">
        <v>1233</v>
      </c>
      <c r="M1557" s="516">
        <v>13.42</v>
      </c>
      <c r="N1557" s="505" t="s">
        <v>1233</v>
      </c>
    </row>
    <row r="1558" spans="1:14" x14ac:dyDescent="0.25">
      <c r="A1558" s="505" t="s">
        <v>4384</v>
      </c>
      <c r="B1558" s="505" t="s">
        <v>4385</v>
      </c>
      <c r="C1558" s="512" t="s">
        <v>7762</v>
      </c>
      <c r="D1558" s="512" t="s">
        <v>7893</v>
      </c>
      <c r="E1558" s="512" t="s">
        <v>8844</v>
      </c>
      <c r="F1558" s="512" t="s">
        <v>8813</v>
      </c>
      <c r="G1558" s="512" t="s">
        <v>7721</v>
      </c>
      <c r="H1558" s="512" t="s">
        <v>8845</v>
      </c>
      <c r="L1558" s="505" t="s">
        <v>1233</v>
      </c>
      <c r="M1558" s="516">
        <v>11.9</v>
      </c>
      <c r="N1558" s="505" t="s">
        <v>1233</v>
      </c>
    </row>
    <row r="1559" spans="1:14" x14ac:dyDescent="0.25">
      <c r="A1559" s="505" t="s">
        <v>4386</v>
      </c>
      <c r="B1559" s="505" t="s">
        <v>4387</v>
      </c>
      <c r="C1559" s="512" t="s">
        <v>7762</v>
      </c>
      <c r="D1559" s="512" t="s">
        <v>7893</v>
      </c>
      <c r="E1559" s="512" t="s">
        <v>8844</v>
      </c>
      <c r="F1559" s="512" t="s">
        <v>8813</v>
      </c>
      <c r="G1559" s="512" t="s">
        <v>7804</v>
      </c>
      <c r="H1559" s="512" t="s">
        <v>8845</v>
      </c>
      <c r="L1559" s="505" t="s">
        <v>1233</v>
      </c>
      <c r="M1559" s="516">
        <v>11.9</v>
      </c>
      <c r="N1559" s="505" t="s">
        <v>1233</v>
      </c>
    </row>
    <row r="1560" spans="1:14" x14ac:dyDescent="0.25">
      <c r="A1560" s="505" t="s">
        <v>4388</v>
      </c>
      <c r="B1560" s="505" t="s">
        <v>4389</v>
      </c>
      <c r="C1560" s="512" t="s">
        <v>7762</v>
      </c>
      <c r="D1560" s="512" t="s">
        <v>7893</v>
      </c>
      <c r="E1560" s="512" t="s">
        <v>8844</v>
      </c>
      <c r="F1560" s="512" t="s">
        <v>8813</v>
      </c>
      <c r="G1560" s="512" t="s">
        <v>8170</v>
      </c>
      <c r="H1560" s="512" t="s">
        <v>8845</v>
      </c>
      <c r="L1560" s="505" t="s">
        <v>1233</v>
      </c>
      <c r="M1560" s="516">
        <v>13.42</v>
      </c>
      <c r="N1560" s="505" t="s">
        <v>1233</v>
      </c>
    </row>
    <row r="1561" spans="1:14" x14ac:dyDescent="0.25">
      <c r="A1561" s="505" t="s">
        <v>4390</v>
      </c>
      <c r="B1561" s="505" t="s">
        <v>4391</v>
      </c>
      <c r="C1561" s="512" t="s">
        <v>7762</v>
      </c>
      <c r="D1561" s="512" t="s">
        <v>8847</v>
      </c>
      <c r="E1561" s="512" t="s">
        <v>7533</v>
      </c>
      <c r="F1561" s="512" t="s">
        <v>8833</v>
      </c>
      <c r="G1561" s="512" t="s">
        <v>511</v>
      </c>
      <c r="H1561" s="512" t="s">
        <v>8848</v>
      </c>
      <c r="L1561" s="505" t="s">
        <v>1233</v>
      </c>
      <c r="M1561" s="516">
        <v>3.54</v>
      </c>
      <c r="N1561" s="505" t="s">
        <v>1233</v>
      </c>
    </row>
    <row r="1562" spans="1:14" x14ac:dyDescent="0.25">
      <c r="A1562" s="505" t="s">
        <v>4392</v>
      </c>
      <c r="B1562" s="505" t="s">
        <v>4393</v>
      </c>
      <c r="C1562" s="512" t="s">
        <v>8849</v>
      </c>
      <c r="D1562" s="512" t="s">
        <v>7613</v>
      </c>
      <c r="E1562" s="512" t="s">
        <v>7473</v>
      </c>
      <c r="F1562" s="512" t="s">
        <v>8850</v>
      </c>
      <c r="G1562" s="512" t="s">
        <v>8851</v>
      </c>
      <c r="H1562" s="512" t="s">
        <v>8852</v>
      </c>
      <c r="L1562" s="505" t="s">
        <v>4394</v>
      </c>
      <c r="M1562" s="516">
        <v>3.75</v>
      </c>
      <c r="N1562" s="505" t="s">
        <v>4394</v>
      </c>
    </row>
    <row r="1563" spans="1:14" x14ac:dyDescent="0.25">
      <c r="A1563" s="505" t="s">
        <v>4395</v>
      </c>
      <c r="B1563" s="505" t="s">
        <v>4396</v>
      </c>
      <c r="C1563" s="512" t="s">
        <v>8853</v>
      </c>
      <c r="D1563" s="512" t="s">
        <v>8854</v>
      </c>
      <c r="E1563" s="512" t="s">
        <v>8075</v>
      </c>
      <c r="F1563" s="512" t="s">
        <v>7918</v>
      </c>
      <c r="G1563" s="512" t="s">
        <v>8855</v>
      </c>
      <c r="H1563" s="512" t="s">
        <v>8856</v>
      </c>
      <c r="L1563" s="505" t="s">
        <v>1233</v>
      </c>
      <c r="M1563" s="516">
        <v>46.26</v>
      </c>
      <c r="N1563" s="505" t="s">
        <v>1233</v>
      </c>
    </row>
    <row r="1564" spans="1:14" s="530" customFormat="1" x14ac:dyDescent="0.25">
      <c r="A1564" s="530" t="s">
        <v>4397</v>
      </c>
      <c r="B1564" s="530" t="s">
        <v>4398</v>
      </c>
      <c r="C1564" s="531" t="s">
        <v>8857</v>
      </c>
      <c r="D1564" s="531" t="s">
        <v>8858</v>
      </c>
      <c r="E1564" s="531" t="s">
        <v>8859</v>
      </c>
      <c r="F1564" s="531" t="s">
        <v>7775</v>
      </c>
      <c r="G1564" s="531" t="s">
        <v>8860</v>
      </c>
      <c r="H1564" s="531" t="s">
        <v>7827</v>
      </c>
      <c r="I1564" s="531" t="s">
        <v>7782</v>
      </c>
      <c r="L1564" s="530" t="s">
        <v>1233</v>
      </c>
      <c r="M1564" s="532">
        <v>0</v>
      </c>
      <c r="N1564" s="530" t="s">
        <v>1544</v>
      </c>
    </row>
    <row r="1565" spans="1:14" s="530" customFormat="1" x14ac:dyDescent="0.25">
      <c r="A1565" s="530" t="s">
        <v>4399</v>
      </c>
      <c r="B1565" s="530" t="s">
        <v>4398</v>
      </c>
      <c r="C1565" s="531" t="s">
        <v>8857</v>
      </c>
      <c r="D1565" s="531" t="s">
        <v>8858</v>
      </c>
      <c r="E1565" s="531" t="s">
        <v>8859</v>
      </c>
      <c r="F1565" s="531" t="s">
        <v>7775</v>
      </c>
      <c r="G1565" s="531" t="s">
        <v>8860</v>
      </c>
      <c r="H1565" s="531" t="s">
        <v>7827</v>
      </c>
      <c r="I1565" s="531" t="s">
        <v>7782</v>
      </c>
      <c r="L1565" s="530" t="s">
        <v>1233</v>
      </c>
      <c r="M1565" s="532">
        <v>0</v>
      </c>
      <c r="N1565" s="530" t="s">
        <v>1544</v>
      </c>
    </row>
    <row r="1566" spans="1:14" x14ac:dyDescent="0.25">
      <c r="A1566" s="505" t="s">
        <v>4400</v>
      </c>
      <c r="B1566" s="505" t="s">
        <v>4401</v>
      </c>
      <c r="C1566" s="512" t="s">
        <v>8853</v>
      </c>
      <c r="D1566" s="512" t="s">
        <v>8861</v>
      </c>
      <c r="E1566" s="512" t="s">
        <v>8859</v>
      </c>
      <c r="F1566" s="512" t="s">
        <v>8862</v>
      </c>
      <c r="G1566" s="512" t="s">
        <v>8793</v>
      </c>
      <c r="H1566" s="512" t="s">
        <v>8855</v>
      </c>
      <c r="L1566" s="505" t="s">
        <v>1233</v>
      </c>
      <c r="M1566" s="516">
        <v>52.87</v>
      </c>
      <c r="N1566" s="505" t="s">
        <v>1233</v>
      </c>
    </row>
    <row r="1567" spans="1:14" x14ac:dyDescent="0.25">
      <c r="A1567" s="505" t="s">
        <v>4402</v>
      </c>
      <c r="B1567" s="505" t="s">
        <v>4403</v>
      </c>
      <c r="C1567" s="512" t="s">
        <v>8853</v>
      </c>
      <c r="D1567" s="512" t="s">
        <v>8861</v>
      </c>
      <c r="E1567" s="512" t="s">
        <v>8859</v>
      </c>
      <c r="F1567" s="512" t="s">
        <v>8862</v>
      </c>
      <c r="G1567" s="512" t="s">
        <v>8793</v>
      </c>
      <c r="H1567" s="512" t="s">
        <v>8382</v>
      </c>
      <c r="L1567" s="505" t="s">
        <v>1233</v>
      </c>
      <c r="M1567" s="516">
        <v>52.87</v>
      </c>
      <c r="N1567" s="505" t="s">
        <v>1233</v>
      </c>
    </row>
    <row r="1568" spans="1:14" s="530" customFormat="1" x14ac:dyDescent="0.25">
      <c r="A1568" s="530" t="s">
        <v>4404</v>
      </c>
      <c r="B1568" s="530" t="s">
        <v>4405</v>
      </c>
      <c r="C1568" s="531" t="s">
        <v>8853</v>
      </c>
      <c r="D1568" s="531" t="s">
        <v>8863</v>
      </c>
      <c r="E1568" s="531" t="s">
        <v>8859</v>
      </c>
      <c r="F1568" s="531" t="s">
        <v>8864</v>
      </c>
      <c r="G1568" s="531" t="s">
        <v>8793</v>
      </c>
      <c r="H1568" s="531" t="s">
        <v>8855</v>
      </c>
      <c r="I1568" s="531"/>
      <c r="L1568" s="530" t="s">
        <v>1233</v>
      </c>
      <c r="M1568" s="532">
        <v>0</v>
      </c>
      <c r="N1568" s="530" t="s">
        <v>1544</v>
      </c>
    </row>
    <row r="1569" spans="1:14" s="530" customFormat="1" x14ac:dyDescent="0.25">
      <c r="A1569" s="530" t="s">
        <v>4406</v>
      </c>
      <c r="B1569" s="530" t="s">
        <v>4407</v>
      </c>
      <c r="C1569" s="531" t="s">
        <v>8853</v>
      </c>
      <c r="D1569" s="531" t="s">
        <v>8865</v>
      </c>
      <c r="E1569" s="531" t="s">
        <v>8866</v>
      </c>
      <c r="F1569" s="531" t="s">
        <v>7782</v>
      </c>
      <c r="G1569" s="531" t="s">
        <v>8855</v>
      </c>
      <c r="H1569" s="531"/>
      <c r="I1569" s="531"/>
      <c r="L1569" s="530" t="s">
        <v>114</v>
      </c>
      <c r="M1569" s="532">
        <v>0</v>
      </c>
      <c r="N1569" s="530" t="s">
        <v>1544</v>
      </c>
    </row>
    <row r="1570" spans="1:14" x14ac:dyDescent="0.25">
      <c r="A1570" s="505" t="s">
        <v>4408</v>
      </c>
      <c r="B1570" s="505" t="s">
        <v>4409</v>
      </c>
      <c r="C1570" s="512" t="s">
        <v>8853</v>
      </c>
      <c r="D1570" s="512" t="s">
        <v>8867</v>
      </c>
      <c r="E1570" s="512" t="s">
        <v>8868</v>
      </c>
      <c r="F1570" s="512" t="s">
        <v>8574</v>
      </c>
      <c r="G1570" s="512" t="s">
        <v>7827</v>
      </c>
      <c r="H1570" s="512" t="s">
        <v>7782</v>
      </c>
      <c r="I1570" s="512" t="s">
        <v>8855</v>
      </c>
      <c r="L1570" s="505" t="s">
        <v>1233</v>
      </c>
      <c r="M1570" s="516">
        <v>22.96</v>
      </c>
      <c r="N1570" s="505" t="s">
        <v>1233</v>
      </c>
    </row>
    <row r="1571" spans="1:14" x14ac:dyDescent="0.25">
      <c r="A1571" s="505" t="s">
        <v>4410</v>
      </c>
      <c r="B1571" s="505" t="s">
        <v>4411</v>
      </c>
      <c r="C1571" s="512" t="s">
        <v>8869</v>
      </c>
      <c r="D1571" s="512" t="s">
        <v>8870</v>
      </c>
      <c r="E1571" s="512" t="s">
        <v>8871</v>
      </c>
      <c r="F1571" s="512" t="s">
        <v>8872</v>
      </c>
      <c r="G1571" s="512" t="s">
        <v>8873</v>
      </c>
      <c r="H1571" s="512" t="s">
        <v>8407</v>
      </c>
      <c r="L1571" s="505" t="s">
        <v>114</v>
      </c>
      <c r="M1571" s="516">
        <v>25.57</v>
      </c>
      <c r="N1571" s="505" t="s">
        <v>114</v>
      </c>
    </row>
    <row r="1572" spans="1:14" x14ac:dyDescent="0.25">
      <c r="A1572" s="505" t="s">
        <v>4412</v>
      </c>
      <c r="B1572" s="505" t="s">
        <v>4413</v>
      </c>
      <c r="C1572" s="512" t="s">
        <v>8853</v>
      </c>
      <c r="D1572" s="512" t="s">
        <v>8870</v>
      </c>
      <c r="E1572" s="512" t="s">
        <v>8871</v>
      </c>
      <c r="F1572" s="512" t="s">
        <v>8860</v>
      </c>
      <c r="G1572" s="512" t="s">
        <v>8874</v>
      </c>
      <c r="H1572" s="512" t="s">
        <v>8875</v>
      </c>
      <c r="I1572" s="512" t="s">
        <v>7989</v>
      </c>
      <c r="L1572" s="505" t="s">
        <v>114</v>
      </c>
      <c r="M1572" s="516">
        <v>37.24</v>
      </c>
      <c r="N1572" s="505" t="s">
        <v>114</v>
      </c>
    </row>
    <row r="1573" spans="1:14" x14ac:dyDescent="0.25">
      <c r="A1573" s="505" t="s">
        <v>4414</v>
      </c>
      <c r="B1573" s="505" t="s">
        <v>4415</v>
      </c>
      <c r="C1573" s="512" t="s">
        <v>8853</v>
      </c>
      <c r="D1573" s="512" t="s">
        <v>8870</v>
      </c>
      <c r="E1573" s="512" t="s">
        <v>8871</v>
      </c>
      <c r="F1573" s="512" t="s">
        <v>8860</v>
      </c>
      <c r="G1573" s="512" t="s">
        <v>8874</v>
      </c>
      <c r="H1573" s="512" t="s">
        <v>7740</v>
      </c>
      <c r="I1573" s="512" t="s">
        <v>8876</v>
      </c>
      <c r="L1573" s="505" t="s">
        <v>114</v>
      </c>
      <c r="M1573" s="516">
        <v>28.97</v>
      </c>
      <c r="N1573" s="505" t="s">
        <v>114</v>
      </c>
    </row>
    <row r="1574" spans="1:14" x14ac:dyDescent="0.25">
      <c r="A1574" s="505" t="s">
        <v>4416</v>
      </c>
      <c r="B1574" s="505" t="s">
        <v>4417</v>
      </c>
      <c r="C1574" s="512" t="s">
        <v>8853</v>
      </c>
      <c r="D1574" s="512" t="s">
        <v>8870</v>
      </c>
      <c r="E1574" s="512" t="s">
        <v>8871</v>
      </c>
      <c r="F1574" s="512" t="s">
        <v>8860</v>
      </c>
      <c r="G1574" s="512" t="s">
        <v>8874</v>
      </c>
      <c r="H1574" s="512" t="s">
        <v>8855</v>
      </c>
      <c r="L1574" s="505" t="s">
        <v>114</v>
      </c>
      <c r="M1574" s="516">
        <v>28.97</v>
      </c>
      <c r="N1574" s="505" t="s">
        <v>114</v>
      </c>
    </row>
    <row r="1575" spans="1:14" x14ac:dyDescent="0.25">
      <c r="A1575" s="505" t="s">
        <v>4418</v>
      </c>
      <c r="B1575" s="505" t="s">
        <v>4419</v>
      </c>
      <c r="C1575" s="512" t="s">
        <v>8853</v>
      </c>
      <c r="D1575" s="512" t="s">
        <v>8870</v>
      </c>
      <c r="E1575" s="512" t="s">
        <v>8871</v>
      </c>
      <c r="F1575" s="512" t="s">
        <v>8860</v>
      </c>
      <c r="G1575" s="512" t="s">
        <v>8874</v>
      </c>
      <c r="H1575" s="512" t="s">
        <v>8877</v>
      </c>
      <c r="L1575" s="505" t="s">
        <v>114</v>
      </c>
      <c r="M1575" s="516">
        <v>37.24</v>
      </c>
      <c r="N1575" s="505" t="s">
        <v>114</v>
      </c>
    </row>
    <row r="1576" spans="1:14" x14ac:dyDescent="0.25">
      <c r="A1576" s="505" t="s">
        <v>4420</v>
      </c>
      <c r="B1576" s="505" t="s">
        <v>4421</v>
      </c>
      <c r="C1576" s="512" t="s">
        <v>8853</v>
      </c>
      <c r="D1576" s="512" t="s">
        <v>8870</v>
      </c>
      <c r="E1576" s="512" t="s">
        <v>8859</v>
      </c>
      <c r="F1576" s="512" t="s">
        <v>8860</v>
      </c>
      <c r="G1576" s="512" t="s">
        <v>8878</v>
      </c>
      <c r="H1576" s="512" t="s">
        <v>8879</v>
      </c>
      <c r="L1576" s="505" t="s">
        <v>114</v>
      </c>
      <c r="M1576" s="516">
        <v>37.24</v>
      </c>
      <c r="N1576" s="505" t="s">
        <v>114</v>
      </c>
    </row>
    <row r="1577" spans="1:14" x14ac:dyDescent="0.25">
      <c r="A1577" s="505" t="s">
        <v>4422</v>
      </c>
      <c r="B1577" s="505" t="s">
        <v>4423</v>
      </c>
      <c r="C1577" s="512" t="s">
        <v>8853</v>
      </c>
      <c r="D1577" s="512" t="s">
        <v>8870</v>
      </c>
      <c r="E1577" s="512" t="s">
        <v>8871</v>
      </c>
      <c r="F1577" s="512" t="s">
        <v>8860</v>
      </c>
      <c r="G1577" s="512" t="s">
        <v>8874</v>
      </c>
      <c r="H1577" s="512" t="s">
        <v>8880</v>
      </c>
      <c r="I1577" s="512" t="s">
        <v>511</v>
      </c>
      <c r="L1577" s="505" t="s">
        <v>114</v>
      </c>
      <c r="M1577" s="516">
        <v>28.97</v>
      </c>
      <c r="N1577" s="505" t="s">
        <v>114</v>
      </c>
    </row>
    <row r="1578" spans="1:14" x14ac:dyDescent="0.25">
      <c r="A1578" s="505" t="s">
        <v>4424</v>
      </c>
      <c r="B1578" s="505" t="s">
        <v>4425</v>
      </c>
      <c r="C1578" s="512" t="s">
        <v>8857</v>
      </c>
      <c r="D1578" s="512" t="s">
        <v>8881</v>
      </c>
      <c r="E1578" s="512" t="s">
        <v>8882</v>
      </c>
      <c r="F1578" s="512" t="s">
        <v>8883</v>
      </c>
      <c r="G1578" s="512" t="s">
        <v>148</v>
      </c>
      <c r="H1578" s="512" t="s">
        <v>8876</v>
      </c>
      <c r="L1578" s="505" t="s">
        <v>114</v>
      </c>
      <c r="M1578" s="516">
        <v>22.96</v>
      </c>
      <c r="N1578" s="505" t="s">
        <v>114</v>
      </c>
    </row>
    <row r="1579" spans="1:14" x14ac:dyDescent="0.25">
      <c r="A1579" s="505" t="s">
        <v>4426</v>
      </c>
      <c r="B1579" s="505" t="s">
        <v>4427</v>
      </c>
      <c r="C1579" s="512" t="s">
        <v>8857</v>
      </c>
      <c r="D1579" s="512" t="s">
        <v>8881</v>
      </c>
      <c r="E1579" s="512" t="s">
        <v>8882</v>
      </c>
      <c r="F1579" s="512" t="s">
        <v>8883</v>
      </c>
      <c r="G1579" s="512" t="s">
        <v>8855</v>
      </c>
      <c r="H1579" s="512" t="s">
        <v>8884</v>
      </c>
      <c r="L1579" s="505" t="s">
        <v>114</v>
      </c>
      <c r="M1579" s="516">
        <v>22.96</v>
      </c>
      <c r="N1579" s="505" t="s">
        <v>114</v>
      </c>
    </row>
    <row r="1580" spans="1:14" x14ac:dyDescent="0.25">
      <c r="A1580" s="505" t="s">
        <v>4428</v>
      </c>
      <c r="B1580" s="505" t="s">
        <v>4429</v>
      </c>
      <c r="C1580" s="512" t="s">
        <v>8857</v>
      </c>
      <c r="D1580" s="512" t="s">
        <v>8881</v>
      </c>
      <c r="E1580" s="512" t="s">
        <v>8882</v>
      </c>
      <c r="F1580" s="512" t="s">
        <v>8883</v>
      </c>
      <c r="G1580" s="512" t="s">
        <v>8382</v>
      </c>
      <c r="L1580" s="505" t="s">
        <v>114</v>
      </c>
      <c r="M1580" s="516">
        <v>22.96</v>
      </c>
      <c r="N1580" s="505" t="s">
        <v>114</v>
      </c>
    </row>
    <row r="1581" spans="1:14" s="530" customFormat="1" x14ac:dyDescent="0.25">
      <c r="A1581" s="530" t="s">
        <v>4430</v>
      </c>
      <c r="B1581" s="530" t="s">
        <v>4431</v>
      </c>
      <c r="C1581" s="531" t="s">
        <v>8857</v>
      </c>
      <c r="D1581" s="531" t="s">
        <v>8881</v>
      </c>
      <c r="E1581" s="531" t="s">
        <v>8882</v>
      </c>
      <c r="F1581" s="531" t="s">
        <v>8883</v>
      </c>
      <c r="G1581" s="531" t="s">
        <v>8885</v>
      </c>
      <c r="H1581" s="531" t="s">
        <v>511</v>
      </c>
      <c r="I1581" s="531"/>
      <c r="L1581" s="530" t="s">
        <v>114</v>
      </c>
      <c r="M1581" s="532">
        <v>0</v>
      </c>
      <c r="N1581" s="530" t="s">
        <v>1544</v>
      </c>
    </row>
    <row r="1582" spans="1:14" s="530" customFormat="1" x14ac:dyDescent="0.25">
      <c r="A1582" s="530" t="s">
        <v>4432</v>
      </c>
      <c r="B1582" s="530" t="s">
        <v>4433</v>
      </c>
      <c r="C1582" s="531" t="s">
        <v>8857</v>
      </c>
      <c r="D1582" s="531" t="s">
        <v>8886</v>
      </c>
      <c r="E1582" s="531" t="s">
        <v>8862</v>
      </c>
      <c r="F1582" s="531" t="s">
        <v>8793</v>
      </c>
      <c r="G1582" s="531" t="s">
        <v>8382</v>
      </c>
      <c r="H1582" s="531"/>
      <c r="I1582" s="531"/>
      <c r="L1582" s="530" t="s">
        <v>114</v>
      </c>
      <c r="M1582" s="532">
        <v>0</v>
      </c>
      <c r="N1582" s="530" t="s">
        <v>1544</v>
      </c>
    </row>
    <row r="1583" spans="1:14" s="530" customFormat="1" x14ac:dyDescent="0.25">
      <c r="A1583" s="530" t="s">
        <v>4434</v>
      </c>
      <c r="B1583" s="530" t="s">
        <v>4435</v>
      </c>
      <c r="C1583" s="531" t="s">
        <v>8857</v>
      </c>
      <c r="D1583" s="531" t="s">
        <v>8886</v>
      </c>
      <c r="E1583" s="531" t="s">
        <v>8862</v>
      </c>
      <c r="F1583" s="531" t="s">
        <v>8793</v>
      </c>
      <c r="G1583" s="531" t="s">
        <v>148</v>
      </c>
      <c r="H1583" s="531" t="s">
        <v>8876</v>
      </c>
      <c r="I1583" s="531"/>
      <c r="L1583" s="530" t="s">
        <v>114</v>
      </c>
      <c r="M1583" s="532">
        <v>0</v>
      </c>
      <c r="N1583" s="530" t="s">
        <v>1544</v>
      </c>
    </row>
    <row r="1584" spans="1:14" s="530" customFormat="1" x14ac:dyDescent="0.25">
      <c r="A1584" s="530" t="s">
        <v>4436</v>
      </c>
      <c r="B1584" s="530" t="s">
        <v>4437</v>
      </c>
      <c r="C1584" s="531" t="s">
        <v>8857</v>
      </c>
      <c r="D1584" s="531" t="s">
        <v>8887</v>
      </c>
      <c r="E1584" s="531" t="s">
        <v>238</v>
      </c>
      <c r="F1584" s="531" t="s">
        <v>8862</v>
      </c>
      <c r="G1584" s="531" t="s">
        <v>8793</v>
      </c>
      <c r="H1584" s="531" t="s">
        <v>8382</v>
      </c>
      <c r="I1584" s="531"/>
      <c r="L1584" s="530" t="s">
        <v>114</v>
      </c>
      <c r="M1584" s="532">
        <v>0</v>
      </c>
      <c r="N1584" s="530" t="s">
        <v>1544</v>
      </c>
    </row>
    <row r="1585" spans="1:14" s="530" customFormat="1" x14ac:dyDescent="0.25">
      <c r="A1585" s="530" t="s">
        <v>4438</v>
      </c>
      <c r="B1585" s="530" t="s">
        <v>4439</v>
      </c>
      <c r="C1585" s="531" t="s">
        <v>8857</v>
      </c>
      <c r="D1585" s="531" t="s">
        <v>8887</v>
      </c>
      <c r="E1585" s="531" t="s">
        <v>238</v>
      </c>
      <c r="F1585" s="531" t="s">
        <v>8862</v>
      </c>
      <c r="G1585" s="531" t="s">
        <v>8793</v>
      </c>
      <c r="H1585" s="531" t="s">
        <v>148</v>
      </c>
      <c r="I1585" s="531" t="s">
        <v>8888</v>
      </c>
      <c r="L1585" s="530" t="s">
        <v>114</v>
      </c>
      <c r="M1585" s="532">
        <v>0</v>
      </c>
      <c r="N1585" s="530" t="s">
        <v>1544</v>
      </c>
    </row>
    <row r="1586" spans="1:14" s="530" customFormat="1" x14ac:dyDescent="0.25">
      <c r="A1586" s="530" t="s">
        <v>4440</v>
      </c>
      <c r="B1586" s="530" t="s">
        <v>4441</v>
      </c>
      <c r="C1586" s="531" t="s">
        <v>8857</v>
      </c>
      <c r="D1586" s="531" t="s">
        <v>8889</v>
      </c>
      <c r="E1586" s="531" t="s">
        <v>8864</v>
      </c>
      <c r="F1586" s="531" t="s">
        <v>8793</v>
      </c>
      <c r="G1586" s="531" t="s">
        <v>8382</v>
      </c>
      <c r="H1586" s="531"/>
      <c r="I1586" s="531"/>
      <c r="L1586" s="530" t="s">
        <v>114</v>
      </c>
      <c r="M1586" s="532">
        <v>0</v>
      </c>
      <c r="N1586" s="530" t="s">
        <v>1544</v>
      </c>
    </row>
    <row r="1587" spans="1:14" s="530" customFormat="1" x14ac:dyDescent="0.25">
      <c r="A1587" s="530" t="s">
        <v>4442</v>
      </c>
      <c r="B1587" s="530" t="s">
        <v>4443</v>
      </c>
      <c r="C1587" s="531" t="s">
        <v>8857</v>
      </c>
      <c r="D1587" s="531" t="s">
        <v>8889</v>
      </c>
      <c r="E1587" s="531" t="s">
        <v>8864</v>
      </c>
      <c r="F1587" s="531" t="s">
        <v>8793</v>
      </c>
      <c r="G1587" s="531" t="s">
        <v>148</v>
      </c>
      <c r="H1587" s="531" t="s">
        <v>8876</v>
      </c>
      <c r="I1587" s="531"/>
      <c r="L1587" s="530" t="s">
        <v>114</v>
      </c>
      <c r="M1587" s="532">
        <v>0</v>
      </c>
      <c r="N1587" s="530" t="s">
        <v>1544</v>
      </c>
    </row>
    <row r="1588" spans="1:14" s="530" customFormat="1" x14ac:dyDescent="0.25">
      <c r="A1588" s="530" t="s">
        <v>4444</v>
      </c>
      <c r="B1588" s="530" t="s">
        <v>4445</v>
      </c>
      <c r="C1588" s="531" t="s">
        <v>8853</v>
      </c>
      <c r="D1588" s="531" t="s">
        <v>8890</v>
      </c>
      <c r="E1588" s="531" t="s">
        <v>8860</v>
      </c>
      <c r="F1588" s="531" t="s">
        <v>8891</v>
      </c>
      <c r="G1588" s="531" t="s">
        <v>8017</v>
      </c>
      <c r="H1588" s="531" t="s">
        <v>8382</v>
      </c>
      <c r="I1588" s="531"/>
      <c r="L1588" s="530" t="s">
        <v>1233</v>
      </c>
      <c r="M1588" s="532">
        <v>0</v>
      </c>
      <c r="N1588" s="530" t="s">
        <v>1544</v>
      </c>
    </row>
    <row r="1589" spans="1:14" s="530" customFormat="1" x14ac:dyDescent="0.25">
      <c r="A1589" s="530" t="s">
        <v>4446</v>
      </c>
      <c r="B1589" s="530" t="s">
        <v>4447</v>
      </c>
      <c r="C1589" s="531" t="s">
        <v>8853</v>
      </c>
      <c r="D1589" s="531" t="s">
        <v>8892</v>
      </c>
      <c r="E1589" s="531" t="s">
        <v>8860</v>
      </c>
      <c r="F1589" s="531" t="s">
        <v>8891</v>
      </c>
      <c r="G1589" s="531" t="s">
        <v>8075</v>
      </c>
      <c r="H1589" s="531" t="s">
        <v>7918</v>
      </c>
      <c r="I1589" s="531" t="s">
        <v>8382</v>
      </c>
      <c r="L1589" s="530" t="s">
        <v>1233</v>
      </c>
      <c r="M1589" s="532">
        <v>0</v>
      </c>
      <c r="N1589" s="530" t="s">
        <v>1544</v>
      </c>
    </row>
    <row r="1590" spans="1:14" s="530" customFormat="1" x14ac:dyDescent="0.25">
      <c r="A1590" s="530" t="s">
        <v>4448</v>
      </c>
      <c r="B1590" s="530" t="s">
        <v>4449</v>
      </c>
      <c r="C1590" s="531" t="s">
        <v>8853</v>
      </c>
      <c r="D1590" s="531" t="s">
        <v>8893</v>
      </c>
      <c r="E1590" s="531" t="s">
        <v>8860</v>
      </c>
      <c r="F1590" s="531" t="s">
        <v>8891</v>
      </c>
      <c r="G1590" s="531" t="s">
        <v>8075</v>
      </c>
      <c r="H1590" s="531" t="s">
        <v>7918</v>
      </c>
      <c r="I1590" s="531" t="s">
        <v>8382</v>
      </c>
      <c r="L1590" s="530" t="s">
        <v>1233</v>
      </c>
      <c r="M1590" s="532">
        <v>0</v>
      </c>
      <c r="N1590" s="530" t="s">
        <v>1544</v>
      </c>
    </row>
    <row r="1591" spans="1:14" s="530" customFormat="1" x14ac:dyDescent="0.25">
      <c r="A1591" s="530" t="s">
        <v>4450</v>
      </c>
      <c r="B1591" s="530" t="s">
        <v>4451</v>
      </c>
      <c r="C1591" s="531" t="s">
        <v>8853</v>
      </c>
      <c r="D1591" s="531" t="s">
        <v>8893</v>
      </c>
      <c r="E1591" s="531" t="s">
        <v>8860</v>
      </c>
      <c r="F1591" s="531" t="s">
        <v>8891</v>
      </c>
      <c r="G1591" s="531" t="s">
        <v>8075</v>
      </c>
      <c r="H1591" s="531" t="s">
        <v>7918</v>
      </c>
      <c r="I1591" s="531" t="s">
        <v>8855</v>
      </c>
      <c r="J1591" s="530" t="s">
        <v>8876</v>
      </c>
      <c r="L1591" s="530" t="s">
        <v>1233</v>
      </c>
      <c r="M1591" s="532">
        <v>0</v>
      </c>
      <c r="N1591" s="530" t="s">
        <v>1544</v>
      </c>
    </row>
    <row r="1592" spans="1:14" x14ac:dyDescent="0.25">
      <c r="A1592" s="505" t="s">
        <v>4452</v>
      </c>
      <c r="B1592" s="505" t="s">
        <v>4453</v>
      </c>
      <c r="C1592" s="512" t="s">
        <v>7847</v>
      </c>
      <c r="D1592" s="512" t="s">
        <v>7848</v>
      </c>
      <c r="E1592" s="512" t="s">
        <v>8574</v>
      </c>
      <c r="F1592" s="512" t="s">
        <v>8894</v>
      </c>
      <c r="G1592" s="512" t="s">
        <v>7822</v>
      </c>
      <c r="H1592" s="512" t="s">
        <v>7850</v>
      </c>
      <c r="L1592" s="505" t="s">
        <v>1233</v>
      </c>
      <c r="M1592" s="516">
        <v>12.25</v>
      </c>
      <c r="N1592" s="505" t="s">
        <v>1233</v>
      </c>
    </row>
    <row r="1593" spans="1:14" x14ac:dyDescent="0.25">
      <c r="A1593" s="505" t="s">
        <v>4454</v>
      </c>
      <c r="B1593" s="505" t="s">
        <v>4455</v>
      </c>
      <c r="C1593" s="512" t="s">
        <v>7847</v>
      </c>
      <c r="D1593" s="512" t="s">
        <v>7848</v>
      </c>
      <c r="E1593" s="512" t="s">
        <v>8574</v>
      </c>
      <c r="F1593" s="512" t="s">
        <v>8894</v>
      </c>
      <c r="G1593" s="512" t="s">
        <v>7822</v>
      </c>
      <c r="H1593" s="512" t="s">
        <v>7974</v>
      </c>
      <c r="I1593" s="512" t="s">
        <v>8566</v>
      </c>
      <c r="L1593" s="505" t="s">
        <v>1233</v>
      </c>
      <c r="M1593" s="516">
        <v>12.25</v>
      </c>
      <c r="N1593" s="505" t="s">
        <v>1233</v>
      </c>
    </row>
    <row r="1594" spans="1:14" x14ac:dyDescent="0.25">
      <c r="A1594" s="505" t="s">
        <v>4456</v>
      </c>
      <c r="B1594" s="505" t="s">
        <v>4457</v>
      </c>
      <c r="C1594" s="512" t="s">
        <v>7847</v>
      </c>
      <c r="D1594" s="512" t="s">
        <v>7848</v>
      </c>
      <c r="E1594" s="512" t="s">
        <v>8574</v>
      </c>
      <c r="F1594" s="512" t="s">
        <v>8895</v>
      </c>
      <c r="G1594" s="512" t="s">
        <v>7822</v>
      </c>
      <c r="H1594" s="512" t="s">
        <v>8568</v>
      </c>
      <c r="L1594" s="505" t="s">
        <v>1233</v>
      </c>
      <c r="M1594" s="516">
        <v>12.25</v>
      </c>
      <c r="N1594" s="505" t="s">
        <v>1233</v>
      </c>
    </row>
    <row r="1595" spans="1:14" x14ac:dyDescent="0.25">
      <c r="A1595" s="505" t="s">
        <v>4458</v>
      </c>
      <c r="B1595" s="505" t="s">
        <v>4459</v>
      </c>
      <c r="C1595" s="512" t="s">
        <v>7847</v>
      </c>
      <c r="D1595" s="512" t="s">
        <v>7848</v>
      </c>
      <c r="E1595" s="512" t="s">
        <v>7735</v>
      </c>
      <c r="F1595" s="512" t="s">
        <v>8676</v>
      </c>
      <c r="G1595" s="512" t="s">
        <v>7822</v>
      </c>
      <c r="H1595" s="512" t="s">
        <v>7850</v>
      </c>
      <c r="L1595" s="505" t="s">
        <v>1233</v>
      </c>
      <c r="M1595" s="516">
        <v>45.55</v>
      </c>
      <c r="N1595" s="505" t="s">
        <v>1233</v>
      </c>
    </row>
    <row r="1596" spans="1:14" x14ac:dyDescent="0.25">
      <c r="A1596" s="505" t="s">
        <v>4460</v>
      </c>
      <c r="B1596" s="505" t="s">
        <v>4461</v>
      </c>
      <c r="C1596" s="512" t="s">
        <v>7847</v>
      </c>
      <c r="D1596" s="512" t="s">
        <v>8896</v>
      </c>
      <c r="E1596" s="512" t="s">
        <v>7533</v>
      </c>
      <c r="F1596" s="512" t="s">
        <v>8833</v>
      </c>
      <c r="L1596" s="505" t="s">
        <v>1233</v>
      </c>
      <c r="M1596" s="516">
        <v>9.75</v>
      </c>
      <c r="N1596" s="505" t="s">
        <v>1233</v>
      </c>
    </row>
    <row r="1597" spans="1:14" x14ac:dyDescent="0.25">
      <c r="A1597" s="505" t="s">
        <v>4462</v>
      </c>
      <c r="B1597" s="505" t="s">
        <v>4463</v>
      </c>
      <c r="C1597" s="512" t="s">
        <v>8853</v>
      </c>
      <c r="D1597" s="512" t="s">
        <v>8897</v>
      </c>
      <c r="E1597" s="512" t="s">
        <v>8898</v>
      </c>
      <c r="F1597" s="512" t="s">
        <v>8899</v>
      </c>
      <c r="G1597" s="512" t="s">
        <v>8900</v>
      </c>
      <c r="H1597" s="512" t="s">
        <v>7740</v>
      </c>
      <c r="I1597" s="512" t="s">
        <v>8901</v>
      </c>
      <c r="L1597" s="505" t="s">
        <v>1233</v>
      </c>
      <c r="M1597" s="516">
        <v>23.45</v>
      </c>
      <c r="N1597" s="505" t="s">
        <v>1233</v>
      </c>
    </row>
    <row r="1598" spans="1:14" x14ac:dyDescent="0.25">
      <c r="A1598" s="505" t="s">
        <v>4464</v>
      </c>
      <c r="B1598" s="505" t="s">
        <v>4465</v>
      </c>
      <c r="C1598" s="512" t="s">
        <v>8853</v>
      </c>
      <c r="D1598" s="512" t="s">
        <v>8897</v>
      </c>
      <c r="E1598" s="512" t="s">
        <v>8898</v>
      </c>
      <c r="F1598" s="512" t="s">
        <v>8899</v>
      </c>
      <c r="G1598" s="512" t="s">
        <v>8900</v>
      </c>
      <c r="H1598" s="512" t="s">
        <v>8855</v>
      </c>
      <c r="L1598" s="505" t="s">
        <v>1233</v>
      </c>
      <c r="M1598" s="516">
        <v>23.45</v>
      </c>
      <c r="N1598" s="505" t="s">
        <v>1233</v>
      </c>
    </row>
    <row r="1599" spans="1:14" x14ac:dyDescent="0.25">
      <c r="A1599" s="505" t="s">
        <v>4466</v>
      </c>
      <c r="B1599" s="505" t="s">
        <v>4467</v>
      </c>
      <c r="C1599" s="512" t="s">
        <v>8869</v>
      </c>
      <c r="D1599" s="512" t="s">
        <v>8897</v>
      </c>
      <c r="E1599" s="512" t="s">
        <v>8902</v>
      </c>
      <c r="F1599" s="512" t="s">
        <v>8903</v>
      </c>
      <c r="G1599" s="512" t="s">
        <v>8904</v>
      </c>
      <c r="H1599" s="512" t="s">
        <v>7748</v>
      </c>
      <c r="L1599" s="505" t="s">
        <v>1233</v>
      </c>
      <c r="M1599" s="516">
        <v>31.39</v>
      </c>
      <c r="N1599" s="505" t="s">
        <v>1233</v>
      </c>
    </row>
    <row r="1600" spans="1:14" x14ac:dyDescent="0.25">
      <c r="A1600" s="505" t="s">
        <v>4468</v>
      </c>
      <c r="B1600" s="505" t="s">
        <v>4469</v>
      </c>
      <c r="C1600" s="512" t="s">
        <v>8853</v>
      </c>
      <c r="D1600" s="512" t="s">
        <v>8897</v>
      </c>
      <c r="E1600" s="512" t="s">
        <v>8898</v>
      </c>
      <c r="F1600" s="512" t="s">
        <v>8899</v>
      </c>
      <c r="G1600" s="512" t="s">
        <v>8900</v>
      </c>
      <c r="H1600" s="512" t="s">
        <v>511</v>
      </c>
      <c r="L1600" s="505" t="s">
        <v>1233</v>
      </c>
      <c r="M1600" s="516">
        <v>23.45</v>
      </c>
      <c r="N1600" s="505" t="s">
        <v>1233</v>
      </c>
    </row>
    <row r="1601" spans="1:14" x14ac:dyDescent="0.25">
      <c r="A1601" s="505" t="s">
        <v>4470</v>
      </c>
      <c r="B1601" s="505" t="s">
        <v>4471</v>
      </c>
      <c r="C1601" s="512" t="s">
        <v>8853</v>
      </c>
      <c r="D1601" s="512" t="s">
        <v>8905</v>
      </c>
      <c r="E1601" s="512" t="s">
        <v>7827</v>
      </c>
      <c r="F1601" s="512" t="s">
        <v>8906</v>
      </c>
      <c r="G1601" s="512" t="s">
        <v>8452</v>
      </c>
      <c r="H1601" s="512" t="s">
        <v>8907</v>
      </c>
      <c r="I1601" s="512" t="s">
        <v>8855</v>
      </c>
      <c r="L1601" s="505" t="s">
        <v>114</v>
      </c>
      <c r="M1601" s="516">
        <v>28.97</v>
      </c>
      <c r="N1601" s="505" t="s">
        <v>114</v>
      </c>
    </row>
    <row r="1602" spans="1:14" x14ac:dyDescent="0.25">
      <c r="A1602" s="505" t="s">
        <v>4472</v>
      </c>
      <c r="B1602" s="505" t="s">
        <v>4473</v>
      </c>
      <c r="C1602" s="512" t="s">
        <v>8853</v>
      </c>
      <c r="D1602" s="512" t="s">
        <v>8905</v>
      </c>
      <c r="E1602" s="512" t="s">
        <v>7827</v>
      </c>
      <c r="F1602" s="512" t="s">
        <v>8906</v>
      </c>
      <c r="G1602" s="512" t="s">
        <v>8452</v>
      </c>
      <c r="H1602" s="512" t="s">
        <v>8907</v>
      </c>
      <c r="I1602" s="512" t="s">
        <v>8908</v>
      </c>
      <c r="L1602" s="505" t="s">
        <v>114</v>
      </c>
      <c r="M1602" s="516">
        <v>28.97</v>
      </c>
      <c r="N1602" s="505" t="s">
        <v>114</v>
      </c>
    </row>
    <row r="1603" spans="1:14" x14ac:dyDescent="0.25">
      <c r="A1603" s="505" t="s">
        <v>4474</v>
      </c>
      <c r="B1603" s="505" t="s">
        <v>4475</v>
      </c>
      <c r="C1603" s="512" t="s">
        <v>8853</v>
      </c>
      <c r="D1603" s="512" t="s">
        <v>8905</v>
      </c>
      <c r="E1603" s="512" t="s">
        <v>7827</v>
      </c>
      <c r="F1603" s="512" t="s">
        <v>8906</v>
      </c>
      <c r="G1603" s="512" t="s">
        <v>8452</v>
      </c>
      <c r="H1603" s="512" t="s">
        <v>8907</v>
      </c>
      <c r="I1603" s="512" t="s">
        <v>8880</v>
      </c>
      <c r="J1603" s="505" t="s">
        <v>8467</v>
      </c>
      <c r="L1603" s="505" t="s">
        <v>114</v>
      </c>
      <c r="M1603" s="516">
        <v>28.97</v>
      </c>
      <c r="N1603" s="505" t="s">
        <v>114</v>
      </c>
    </row>
    <row r="1604" spans="1:14" x14ac:dyDescent="0.25">
      <c r="A1604" s="505" t="s">
        <v>4476</v>
      </c>
      <c r="B1604" s="505" t="s">
        <v>4477</v>
      </c>
      <c r="C1604" s="512" t="s">
        <v>8853</v>
      </c>
      <c r="D1604" s="512" t="s">
        <v>8854</v>
      </c>
      <c r="E1604" s="512" t="s">
        <v>8074</v>
      </c>
      <c r="F1604" s="512" t="s">
        <v>8862</v>
      </c>
      <c r="G1604" s="512" t="s">
        <v>8646</v>
      </c>
      <c r="H1604" s="512" t="s">
        <v>8909</v>
      </c>
      <c r="I1604" s="512" t="s">
        <v>8467</v>
      </c>
      <c r="L1604" s="505" t="s">
        <v>1233</v>
      </c>
      <c r="M1604" s="516">
        <v>54.5</v>
      </c>
      <c r="N1604" s="505" t="s">
        <v>1233</v>
      </c>
    </row>
    <row r="1605" spans="1:14" x14ac:dyDescent="0.25">
      <c r="A1605" s="505" t="s">
        <v>4478</v>
      </c>
      <c r="B1605" s="505" t="s">
        <v>4479</v>
      </c>
      <c r="C1605" s="512" t="s">
        <v>8853</v>
      </c>
      <c r="D1605" s="512" t="s">
        <v>8854</v>
      </c>
      <c r="E1605" s="512" t="s">
        <v>8074</v>
      </c>
      <c r="F1605" s="512" t="s">
        <v>8862</v>
      </c>
      <c r="G1605" s="512" t="s">
        <v>8646</v>
      </c>
      <c r="H1605" s="512" t="s">
        <v>8910</v>
      </c>
      <c r="I1605" s="512" t="s">
        <v>7557</v>
      </c>
      <c r="L1605" s="505" t="s">
        <v>1233</v>
      </c>
      <c r="M1605" s="516">
        <v>54.5</v>
      </c>
      <c r="N1605" s="505" t="s">
        <v>1233</v>
      </c>
    </row>
    <row r="1606" spans="1:14" x14ac:dyDescent="0.25">
      <c r="A1606" s="505" t="s">
        <v>4480</v>
      </c>
      <c r="B1606" s="505" t="s">
        <v>4481</v>
      </c>
      <c r="C1606" s="512" t="s">
        <v>8853</v>
      </c>
      <c r="D1606" s="512" t="s">
        <v>8854</v>
      </c>
      <c r="E1606" s="512" t="s">
        <v>8074</v>
      </c>
      <c r="F1606" s="512" t="s">
        <v>8862</v>
      </c>
      <c r="G1606" s="512" t="s">
        <v>8646</v>
      </c>
      <c r="H1606" s="512" t="s">
        <v>8855</v>
      </c>
      <c r="L1606" s="505" t="s">
        <v>1233</v>
      </c>
      <c r="M1606" s="516">
        <v>46.26</v>
      </c>
      <c r="N1606" s="505" t="s">
        <v>1233</v>
      </c>
    </row>
    <row r="1607" spans="1:14" x14ac:dyDescent="0.25">
      <c r="A1607" s="505" t="s">
        <v>4482</v>
      </c>
      <c r="B1607" s="505" t="s">
        <v>4483</v>
      </c>
      <c r="C1607" s="512" t="s">
        <v>8853</v>
      </c>
      <c r="D1607" s="512" t="s">
        <v>8854</v>
      </c>
      <c r="E1607" s="512" t="s">
        <v>8074</v>
      </c>
      <c r="F1607" s="512" t="s">
        <v>8862</v>
      </c>
      <c r="G1607" s="512" t="s">
        <v>8646</v>
      </c>
      <c r="H1607" s="512" t="s">
        <v>7740</v>
      </c>
      <c r="I1607" s="512" t="s">
        <v>8876</v>
      </c>
      <c r="L1607" s="505" t="s">
        <v>1233</v>
      </c>
      <c r="M1607" s="516">
        <v>46.26</v>
      </c>
      <c r="N1607" s="505" t="s">
        <v>1233</v>
      </c>
    </row>
    <row r="1608" spans="1:14" x14ac:dyDescent="0.25">
      <c r="A1608" s="505" t="s">
        <v>4484</v>
      </c>
      <c r="B1608" s="505" t="s">
        <v>4485</v>
      </c>
      <c r="C1608" s="512" t="s">
        <v>8853</v>
      </c>
      <c r="D1608" s="512" t="s">
        <v>8854</v>
      </c>
      <c r="E1608" s="512" t="s">
        <v>8074</v>
      </c>
      <c r="F1608" s="512" t="s">
        <v>8862</v>
      </c>
      <c r="G1608" s="512" t="s">
        <v>8646</v>
      </c>
      <c r="H1608" s="512" t="s">
        <v>7956</v>
      </c>
      <c r="L1608" s="505" t="s">
        <v>1233</v>
      </c>
      <c r="M1608" s="516">
        <v>54.5</v>
      </c>
      <c r="N1608" s="505" t="s">
        <v>1233</v>
      </c>
    </row>
    <row r="1609" spans="1:14" x14ac:dyDescent="0.25">
      <c r="A1609" s="505" t="s">
        <v>4486</v>
      </c>
      <c r="B1609" s="505" t="s">
        <v>4487</v>
      </c>
      <c r="C1609" s="512" t="s">
        <v>8869</v>
      </c>
      <c r="D1609" s="512" t="s">
        <v>8854</v>
      </c>
      <c r="E1609" s="512" t="s">
        <v>8072</v>
      </c>
      <c r="F1609" s="512" t="s">
        <v>8862</v>
      </c>
      <c r="G1609" s="512" t="s">
        <v>8487</v>
      </c>
      <c r="H1609" s="512" t="s">
        <v>7977</v>
      </c>
      <c r="L1609" s="505" t="s">
        <v>1233</v>
      </c>
      <c r="M1609" s="516">
        <v>46.26</v>
      </c>
      <c r="N1609" s="505" t="s">
        <v>1233</v>
      </c>
    </row>
    <row r="1610" spans="1:14" x14ac:dyDescent="0.25">
      <c r="A1610" s="505" t="s">
        <v>4488</v>
      </c>
      <c r="B1610" s="505" t="s">
        <v>4489</v>
      </c>
      <c r="C1610" s="512" t="s">
        <v>8853</v>
      </c>
      <c r="D1610" s="512" t="s">
        <v>8854</v>
      </c>
      <c r="E1610" s="512" t="s">
        <v>8074</v>
      </c>
      <c r="F1610" s="512" t="s">
        <v>8862</v>
      </c>
      <c r="G1610" s="512" t="s">
        <v>8646</v>
      </c>
      <c r="H1610" s="512" t="s">
        <v>8781</v>
      </c>
      <c r="I1610" s="512" t="s">
        <v>484</v>
      </c>
      <c r="L1610" s="505" t="s">
        <v>1233</v>
      </c>
      <c r="M1610" s="516">
        <v>54.5</v>
      </c>
      <c r="N1610" s="505" t="s">
        <v>1233</v>
      </c>
    </row>
    <row r="1611" spans="1:14" x14ac:dyDescent="0.25">
      <c r="A1611" s="505" t="s">
        <v>4490</v>
      </c>
      <c r="B1611" s="505" t="s">
        <v>4491</v>
      </c>
      <c r="C1611" s="512" t="s">
        <v>8869</v>
      </c>
      <c r="D1611" s="512" t="s">
        <v>8854</v>
      </c>
      <c r="E1611" s="512" t="s">
        <v>8072</v>
      </c>
      <c r="F1611" s="512" t="s">
        <v>8862</v>
      </c>
      <c r="G1611" s="512" t="s">
        <v>8487</v>
      </c>
      <c r="H1611" s="512" t="s">
        <v>7748</v>
      </c>
      <c r="L1611" s="505" t="s">
        <v>1233</v>
      </c>
      <c r="M1611" s="516">
        <v>54.5</v>
      </c>
      <c r="N1611" s="505" t="s">
        <v>1233</v>
      </c>
    </row>
    <row r="1612" spans="1:14" x14ac:dyDescent="0.25">
      <c r="A1612" s="505" t="s">
        <v>4492</v>
      </c>
      <c r="B1612" s="505" t="s">
        <v>4493</v>
      </c>
      <c r="C1612" s="512" t="s">
        <v>8853</v>
      </c>
      <c r="D1612" s="512" t="s">
        <v>8854</v>
      </c>
      <c r="E1612" s="512" t="s">
        <v>8074</v>
      </c>
      <c r="F1612" s="512" t="s">
        <v>8862</v>
      </c>
      <c r="G1612" s="512" t="s">
        <v>8646</v>
      </c>
      <c r="H1612" s="512" t="s">
        <v>8880</v>
      </c>
      <c r="I1612" s="512" t="s">
        <v>511</v>
      </c>
      <c r="L1612" s="505" t="s">
        <v>1233</v>
      </c>
      <c r="M1612" s="516">
        <v>46.26</v>
      </c>
      <c r="N1612" s="505" t="s">
        <v>1233</v>
      </c>
    </row>
    <row r="1613" spans="1:14" x14ac:dyDescent="0.25">
      <c r="A1613" s="505" t="s">
        <v>4494</v>
      </c>
      <c r="B1613" s="505" t="s">
        <v>4495</v>
      </c>
      <c r="C1613" s="512" t="s">
        <v>8853</v>
      </c>
      <c r="D1613" s="512" t="s">
        <v>8911</v>
      </c>
      <c r="E1613" s="512" t="s">
        <v>8912</v>
      </c>
      <c r="F1613" s="512" t="s">
        <v>8913</v>
      </c>
      <c r="G1613" s="512" t="s">
        <v>148</v>
      </c>
      <c r="H1613" s="512" t="s">
        <v>8876</v>
      </c>
      <c r="L1613" s="505" t="s">
        <v>114</v>
      </c>
      <c r="M1613" s="516">
        <v>33.119999999999997</v>
      </c>
      <c r="N1613" s="505" t="s">
        <v>114</v>
      </c>
    </row>
    <row r="1614" spans="1:14" x14ac:dyDescent="0.25">
      <c r="A1614" s="505" t="s">
        <v>4496</v>
      </c>
      <c r="B1614" s="505" t="s">
        <v>4497</v>
      </c>
      <c r="C1614" s="512" t="s">
        <v>8857</v>
      </c>
      <c r="D1614" s="512" t="s">
        <v>8911</v>
      </c>
      <c r="E1614" s="512" t="s">
        <v>8912</v>
      </c>
      <c r="F1614" s="512" t="s">
        <v>8745</v>
      </c>
      <c r="G1614" s="512" t="s">
        <v>8855</v>
      </c>
      <c r="L1614" s="505" t="s">
        <v>114</v>
      </c>
      <c r="M1614" s="516">
        <v>33.119999999999997</v>
      </c>
      <c r="N1614" s="505" t="s">
        <v>114</v>
      </c>
    </row>
    <row r="1615" spans="1:14" x14ac:dyDescent="0.25">
      <c r="A1615" s="505" t="s">
        <v>4498</v>
      </c>
      <c r="B1615" s="505" t="s">
        <v>4499</v>
      </c>
      <c r="C1615" s="512" t="s">
        <v>8869</v>
      </c>
      <c r="D1615" s="512" t="s">
        <v>8911</v>
      </c>
      <c r="E1615" s="512" t="s">
        <v>8914</v>
      </c>
      <c r="F1615" s="512" t="s">
        <v>8813</v>
      </c>
      <c r="G1615" s="512" t="s">
        <v>8407</v>
      </c>
      <c r="L1615" s="505" t="s">
        <v>114</v>
      </c>
      <c r="M1615" s="516">
        <v>33.119999999999997</v>
      </c>
      <c r="N1615" s="505" t="s">
        <v>114</v>
      </c>
    </row>
    <row r="1616" spans="1:14" x14ac:dyDescent="0.25">
      <c r="A1616" s="505" t="s">
        <v>4500</v>
      </c>
      <c r="B1616" s="505" t="s">
        <v>4501</v>
      </c>
      <c r="C1616" s="512" t="s">
        <v>8853</v>
      </c>
      <c r="D1616" s="512" t="s">
        <v>8915</v>
      </c>
      <c r="E1616" s="512" t="s">
        <v>238</v>
      </c>
      <c r="F1616" s="512" t="s">
        <v>8862</v>
      </c>
      <c r="G1616" s="512" t="s">
        <v>8646</v>
      </c>
      <c r="H1616" s="512" t="s">
        <v>7794</v>
      </c>
      <c r="I1616" s="512" t="s">
        <v>8382</v>
      </c>
      <c r="L1616" s="505" t="s">
        <v>1233</v>
      </c>
      <c r="M1616" s="516">
        <v>33.119999999999997</v>
      </c>
      <c r="N1616" s="505" t="s">
        <v>1233</v>
      </c>
    </row>
    <row r="1617" spans="1:14" x14ac:dyDescent="0.25">
      <c r="A1617" s="505" t="s">
        <v>4502</v>
      </c>
      <c r="B1617" s="505" t="s">
        <v>4503</v>
      </c>
      <c r="C1617" s="512" t="s">
        <v>8853</v>
      </c>
      <c r="D1617" s="512" t="s">
        <v>8915</v>
      </c>
      <c r="E1617" s="512" t="s">
        <v>238</v>
      </c>
      <c r="F1617" s="512" t="s">
        <v>8862</v>
      </c>
      <c r="G1617" s="512" t="s">
        <v>8646</v>
      </c>
      <c r="H1617" s="512" t="s">
        <v>7794</v>
      </c>
      <c r="I1617" s="512" t="s">
        <v>8916</v>
      </c>
      <c r="J1617" s="505" t="s">
        <v>8467</v>
      </c>
      <c r="L1617" s="505" t="s">
        <v>1233</v>
      </c>
      <c r="M1617" s="516">
        <v>41.39</v>
      </c>
      <c r="N1617" s="505" t="s">
        <v>1233</v>
      </c>
    </row>
    <row r="1618" spans="1:14" x14ac:dyDescent="0.25">
      <c r="A1618" s="505" t="s">
        <v>4504</v>
      </c>
      <c r="B1618" s="505" t="s">
        <v>4505</v>
      </c>
      <c r="C1618" s="512" t="s">
        <v>8853</v>
      </c>
      <c r="D1618" s="512" t="s">
        <v>8915</v>
      </c>
      <c r="E1618" s="512" t="s">
        <v>238</v>
      </c>
      <c r="F1618" s="512" t="s">
        <v>8862</v>
      </c>
      <c r="G1618" s="512" t="s">
        <v>8646</v>
      </c>
      <c r="H1618" s="512" t="s">
        <v>7794</v>
      </c>
      <c r="I1618" s="512" t="s">
        <v>8855</v>
      </c>
      <c r="L1618" s="505" t="s">
        <v>1233</v>
      </c>
      <c r="M1618" s="516">
        <v>33.119999999999997</v>
      </c>
      <c r="N1618" s="505" t="s">
        <v>1233</v>
      </c>
    </row>
    <row r="1619" spans="1:14" x14ac:dyDescent="0.25">
      <c r="A1619" s="505" t="s">
        <v>4506</v>
      </c>
      <c r="B1619" s="505" t="s">
        <v>4507</v>
      </c>
      <c r="C1619" s="512" t="s">
        <v>8853</v>
      </c>
      <c r="D1619" s="512" t="s">
        <v>8915</v>
      </c>
      <c r="E1619" s="512" t="s">
        <v>238</v>
      </c>
      <c r="F1619" s="512" t="s">
        <v>8862</v>
      </c>
      <c r="G1619" s="512" t="s">
        <v>8646</v>
      </c>
      <c r="H1619" s="512" t="s">
        <v>7794</v>
      </c>
      <c r="I1619" s="512" t="s">
        <v>7740</v>
      </c>
      <c r="J1619" s="505" t="s">
        <v>8901</v>
      </c>
      <c r="L1619" s="505" t="s">
        <v>1233</v>
      </c>
      <c r="M1619" s="516">
        <v>33.119999999999997</v>
      </c>
      <c r="N1619" s="505" t="s">
        <v>1233</v>
      </c>
    </row>
    <row r="1620" spans="1:14" x14ac:dyDescent="0.25">
      <c r="A1620" s="505" t="s">
        <v>4508</v>
      </c>
      <c r="B1620" s="505" t="s">
        <v>4509</v>
      </c>
      <c r="C1620" s="512" t="s">
        <v>8853</v>
      </c>
      <c r="D1620" s="512" t="s">
        <v>8915</v>
      </c>
      <c r="E1620" s="512" t="s">
        <v>238</v>
      </c>
      <c r="F1620" s="512" t="s">
        <v>8862</v>
      </c>
      <c r="G1620" s="512" t="s">
        <v>8646</v>
      </c>
      <c r="H1620" s="512" t="s">
        <v>7794</v>
      </c>
      <c r="I1620" s="512" t="s">
        <v>8879</v>
      </c>
      <c r="L1620" s="505" t="s">
        <v>1233</v>
      </c>
      <c r="M1620" s="516">
        <v>41.39</v>
      </c>
      <c r="N1620" s="505" t="s">
        <v>1233</v>
      </c>
    </row>
    <row r="1621" spans="1:14" x14ac:dyDescent="0.25">
      <c r="A1621" s="505" t="s">
        <v>4510</v>
      </c>
      <c r="B1621" s="505" t="s">
        <v>4511</v>
      </c>
      <c r="C1621" s="512" t="s">
        <v>8853</v>
      </c>
      <c r="D1621" s="512" t="s">
        <v>8915</v>
      </c>
      <c r="E1621" s="512" t="s">
        <v>238</v>
      </c>
      <c r="F1621" s="512" t="s">
        <v>8862</v>
      </c>
      <c r="G1621" s="512" t="s">
        <v>8646</v>
      </c>
      <c r="H1621" s="512" t="s">
        <v>7794</v>
      </c>
      <c r="I1621" s="512" t="s">
        <v>511</v>
      </c>
      <c r="L1621" s="505" t="s">
        <v>1233</v>
      </c>
      <c r="M1621" s="516">
        <v>33.119999999999997</v>
      </c>
      <c r="N1621" s="505" t="s">
        <v>1233</v>
      </c>
    </row>
    <row r="1622" spans="1:14" x14ac:dyDescent="0.25">
      <c r="A1622" s="505" t="s">
        <v>4512</v>
      </c>
      <c r="B1622" s="505" t="s">
        <v>4513</v>
      </c>
      <c r="C1622" s="512" t="s">
        <v>8853</v>
      </c>
      <c r="D1622" s="512" t="s">
        <v>8917</v>
      </c>
      <c r="E1622" s="512" t="s">
        <v>8918</v>
      </c>
      <c r="F1622" s="512" t="s">
        <v>8862</v>
      </c>
      <c r="G1622" s="512" t="s">
        <v>8646</v>
      </c>
      <c r="H1622" s="512" t="s">
        <v>7740</v>
      </c>
      <c r="I1622" s="512" t="s">
        <v>8876</v>
      </c>
      <c r="L1622" s="505" t="s">
        <v>114</v>
      </c>
      <c r="M1622" s="516">
        <v>41.86</v>
      </c>
      <c r="N1622" s="505" t="s">
        <v>114</v>
      </c>
    </row>
    <row r="1623" spans="1:14" x14ac:dyDescent="0.25">
      <c r="A1623" s="505" t="s">
        <v>4514</v>
      </c>
      <c r="B1623" s="505" t="s">
        <v>4515</v>
      </c>
      <c r="C1623" s="512" t="s">
        <v>8853</v>
      </c>
      <c r="D1623" s="512" t="s">
        <v>8917</v>
      </c>
      <c r="E1623" s="512" t="s">
        <v>8918</v>
      </c>
      <c r="F1623" s="512" t="s">
        <v>8862</v>
      </c>
      <c r="G1623" s="512" t="s">
        <v>8646</v>
      </c>
      <c r="H1623" s="512" t="s">
        <v>8855</v>
      </c>
      <c r="L1623" s="505" t="s">
        <v>1233</v>
      </c>
      <c r="M1623" s="516">
        <v>41.86</v>
      </c>
      <c r="N1623" s="505" t="s">
        <v>1233</v>
      </c>
    </row>
    <row r="1624" spans="1:14" x14ac:dyDescent="0.25">
      <c r="A1624" s="505" t="s">
        <v>4516</v>
      </c>
      <c r="B1624" s="505" t="s">
        <v>4517</v>
      </c>
      <c r="C1624" s="512" t="s">
        <v>8853</v>
      </c>
      <c r="D1624" s="512" t="s">
        <v>8917</v>
      </c>
      <c r="E1624" s="512" t="s">
        <v>8918</v>
      </c>
      <c r="F1624" s="512" t="s">
        <v>8862</v>
      </c>
      <c r="G1624" s="512" t="s">
        <v>8646</v>
      </c>
      <c r="H1624" s="512" t="s">
        <v>8879</v>
      </c>
      <c r="L1624" s="505" t="s">
        <v>114</v>
      </c>
      <c r="M1624" s="516">
        <v>52.62</v>
      </c>
      <c r="N1624" s="505" t="s">
        <v>114</v>
      </c>
    </row>
    <row r="1625" spans="1:14" x14ac:dyDescent="0.25">
      <c r="A1625" s="505" t="s">
        <v>4518</v>
      </c>
      <c r="B1625" s="505" t="s">
        <v>4519</v>
      </c>
      <c r="C1625" s="512" t="s">
        <v>8853</v>
      </c>
      <c r="D1625" s="512" t="s">
        <v>8919</v>
      </c>
      <c r="E1625" s="512" t="s">
        <v>8871</v>
      </c>
      <c r="F1625" s="512" t="s">
        <v>8913</v>
      </c>
      <c r="G1625" s="512" t="s">
        <v>8920</v>
      </c>
      <c r="H1625" s="512" t="s">
        <v>8855</v>
      </c>
      <c r="L1625" s="505" t="s">
        <v>114</v>
      </c>
      <c r="M1625" s="516">
        <v>41.39</v>
      </c>
      <c r="N1625" s="505" t="s">
        <v>114</v>
      </c>
    </row>
    <row r="1626" spans="1:14" x14ac:dyDescent="0.25">
      <c r="A1626" s="505" t="s">
        <v>4520</v>
      </c>
      <c r="B1626" s="505" t="s">
        <v>4521</v>
      </c>
      <c r="C1626" s="512" t="s">
        <v>8853</v>
      </c>
      <c r="D1626" s="512" t="s">
        <v>8919</v>
      </c>
      <c r="E1626" s="512" t="s">
        <v>8871</v>
      </c>
      <c r="F1626" s="512" t="s">
        <v>8913</v>
      </c>
      <c r="G1626" s="512" t="s">
        <v>8920</v>
      </c>
      <c r="H1626" s="512" t="s">
        <v>148</v>
      </c>
      <c r="L1626" s="505" t="s">
        <v>114</v>
      </c>
      <c r="M1626" s="516">
        <v>41.39</v>
      </c>
      <c r="N1626" s="505" t="s">
        <v>114</v>
      </c>
    </row>
    <row r="1627" spans="1:14" x14ac:dyDescent="0.25">
      <c r="A1627" s="505" t="s">
        <v>4522</v>
      </c>
      <c r="B1627" s="505" t="s">
        <v>4523</v>
      </c>
      <c r="C1627" s="512" t="s">
        <v>8853</v>
      </c>
      <c r="D1627" s="512" t="s">
        <v>8919</v>
      </c>
      <c r="E1627" s="512" t="s">
        <v>8871</v>
      </c>
      <c r="F1627" s="512" t="s">
        <v>8913</v>
      </c>
      <c r="G1627" s="512" t="s">
        <v>8920</v>
      </c>
      <c r="H1627" s="512" t="s">
        <v>8921</v>
      </c>
      <c r="L1627" s="505" t="s">
        <v>114</v>
      </c>
      <c r="M1627" s="516">
        <v>41.39</v>
      </c>
      <c r="N1627" s="505" t="s">
        <v>114</v>
      </c>
    </row>
    <row r="1628" spans="1:14" x14ac:dyDescent="0.25">
      <c r="A1628" s="505" t="s">
        <v>4524</v>
      </c>
      <c r="B1628" s="505" t="s">
        <v>4525</v>
      </c>
      <c r="C1628" s="512" t="s">
        <v>8853</v>
      </c>
      <c r="D1628" s="512" t="s">
        <v>8919</v>
      </c>
      <c r="E1628" s="512" t="s">
        <v>8871</v>
      </c>
      <c r="F1628" s="512" t="s">
        <v>8913</v>
      </c>
      <c r="G1628" s="512" t="s">
        <v>8920</v>
      </c>
      <c r="H1628" s="512" t="s">
        <v>8880</v>
      </c>
      <c r="I1628" s="512" t="s">
        <v>8467</v>
      </c>
      <c r="L1628" s="505" t="s">
        <v>114</v>
      </c>
      <c r="M1628" s="516">
        <v>41.39</v>
      </c>
      <c r="N1628" s="505" t="s">
        <v>114</v>
      </c>
    </row>
    <row r="1629" spans="1:14" x14ac:dyDescent="0.25">
      <c r="A1629" s="505" t="s">
        <v>4526</v>
      </c>
      <c r="B1629" s="505" t="s">
        <v>4527</v>
      </c>
      <c r="C1629" s="512" t="s">
        <v>8853</v>
      </c>
      <c r="D1629" s="512" t="s">
        <v>8922</v>
      </c>
      <c r="E1629" s="512" t="s">
        <v>8864</v>
      </c>
      <c r="F1629" s="512" t="s">
        <v>8646</v>
      </c>
      <c r="G1629" s="512" t="s">
        <v>8920</v>
      </c>
      <c r="H1629" s="512" t="s">
        <v>8923</v>
      </c>
      <c r="L1629" s="505" t="s">
        <v>114</v>
      </c>
      <c r="M1629" s="516">
        <v>33.119999999999997</v>
      </c>
      <c r="N1629" s="505" t="s">
        <v>114</v>
      </c>
    </row>
    <row r="1630" spans="1:14" x14ac:dyDescent="0.25">
      <c r="A1630" s="505" t="s">
        <v>4528</v>
      </c>
      <c r="B1630" s="505" t="s">
        <v>4529</v>
      </c>
      <c r="C1630" s="512" t="s">
        <v>8853</v>
      </c>
      <c r="D1630" s="512" t="s">
        <v>8922</v>
      </c>
      <c r="E1630" s="512" t="s">
        <v>8864</v>
      </c>
      <c r="F1630" s="512" t="s">
        <v>8646</v>
      </c>
      <c r="G1630" s="512" t="s">
        <v>8920</v>
      </c>
      <c r="H1630" s="512" t="s">
        <v>148</v>
      </c>
      <c r="L1630" s="505" t="s">
        <v>114</v>
      </c>
      <c r="M1630" s="516">
        <v>41.39</v>
      </c>
      <c r="N1630" s="505" t="s">
        <v>114</v>
      </c>
    </row>
    <row r="1631" spans="1:14" x14ac:dyDescent="0.25">
      <c r="A1631" s="505" t="s">
        <v>4530</v>
      </c>
      <c r="B1631" s="505" t="s">
        <v>4531</v>
      </c>
      <c r="C1631" s="512" t="s">
        <v>8853</v>
      </c>
      <c r="D1631" s="512" t="s">
        <v>8922</v>
      </c>
      <c r="E1631" s="512" t="s">
        <v>8864</v>
      </c>
      <c r="F1631" s="512" t="s">
        <v>8646</v>
      </c>
      <c r="G1631" s="512" t="s">
        <v>8920</v>
      </c>
      <c r="H1631" s="512" t="s">
        <v>8880</v>
      </c>
      <c r="I1631" s="512" t="s">
        <v>8467</v>
      </c>
      <c r="L1631" s="505" t="s">
        <v>114</v>
      </c>
      <c r="M1631" s="516">
        <v>41.39</v>
      </c>
      <c r="N1631" s="505" t="s">
        <v>114</v>
      </c>
    </row>
    <row r="1632" spans="1:14" x14ac:dyDescent="0.25">
      <c r="A1632" s="505" t="s">
        <v>4532</v>
      </c>
      <c r="B1632" s="505" t="s">
        <v>4533</v>
      </c>
      <c r="C1632" s="512" t="s">
        <v>8853</v>
      </c>
      <c r="D1632" s="512" t="s">
        <v>8924</v>
      </c>
      <c r="E1632" s="512" t="s">
        <v>8918</v>
      </c>
      <c r="F1632" s="512" t="s">
        <v>8925</v>
      </c>
      <c r="G1632" s="512" t="s">
        <v>8646</v>
      </c>
      <c r="H1632" s="512" t="s">
        <v>7740</v>
      </c>
      <c r="I1632" s="512" t="s">
        <v>8876</v>
      </c>
      <c r="L1632" s="505" t="s">
        <v>114</v>
      </c>
      <c r="M1632" s="516">
        <v>41.86</v>
      </c>
      <c r="N1632" s="505" t="s">
        <v>114</v>
      </c>
    </row>
    <row r="1633" spans="1:14" x14ac:dyDescent="0.25">
      <c r="A1633" s="505" t="s">
        <v>4534</v>
      </c>
      <c r="B1633" s="505" t="s">
        <v>4535</v>
      </c>
      <c r="C1633" s="512" t="s">
        <v>8853</v>
      </c>
      <c r="D1633" s="512" t="s">
        <v>8924</v>
      </c>
      <c r="E1633" s="512" t="s">
        <v>8918</v>
      </c>
      <c r="F1633" s="512" t="s">
        <v>8864</v>
      </c>
      <c r="G1633" s="512" t="s">
        <v>8646</v>
      </c>
      <c r="H1633" s="512" t="s">
        <v>8855</v>
      </c>
      <c r="L1633" s="505" t="s">
        <v>1233</v>
      </c>
      <c r="M1633" s="516">
        <v>41.86</v>
      </c>
      <c r="N1633" s="505" t="s">
        <v>1233</v>
      </c>
    </row>
    <row r="1634" spans="1:14" x14ac:dyDescent="0.25">
      <c r="A1634" s="505" t="s">
        <v>4536</v>
      </c>
      <c r="B1634" s="505" t="s">
        <v>4537</v>
      </c>
      <c r="C1634" s="512" t="s">
        <v>8853</v>
      </c>
      <c r="D1634" s="512" t="s">
        <v>8924</v>
      </c>
      <c r="E1634" s="512" t="s">
        <v>8918</v>
      </c>
      <c r="F1634" s="512" t="s">
        <v>8864</v>
      </c>
      <c r="G1634" s="512" t="s">
        <v>8646</v>
      </c>
      <c r="H1634" s="512" t="s">
        <v>8493</v>
      </c>
      <c r="L1634" s="505" t="s">
        <v>114</v>
      </c>
      <c r="M1634" s="516">
        <v>41.86</v>
      </c>
      <c r="N1634" s="505" t="s">
        <v>114</v>
      </c>
    </row>
    <row r="1635" spans="1:14" x14ac:dyDescent="0.25">
      <c r="A1635" s="505" t="s">
        <v>4538</v>
      </c>
      <c r="B1635" s="505" t="s">
        <v>4539</v>
      </c>
      <c r="C1635" s="512" t="s">
        <v>8853</v>
      </c>
      <c r="D1635" s="512" t="s">
        <v>8926</v>
      </c>
      <c r="E1635" s="512" t="s">
        <v>8871</v>
      </c>
      <c r="F1635" s="512" t="s">
        <v>8860</v>
      </c>
      <c r="G1635" s="512" t="s">
        <v>8927</v>
      </c>
      <c r="H1635" s="512" t="s">
        <v>8928</v>
      </c>
      <c r="L1635" s="505" t="s">
        <v>114</v>
      </c>
      <c r="M1635" s="516">
        <v>28.97</v>
      </c>
      <c r="N1635" s="505" t="s">
        <v>114</v>
      </c>
    </row>
    <row r="1636" spans="1:14" x14ac:dyDescent="0.25">
      <c r="A1636" s="505" t="s">
        <v>4540</v>
      </c>
      <c r="B1636" s="505" t="s">
        <v>4541</v>
      </c>
      <c r="C1636" s="512" t="s">
        <v>8853</v>
      </c>
      <c r="D1636" s="512" t="s">
        <v>8926</v>
      </c>
      <c r="E1636" s="512" t="s">
        <v>8871</v>
      </c>
      <c r="F1636" s="512" t="s">
        <v>8860</v>
      </c>
      <c r="G1636" s="512" t="s">
        <v>8927</v>
      </c>
      <c r="H1636" s="512" t="s">
        <v>8855</v>
      </c>
      <c r="L1636" s="505" t="s">
        <v>1233</v>
      </c>
      <c r="M1636" s="516">
        <v>28.97</v>
      </c>
      <c r="N1636" s="505" t="s">
        <v>1233</v>
      </c>
    </row>
    <row r="1637" spans="1:14" x14ac:dyDescent="0.25">
      <c r="A1637" s="505" t="s">
        <v>4542</v>
      </c>
      <c r="B1637" s="505" t="s">
        <v>4543</v>
      </c>
      <c r="C1637" s="512" t="s">
        <v>8869</v>
      </c>
      <c r="D1637" s="512" t="s">
        <v>8926</v>
      </c>
      <c r="E1637" s="512" t="s">
        <v>8871</v>
      </c>
      <c r="F1637" s="512" t="s">
        <v>8872</v>
      </c>
      <c r="G1637" s="512" t="s">
        <v>8343</v>
      </c>
      <c r="H1637" s="512" t="s">
        <v>8407</v>
      </c>
      <c r="L1637" s="505" t="s">
        <v>114</v>
      </c>
      <c r="M1637" s="516">
        <v>28.97</v>
      </c>
      <c r="N1637" s="505" t="s">
        <v>114</v>
      </c>
    </row>
    <row r="1638" spans="1:14" x14ac:dyDescent="0.25">
      <c r="A1638" s="505" t="s">
        <v>4544</v>
      </c>
      <c r="B1638" s="505" t="s">
        <v>4545</v>
      </c>
      <c r="C1638" s="512" t="s">
        <v>8853</v>
      </c>
      <c r="D1638" s="512" t="s">
        <v>8926</v>
      </c>
      <c r="E1638" s="512" t="s">
        <v>8871</v>
      </c>
      <c r="F1638" s="512" t="s">
        <v>8860</v>
      </c>
      <c r="G1638" s="512" t="s">
        <v>8927</v>
      </c>
      <c r="H1638" s="512" t="s">
        <v>511</v>
      </c>
      <c r="L1638" s="505" t="s">
        <v>114</v>
      </c>
      <c r="M1638" s="516">
        <v>28.97</v>
      </c>
      <c r="N1638" s="505" t="s">
        <v>114</v>
      </c>
    </row>
    <row r="1639" spans="1:14" x14ac:dyDescent="0.25">
      <c r="A1639" s="505" t="s">
        <v>4546</v>
      </c>
      <c r="B1639" s="505" t="s">
        <v>4547</v>
      </c>
      <c r="C1639" s="512" t="s">
        <v>8869</v>
      </c>
      <c r="D1639" s="512" t="s">
        <v>8929</v>
      </c>
      <c r="E1639" s="512" t="s">
        <v>8930</v>
      </c>
      <c r="F1639" s="512" t="s">
        <v>8872</v>
      </c>
      <c r="G1639" s="512" t="s">
        <v>8931</v>
      </c>
      <c r="H1639" s="512" t="s">
        <v>8932</v>
      </c>
      <c r="I1639" s="512" t="s">
        <v>8933</v>
      </c>
      <c r="L1639" s="505" t="s">
        <v>1233</v>
      </c>
      <c r="M1639" s="516">
        <v>25.87</v>
      </c>
      <c r="N1639" s="505" t="s">
        <v>1233</v>
      </c>
    </row>
    <row r="1640" spans="1:14" x14ac:dyDescent="0.25">
      <c r="A1640" s="505" t="s">
        <v>4548</v>
      </c>
      <c r="B1640" s="505" t="s">
        <v>4549</v>
      </c>
      <c r="C1640" s="512" t="s">
        <v>8853</v>
      </c>
      <c r="D1640" s="512" t="s">
        <v>8929</v>
      </c>
      <c r="E1640" s="512" t="s">
        <v>8930</v>
      </c>
      <c r="F1640" s="512" t="s">
        <v>8860</v>
      </c>
      <c r="G1640" s="512" t="s">
        <v>8758</v>
      </c>
      <c r="H1640" s="512" t="s">
        <v>8932</v>
      </c>
      <c r="I1640" s="512" t="s">
        <v>8855</v>
      </c>
      <c r="L1640" s="505" t="s">
        <v>1233</v>
      </c>
      <c r="M1640" s="516">
        <v>25.87</v>
      </c>
      <c r="N1640" s="505" t="s">
        <v>1233</v>
      </c>
    </row>
    <row r="1641" spans="1:14" x14ac:dyDescent="0.25">
      <c r="A1641" s="505" t="s">
        <v>4550</v>
      </c>
      <c r="B1641" s="505" t="s">
        <v>4551</v>
      </c>
      <c r="C1641" s="512" t="s">
        <v>8853</v>
      </c>
      <c r="D1641" s="512" t="s">
        <v>8929</v>
      </c>
      <c r="E1641" s="512" t="s">
        <v>8930</v>
      </c>
      <c r="F1641" s="512" t="s">
        <v>8860</v>
      </c>
      <c r="G1641" s="512" t="s">
        <v>8758</v>
      </c>
      <c r="H1641" s="512" t="s">
        <v>8932</v>
      </c>
      <c r="I1641" s="512" t="s">
        <v>8908</v>
      </c>
      <c r="L1641" s="505" t="s">
        <v>1233</v>
      </c>
      <c r="M1641" s="516">
        <v>25.87</v>
      </c>
      <c r="N1641" s="505" t="s">
        <v>1233</v>
      </c>
    </row>
    <row r="1642" spans="1:14" x14ac:dyDescent="0.25">
      <c r="A1642" s="505" t="s">
        <v>4552</v>
      </c>
      <c r="B1642" s="505" t="s">
        <v>4553</v>
      </c>
      <c r="C1642" s="512" t="s">
        <v>8853</v>
      </c>
      <c r="D1642" s="512" t="s">
        <v>8929</v>
      </c>
      <c r="E1642" s="512" t="s">
        <v>8930</v>
      </c>
      <c r="F1642" s="512" t="s">
        <v>8860</v>
      </c>
      <c r="G1642" s="512" t="s">
        <v>8758</v>
      </c>
      <c r="H1642" s="512" t="s">
        <v>8932</v>
      </c>
      <c r="I1642" s="512" t="s">
        <v>8934</v>
      </c>
      <c r="L1642" s="505" t="s">
        <v>1233</v>
      </c>
      <c r="M1642" s="516">
        <v>34.22</v>
      </c>
      <c r="N1642" s="505" t="s">
        <v>1233</v>
      </c>
    </row>
    <row r="1643" spans="1:14" x14ac:dyDescent="0.25">
      <c r="A1643" s="505" t="s">
        <v>4554</v>
      </c>
      <c r="B1643" s="505" t="s">
        <v>4555</v>
      </c>
      <c r="C1643" s="512" t="s">
        <v>8853</v>
      </c>
      <c r="D1643" s="512" t="s">
        <v>8929</v>
      </c>
      <c r="E1643" s="512" t="s">
        <v>8930</v>
      </c>
      <c r="F1643" s="512" t="s">
        <v>8860</v>
      </c>
      <c r="G1643" s="512" t="s">
        <v>8758</v>
      </c>
      <c r="H1643" s="512" t="s">
        <v>8932</v>
      </c>
      <c r="I1643" s="512" t="s">
        <v>511</v>
      </c>
      <c r="L1643" s="505" t="s">
        <v>1233</v>
      </c>
      <c r="M1643" s="516">
        <v>25.87</v>
      </c>
      <c r="N1643" s="505" t="s">
        <v>1233</v>
      </c>
    </row>
    <row r="1644" spans="1:14" x14ac:dyDescent="0.25">
      <c r="A1644" s="505" t="s">
        <v>4556</v>
      </c>
      <c r="B1644" s="505" t="s">
        <v>4557</v>
      </c>
      <c r="C1644" s="512" t="s">
        <v>8853</v>
      </c>
      <c r="D1644" s="512" t="s">
        <v>8935</v>
      </c>
      <c r="E1644" s="512" t="s">
        <v>8859</v>
      </c>
      <c r="F1644" s="512" t="s">
        <v>8483</v>
      </c>
      <c r="G1644" s="512" t="s">
        <v>8936</v>
      </c>
      <c r="H1644" s="512" t="s">
        <v>148</v>
      </c>
      <c r="I1644" s="512" t="s">
        <v>8876</v>
      </c>
      <c r="L1644" s="505" t="s">
        <v>1233</v>
      </c>
      <c r="M1644" s="516">
        <v>25.87</v>
      </c>
      <c r="N1644" s="505" t="s">
        <v>1233</v>
      </c>
    </row>
    <row r="1645" spans="1:14" x14ac:dyDescent="0.25">
      <c r="A1645" s="505" t="s">
        <v>4558</v>
      </c>
      <c r="B1645" s="505" t="s">
        <v>4559</v>
      </c>
      <c r="C1645" s="512" t="s">
        <v>8853</v>
      </c>
      <c r="D1645" s="512" t="s">
        <v>8935</v>
      </c>
      <c r="E1645" s="512" t="s">
        <v>8859</v>
      </c>
      <c r="F1645" s="512" t="s">
        <v>8483</v>
      </c>
      <c r="G1645" s="512" t="s">
        <v>8936</v>
      </c>
      <c r="H1645" s="512" t="s">
        <v>8855</v>
      </c>
      <c r="I1645" s="512" t="s">
        <v>8876</v>
      </c>
      <c r="L1645" s="505" t="s">
        <v>1233</v>
      </c>
      <c r="M1645" s="516">
        <v>25.87</v>
      </c>
      <c r="N1645" s="505" t="s">
        <v>1233</v>
      </c>
    </row>
    <row r="1646" spans="1:14" x14ac:dyDescent="0.25">
      <c r="A1646" s="505" t="s">
        <v>4560</v>
      </c>
      <c r="B1646" s="505" t="s">
        <v>4561</v>
      </c>
      <c r="C1646" s="512" t="s">
        <v>8853</v>
      </c>
      <c r="D1646" s="512" t="s">
        <v>8937</v>
      </c>
      <c r="E1646" s="512" t="s">
        <v>8938</v>
      </c>
      <c r="F1646" s="512" t="s">
        <v>8475</v>
      </c>
      <c r="G1646" s="512" t="s">
        <v>7782</v>
      </c>
      <c r="H1646" s="512" t="s">
        <v>148</v>
      </c>
      <c r="L1646" s="505" t="s">
        <v>1233</v>
      </c>
      <c r="M1646" s="516">
        <v>30.82</v>
      </c>
      <c r="N1646" s="505" t="s">
        <v>1233</v>
      </c>
    </row>
    <row r="1647" spans="1:14" x14ac:dyDescent="0.25">
      <c r="A1647" s="505" t="s">
        <v>4562</v>
      </c>
      <c r="B1647" s="505" t="s">
        <v>4563</v>
      </c>
      <c r="C1647" s="512" t="s">
        <v>8853</v>
      </c>
      <c r="D1647" s="512" t="s">
        <v>8937</v>
      </c>
      <c r="E1647" s="512" t="s">
        <v>8938</v>
      </c>
      <c r="F1647" s="512" t="s">
        <v>8475</v>
      </c>
      <c r="G1647" s="512" t="s">
        <v>7782</v>
      </c>
      <c r="H1647" s="512" t="s">
        <v>8855</v>
      </c>
      <c r="L1647" s="505" t="s">
        <v>1233</v>
      </c>
      <c r="M1647" s="516">
        <v>20.53</v>
      </c>
      <c r="N1647" s="505" t="s">
        <v>1233</v>
      </c>
    </row>
    <row r="1648" spans="1:14" x14ac:dyDescent="0.25">
      <c r="A1648" s="505" t="s">
        <v>4564</v>
      </c>
      <c r="B1648" s="505" t="s">
        <v>4565</v>
      </c>
      <c r="C1648" s="512" t="s">
        <v>8853</v>
      </c>
      <c r="D1648" s="512" t="s">
        <v>8937</v>
      </c>
      <c r="E1648" s="512" t="s">
        <v>8938</v>
      </c>
      <c r="F1648" s="512" t="s">
        <v>8475</v>
      </c>
      <c r="G1648" s="512" t="s">
        <v>7782</v>
      </c>
      <c r="H1648" s="512" t="s">
        <v>8493</v>
      </c>
      <c r="L1648" s="505" t="s">
        <v>1233</v>
      </c>
      <c r="M1648" s="516">
        <v>20.53</v>
      </c>
      <c r="N1648" s="505" t="s">
        <v>1233</v>
      </c>
    </row>
    <row r="1649" spans="1:14" x14ac:dyDescent="0.25">
      <c r="A1649" s="505" t="s">
        <v>4566</v>
      </c>
      <c r="B1649" s="505" t="s">
        <v>4567</v>
      </c>
      <c r="C1649" s="512" t="s">
        <v>8853</v>
      </c>
      <c r="D1649" s="512" t="s">
        <v>8939</v>
      </c>
      <c r="E1649" s="512" t="s">
        <v>8860</v>
      </c>
      <c r="F1649" s="512" t="s">
        <v>8475</v>
      </c>
      <c r="G1649" s="512" t="s">
        <v>7782</v>
      </c>
      <c r="H1649" s="512" t="s">
        <v>148</v>
      </c>
      <c r="L1649" s="505" t="s">
        <v>1233</v>
      </c>
      <c r="M1649" s="516">
        <v>45.19</v>
      </c>
      <c r="N1649" s="505" t="s">
        <v>1233</v>
      </c>
    </row>
    <row r="1650" spans="1:14" x14ac:dyDescent="0.25">
      <c r="A1650" s="505" t="s">
        <v>4568</v>
      </c>
      <c r="B1650" s="505" t="s">
        <v>4569</v>
      </c>
      <c r="C1650" s="512" t="s">
        <v>8853</v>
      </c>
      <c r="D1650" s="512" t="s">
        <v>8939</v>
      </c>
      <c r="E1650" s="512" t="s">
        <v>8860</v>
      </c>
      <c r="F1650" s="512" t="s">
        <v>8475</v>
      </c>
      <c r="G1650" s="512" t="s">
        <v>7782</v>
      </c>
      <c r="H1650" s="512" t="s">
        <v>8493</v>
      </c>
      <c r="L1650" s="505" t="s">
        <v>1233</v>
      </c>
      <c r="M1650" s="516">
        <v>38.51</v>
      </c>
      <c r="N1650" s="505" t="s">
        <v>1233</v>
      </c>
    </row>
    <row r="1651" spans="1:14" x14ac:dyDescent="0.25">
      <c r="A1651" s="505" t="s">
        <v>4570</v>
      </c>
      <c r="B1651" s="505" t="s">
        <v>4571</v>
      </c>
      <c r="C1651" s="512" t="s">
        <v>8857</v>
      </c>
      <c r="D1651" s="512" t="s">
        <v>8940</v>
      </c>
      <c r="E1651" s="512" t="s">
        <v>8859</v>
      </c>
      <c r="F1651" s="512" t="s">
        <v>8941</v>
      </c>
      <c r="G1651" s="512" t="s">
        <v>8574</v>
      </c>
      <c r="H1651" s="512" t="s">
        <v>7827</v>
      </c>
      <c r="I1651" s="512" t="s">
        <v>8900</v>
      </c>
      <c r="J1651" s="505" t="s">
        <v>8923</v>
      </c>
      <c r="L1651" s="505" t="s">
        <v>1233</v>
      </c>
      <c r="M1651" s="516">
        <v>30.52</v>
      </c>
      <c r="N1651" s="505" t="s">
        <v>1233</v>
      </c>
    </row>
    <row r="1652" spans="1:14" x14ac:dyDescent="0.25">
      <c r="A1652" s="505" t="s">
        <v>4572</v>
      </c>
      <c r="B1652" s="505" t="s">
        <v>4573</v>
      </c>
      <c r="C1652" s="512" t="s">
        <v>8857</v>
      </c>
      <c r="D1652" s="512" t="s">
        <v>8940</v>
      </c>
      <c r="E1652" s="512" t="s">
        <v>8859</v>
      </c>
      <c r="F1652" s="512" t="s">
        <v>8941</v>
      </c>
      <c r="G1652" s="512" t="s">
        <v>8574</v>
      </c>
      <c r="H1652" s="512" t="s">
        <v>7827</v>
      </c>
      <c r="I1652" s="512" t="s">
        <v>8900</v>
      </c>
      <c r="J1652" s="505" t="s">
        <v>7740</v>
      </c>
      <c r="L1652" s="505" t="s">
        <v>1233</v>
      </c>
      <c r="M1652" s="516">
        <v>30.52</v>
      </c>
      <c r="N1652" s="505" t="s">
        <v>1233</v>
      </c>
    </row>
    <row r="1653" spans="1:14" x14ac:dyDescent="0.25">
      <c r="A1653" s="505" t="s">
        <v>4574</v>
      </c>
      <c r="B1653" s="505" t="s">
        <v>4575</v>
      </c>
      <c r="C1653" s="512" t="s">
        <v>8853</v>
      </c>
      <c r="D1653" s="512" t="s">
        <v>8942</v>
      </c>
      <c r="E1653" s="512" t="s">
        <v>8943</v>
      </c>
      <c r="F1653" s="512" t="s">
        <v>8862</v>
      </c>
      <c r="G1653" s="512" t="s">
        <v>8646</v>
      </c>
      <c r="H1653" s="512" t="s">
        <v>7740</v>
      </c>
      <c r="I1653" s="512" t="s">
        <v>8876</v>
      </c>
      <c r="L1653" s="505" t="s">
        <v>114</v>
      </c>
      <c r="M1653" s="516">
        <v>35.840000000000003</v>
      </c>
      <c r="N1653" s="505" t="s">
        <v>114</v>
      </c>
    </row>
    <row r="1654" spans="1:14" x14ac:dyDescent="0.25">
      <c r="A1654" s="505" t="s">
        <v>4576</v>
      </c>
      <c r="B1654" s="505" t="s">
        <v>4577</v>
      </c>
      <c r="C1654" s="512" t="s">
        <v>8853</v>
      </c>
      <c r="D1654" s="512" t="s">
        <v>8942</v>
      </c>
      <c r="E1654" s="512" t="s">
        <v>8943</v>
      </c>
      <c r="F1654" s="512" t="s">
        <v>8862</v>
      </c>
      <c r="G1654" s="512" t="s">
        <v>8646</v>
      </c>
      <c r="H1654" s="512" t="s">
        <v>8855</v>
      </c>
      <c r="L1654" s="505" t="s">
        <v>114</v>
      </c>
      <c r="M1654" s="516">
        <v>35.840000000000003</v>
      </c>
      <c r="N1654" s="505" t="s">
        <v>114</v>
      </c>
    </row>
    <row r="1655" spans="1:14" x14ac:dyDescent="0.25">
      <c r="A1655" s="505" t="s">
        <v>4578</v>
      </c>
      <c r="B1655" s="505" t="s">
        <v>4579</v>
      </c>
      <c r="C1655" s="512" t="s">
        <v>8853</v>
      </c>
      <c r="D1655" s="512" t="s">
        <v>8944</v>
      </c>
      <c r="E1655" s="512" t="s">
        <v>8912</v>
      </c>
      <c r="F1655" s="512" t="s">
        <v>8913</v>
      </c>
      <c r="G1655" s="512" t="s">
        <v>8382</v>
      </c>
      <c r="L1655" s="505" t="s">
        <v>114</v>
      </c>
      <c r="M1655" s="516">
        <v>35.840000000000003</v>
      </c>
      <c r="N1655" s="505" t="s">
        <v>114</v>
      </c>
    </row>
    <row r="1656" spans="1:14" x14ac:dyDescent="0.25">
      <c r="A1656" s="505" t="s">
        <v>4580</v>
      </c>
      <c r="B1656" s="505" t="s">
        <v>4581</v>
      </c>
      <c r="C1656" s="512" t="s">
        <v>8853</v>
      </c>
      <c r="D1656" s="512" t="s">
        <v>8944</v>
      </c>
      <c r="E1656" s="512" t="s">
        <v>8912</v>
      </c>
      <c r="F1656" s="512" t="s">
        <v>8913</v>
      </c>
      <c r="G1656" s="512" t="s">
        <v>8855</v>
      </c>
      <c r="L1656" s="505" t="s">
        <v>114</v>
      </c>
      <c r="M1656" s="516">
        <v>35.840000000000003</v>
      </c>
      <c r="N1656" s="505" t="s">
        <v>114</v>
      </c>
    </row>
    <row r="1657" spans="1:14" x14ac:dyDescent="0.25">
      <c r="A1657" s="505" t="s">
        <v>4582</v>
      </c>
      <c r="B1657" s="505" t="s">
        <v>4583</v>
      </c>
      <c r="C1657" s="512" t="s">
        <v>8853</v>
      </c>
      <c r="D1657" s="512" t="s">
        <v>8944</v>
      </c>
      <c r="E1657" s="512" t="s">
        <v>8912</v>
      </c>
      <c r="F1657" s="512" t="s">
        <v>8913</v>
      </c>
      <c r="G1657" s="512" t="s">
        <v>148</v>
      </c>
      <c r="H1657" s="512" t="s">
        <v>8876</v>
      </c>
      <c r="L1657" s="505" t="s">
        <v>114</v>
      </c>
      <c r="M1657" s="516">
        <v>35.840000000000003</v>
      </c>
      <c r="N1657" s="505" t="s">
        <v>114</v>
      </c>
    </row>
    <row r="1658" spans="1:14" x14ac:dyDescent="0.25">
      <c r="A1658" s="505" t="s">
        <v>4584</v>
      </c>
      <c r="B1658" s="505" t="s">
        <v>4585</v>
      </c>
      <c r="C1658" s="512" t="s">
        <v>8853</v>
      </c>
      <c r="D1658" s="512" t="s">
        <v>8945</v>
      </c>
      <c r="E1658" s="512" t="s">
        <v>238</v>
      </c>
      <c r="F1658" s="512" t="s">
        <v>8913</v>
      </c>
      <c r="G1658" s="512" t="s">
        <v>8337</v>
      </c>
      <c r="H1658" s="512" t="s">
        <v>7782</v>
      </c>
      <c r="I1658" s="512" t="s">
        <v>148</v>
      </c>
      <c r="L1658" s="505" t="s">
        <v>114</v>
      </c>
      <c r="M1658" s="516">
        <v>46.46</v>
      </c>
      <c r="N1658" s="505" t="s">
        <v>114</v>
      </c>
    </row>
    <row r="1659" spans="1:14" x14ac:dyDescent="0.25">
      <c r="A1659" s="505" t="s">
        <v>4586</v>
      </c>
      <c r="B1659" s="505" t="s">
        <v>4587</v>
      </c>
      <c r="C1659" s="512" t="s">
        <v>8853</v>
      </c>
      <c r="D1659" s="512" t="s">
        <v>8946</v>
      </c>
      <c r="E1659" s="512" t="s">
        <v>8337</v>
      </c>
      <c r="F1659" s="512" t="s">
        <v>8864</v>
      </c>
      <c r="G1659" s="512" t="s">
        <v>8793</v>
      </c>
      <c r="H1659" s="512" t="s">
        <v>8947</v>
      </c>
      <c r="L1659" s="505" t="s">
        <v>114</v>
      </c>
      <c r="M1659" s="516">
        <v>33.119999999999997</v>
      </c>
      <c r="N1659" s="505" t="s">
        <v>114</v>
      </c>
    </row>
    <row r="1660" spans="1:14" x14ac:dyDescent="0.25">
      <c r="A1660" s="505" t="s">
        <v>4588</v>
      </c>
      <c r="B1660" s="505" t="s">
        <v>4589</v>
      </c>
      <c r="C1660" s="512" t="s">
        <v>8853</v>
      </c>
      <c r="D1660" s="512" t="s">
        <v>8946</v>
      </c>
      <c r="E1660" s="512" t="s">
        <v>8337</v>
      </c>
      <c r="F1660" s="512" t="s">
        <v>8864</v>
      </c>
      <c r="G1660" s="512" t="s">
        <v>8793</v>
      </c>
      <c r="H1660" s="512" t="s">
        <v>8855</v>
      </c>
      <c r="L1660" s="505" t="s">
        <v>114</v>
      </c>
      <c r="M1660" s="516">
        <v>33.119999999999997</v>
      </c>
      <c r="N1660" s="505" t="s">
        <v>114</v>
      </c>
    </row>
    <row r="1661" spans="1:14" x14ac:dyDescent="0.25">
      <c r="A1661" s="505" t="s">
        <v>4590</v>
      </c>
      <c r="B1661" s="505" t="s">
        <v>4591</v>
      </c>
      <c r="C1661" s="512" t="s">
        <v>8853</v>
      </c>
      <c r="D1661" s="512" t="s">
        <v>8948</v>
      </c>
      <c r="E1661" s="512" t="s">
        <v>8871</v>
      </c>
      <c r="F1661" s="512" t="s">
        <v>8860</v>
      </c>
      <c r="G1661" s="512" t="s">
        <v>8891</v>
      </c>
      <c r="H1661" s="512" t="s">
        <v>8900</v>
      </c>
      <c r="I1661" s="512" t="s">
        <v>8855</v>
      </c>
      <c r="L1661" s="505" t="s">
        <v>1233</v>
      </c>
      <c r="M1661" s="516">
        <v>31.04</v>
      </c>
      <c r="N1661" s="505" t="s">
        <v>1233</v>
      </c>
    </row>
    <row r="1662" spans="1:14" x14ac:dyDescent="0.25">
      <c r="A1662" s="505" t="s">
        <v>4592</v>
      </c>
      <c r="B1662" s="505" t="s">
        <v>4593</v>
      </c>
      <c r="C1662" s="512" t="s">
        <v>8853</v>
      </c>
      <c r="D1662" s="512" t="s">
        <v>8949</v>
      </c>
      <c r="E1662" s="512" t="s">
        <v>8337</v>
      </c>
      <c r="F1662" s="512" t="s">
        <v>8864</v>
      </c>
      <c r="G1662" s="512" t="s">
        <v>8793</v>
      </c>
      <c r="H1662" s="512" t="s">
        <v>8855</v>
      </c>
      <c r="L1662" s="505" t="s">
        <v>114</v>
      </c>
      <c r="M1662" s="516">
        <v>33.119999999999997</v>
      </c>
      <c r="N1662" s="505" t="s">
        <v>114</v>
      </c>
    </row>
    <row r="1663" spans="1:14" x14ac:dyDescent="0.25">
      <c r="A1663" s="505" t="s">
        <v>4594</v>
      </c>
      <c r="B1663" s="505" t="s">
        <v>4595</v>
      </c>
      <c r="C1663" s="512" t="s">
        <v>8853</v>
      </c>
      <c r="D1663" s="512" t="s">
        <v>8950</v>
      </c>
      <c r="E1663" s="512" t="s">
        <v>8868</v>
      </c>
      <c r="F1663" s="512" t="s">
        <v>8574</v>
      </c>
      <c r="G1663" s="512" t="s">
        <v>7782</v>
      </c>
      <c r="H1663" s="512" t="s">
        <v>8337</v>
      </c>
      <c r="I1663" s="512" t="s">
        <v>8947</v>
      </c>
      <c r="L1663" s="505" t="s">
        <v>114</v>
      </c>
      <c r="M1663" s="516">
        <v>16.55</v>
      </c>
      <c r="N1663" s="505" t="s">
        <v>114</v>
      </c>
    </row>
    <row r="1664" spans="1:14" x14ac:dyDescent="0.25">
      <c r="A1664" s="505" t="s">
        <v>4596</v>
      </c>
      <c r="B1664" s="505" t="s">
        <v>4597</v>
      </c>
      <c r="C1664" s="512" t="s">
        <v>8853</v>
      </c>
      <c r="D1664" s="512" t="s">
        <v>8950</v>
      </c>
      <c r="E1664" s="512" t="s">
        <v>8868</v>
      </c>
      <c r="F1664" s="512" t="s">
        <v>8574</v>
      </c>
      <c r="G1664" s="512" t="s">
        <v>7782</v>
      </c>
      <c r="H1664" s="512" t="s">
        <v>8337</v>
      </c>
      <c r="I1664" s="512" t="s">
        <v>8855</v>
      </c>
      <c r="L1664" s="505" t="s">
        <v>114</v>
      </c>
      <c r="M1664" s="516">
        <v>16.55</v>
      </c>
      <c r="N1664" s="505" t="s">
        <v>114</v>
      </c>
    </row>
    <row r="1665" spans="1:14" x14ac:dyDescent="0.25">
      <c r="A1665" s="505" t="s">
        <v>4598</v>
      </c>
      <c r="B1665" s="505" t="s">
        <v>4599</v>
      </c>
      <c r="C1665" s="512" t="s">
        <v>8853</v>
      </c>
      <c r="D1665" s="512" t="s">
        <v>8950</v>
      </c>
      <c r="E1665" s="512" t="s">
        <v>8868</v>
      </c>
      <c r="F1665" s="512" t="s">
        <v>8574</v>
      </c>
      <c r="G1665" s="512" t="s">
        <v>7782</v>
      </c>
      <c r="H1665" s="512" t="s">
        <v>8337</v>
      </c>
      <c r="I1665" s="512" t="s">
        <v>8880</v>
      </c>
      <c r="J1665" s="505" t="s">
        <v>511</v>
      </c>
      <c r="L1665" s="505" t="s">
        <v>114</v>
      </c>
      <c r="M1665" s="516">
        <v>16.55</v>
      </c>
      <c r="N1665" s="505" t="s">
        <v>114</v>
      </c>
    </row>
    <row r="1666" spans="1:14" x14ac:dyDescent="0.25">
      <c r="A1666" s="505" t="s">
        <v>4600</v>
      </c>
      <c r="B1666" s="505" t="s">
        <v>4601</v>
      </c>
      <c r="C1666" s="512" t="s">
        <v>8853</v>
      </c>
      <c r="D1666" s="512" t="s">
        <v>8951</v>
      </c>
      <c r="E1666" s="512" t="s">
        <v>8938</v>
      </c>
      <c r="F1666" s="512" t="s">
        <v>8017</v>
      </c>
      <c r="G1666" s="512" t="s">
        <v>8952</v>
      </c>
      <c r="H1666" s="512" t="s">
        <v>8855</v>
      </c>
      <c r="L1666" s="505" t="s">
        <v>114</v>
      </c>
      <c r="M1666" s="516">
        <v>31.67</v>
      </c>
      <c r="N1666" s="505" t="s">
        <v>114</v>
      </c>
    </row>
    <row r="1667" spans="1:14" x14ac:dyDescent="0.25">
      <c r="A1667" s="505" t="s">
        <v>4602</v>
      </c>
      <c r="B1667" s="505" t="s">
        <v>4603</v>
      </c>
      <c r="C1667" s="512" t="s">
        <v>8853</v>
      </c>
      <c r="D1667" s="512" t="s">
        <v>8951</v>
      </c>
      <c r="E1667" s="512" t="s">
        <v>8938</v>
      </c>
      <c r="F1667" s="512" t="s">
        <v>8017</v>
      </c>
      <c r="G1667" s="512" t="s">
        <v>8952</v>
      </c>
      <c r="H1667" s="512" t="s">
        <v>7700</v>
      </c>
      <c r="L1667" s="505" t="s">
        <v>114</v>
      </c>
      <c r="M1667" s="516">
        <v>31.67</v>
      </c>
      <c r="N1667" s="505" t="s">
        <v>114</v>
      </c>
    </row>
    <row r="1668" spans="1:14" x14ac:dyDescent="0.25">
      <c r="A1668" s="505" t="s">
        <v>4604</v>
      </c>
      <c r="B1668" s="505" t="s">
        <v>4605</v>
      </c>
      <c r="C1668" s="512" t="s">
        <v>8869</v>
      </c>
      <c r="D1668" s="512" t="s">
        <v>8953</v>
      </c>
      <c r="E1668" s="512" t="s">
        <v>8072</v>
      </c>
      <c r="F1668" s="512" t="s">
        <v>8862</v>
      </c>
      <c r="G1668" s="512" t="s">
        <v>8487</v>
      </c>
      <c r="H1668" s="512" t="s">
        <v>8407</v>
      </c>
      <c r="L1668" s="505" t="s">
        <v>114</v>
      </c>
      <c r="M1668" s="516">
        <v>33.119999999999997</v>
      </c>
      <c r="N1668" s="505" t="s">
        <v>114</v>
      </c>
    </row>
    <row r="1669" spans="1:14" x14ac:dyDescent="0.25">
      <c r="A1669" s="505" t="s">
        <v>4606</v>
      </c>
      <c r="B1669" s="505" t="s">
        <v>4607</v>
      </c>
      <c r="C1669" s="512" t="s">
        <v>8869</v>
      </c>
      <c r="D1669" s="512" t="s">
        <v>8897</v>
      </c>
      <c r="E1669" s="512" t="s">
        <v>8386</v>
      </c>
      <c r="F1669" s="512" t="s">
        <v>7797</v>
      </c>
      <c r="G1669" s="512" t="s">
        <v>8407</v>
      </c>
      <c r="L1669" s="505" t="s">
        <v>114</v>
      </c>
      <c r="M1669" s="516">
        <v>23.45</v>
      </c>
      <c r="N1669" s="505" t="s">
        <v>114</v>
      </c>
    </row>
    <row r="1670" spans="1:14" x14ac:dyDescent="0.25">
      <c r="A1670" s="505" t="s">
        <v>4608</v>
      </c>
      <c r="B1670" s="505" t="s">
        <v>4609</v>
      </c>
      <c r="C1670" s="512" t="s">
        <v>8869</v>
      </c>
      <c r="D1670" s="512" t="s">
        <v>8905</v>
      </c>
      <c r="E1670" s="512" t="s">
        <v>2466</v>
      </c>
      <c r="F1670" s="512" t="s">
        <v>8906</v>
      </c>
      <c r="G1670" s="512" t="s">
        <v>8456</v>
      </c>
      <c r="H1670" s="512" t="s">
        <v>8907</v>
      </c>
      <c r="I1670" s="512" t="s">
        <v>7977</v>
      </c>
      <c r="L1670" s="505" t="s">
        <v>114</v>
      </c>
      <c r="M1670" s="516">
        <v>16.03</v>
      </c>
      <c r="N1670" s="505" t="s">
        <v>114</v>
      </c>
    </row>
    <row r="1671" spans="1:14" x14ac:dyDescent="0.25">
      <c r="A1671" s="505" t="s">
        <v>4610</v>
      </c>
      <c r="B1671" s="505" t="s">
        <v>4611</v>
      </c>
      <c r="C1671" s="512" t="s">
        <v>8853</v>
      </c>
      <c r="D1671" s="512" t="s">
        <v>8917</v>
      </c>
      <c r="E1671" s="512" t="s">
        <v>8918</v>
      </c>
      <c r="F1671" s="512" t="s">
        <v>8862</v>
      </c>
      <c r="G1671" s="512" t="s">
        <v>8646</v>
      </c>
      <c r="H1671" s="512" t="s">
        <v>8382</v>
      </c>
      <c r="L1671" s="505" t="s">
        <v>114</v>
      </c>
      <c r="M1671" s="516">
        <v>41.86</v>
      </c>
      <c r="N1671" s="505" t="s">
        <v>114</v>
      </c>
    </row>
    <row r="1672" spans="1:14" x14ac:dyDescent="0.25">
      <c r="A1672" s="505" t="s">
        <v>4612</v>
      </c>
      <c r="B1672" s="505" t="s">
        <v>4613</v>
      </c>
      <c r="C1672" s="512" t="s">
        <v>8853</v>
      </c>
      <c r="D1672" s="512" t="s">
        <v>8922</v>
      </c>
      <c r="E1672" s="512" t="s">
        <v>8864</v>
      </c>
      <c r="F1672" s="512" t="s">
        <v>8646</v>
      </c>
      <c r="G1672" s="512" t="s">
        <v>8920</v>
      </c>
      <c r="H1672" s="512" t="s">
        <v>8399</v>
      </c>
      <c r="L1672" s="505" t="s">
        <v>114</v>
      </c>
      <c r="M1672" s="516">
        <v>41.39</v>
      </c>
      <c r="N1672" s="505" t="s">
        <v>114</v>
      </c>
    </row>
    <row r="1673" spans="1:14" x14ac:dyDescent="0.25">
      <c r="A1673" s="505" t="s">
        <v>4614</v>
      </c>
      <c r="B1673" s="505" t="s">
        <v>4615</v>
      </c>
      <c r="C1673" s="512" t="s">
        <v>8853</v>
      </c>
      <c r="D1673" s="512" t="s">
        <v>8953</v>
      </c>
      <c r="E1673" s="512" t="s">
        <v>8074</v>
      </c>
      <c r="F1673" s="512" t="s">
        <v>8862</v>
      </c>
      <c r="G1673" s="512" t="s">
        <v>8646</v>
      </c>
      <c r="H1673" s="512" t="s">
        <v>7740</v>
      </c>
      <c r="I1673" s="512" t="s">
        <v>8876</v>
      </c>
      <c r="L1673" s="505" t="s">
        <v>114</v>
      </c>
      <c r="M1673" s="516">
        <v>33.119999999999997</v>
      </c>
      <c r="N1673" s="505" t="s">
        <v>114</v>
      </c>
    </row>
    <row r="1674" spans="1:14" x14ac:dyDescent="0.25">
      <c r="A1674" s="505" t="s">
        <v>4616</v>
      </c>
      <c r="B1674" s="505" t="s">
        <v>4617</v>
      </c>
      <c r="C1674" s="512" t="s">
        <v>8853</v>
      </c>
      <c r="D1674" s="512" t="s">
        <v>8953</v>
      </c>
      <c r="E1674" s="512" t="s">
        <v>8074</v>
      </c>
      <c r="F1674" s="512" t="s">
        <v>8792</v>
      </c>
      <c r="G1674" s="512" t="s">
        <v>8793</v>
      </c>
      <c r="H1674" s="512" t="s">
        <v>8855</v>
      </c>
      <c r="L1674" s="505" t="s">
        <v>114</v>
      </c>
      <c r="M1674" s="516">
        <v>33.119999999999997</v>
      </c>
      <c r="N1674" s="505" t="s">
        <v>114</v>
      </c>
    </row>
    <row r="1675" spans="1:14" s="530" customFormat="1" x14ac:dyDescent="0.25">
      <c r="A1675" s="530" t="s">
        <v>4618</v>
      </c>
      <c r="B1675" s="530" t="s">
        <v>4619</v>
      </c>
      <c r="C1675" s="531" t="s">
        <v>8853</v>
      </c>
      <c r="D1675" s="531" t="s">
        <v>8953</v>
      </c>
      <c r="E1675" s="531" t="s">
        <v>8074</v>
      </c>
      <c r="F1675" s="531" t="s">
        <v>8862</v>
      </c>
      <c r="G1675" s="531" t="s">
        <v>8646</v>
      </c>
      <c r="H1675" s="531" t="s">
        <v>8880</v>
      </c>
      <c r="I1675" s="531" t="s">
        <v>511</v>
      </c>
      <c r="L1675" s="530" t="s">
        <v>114</v>
      </c>
      <c r="M1675" s="532">
        <v>0</v>
      </c>
      <c r="N1675" s="530" t="s">
        <v>1544</v>
      </c>
    </row>
    <row r="1676" spans="1:14" x14ac:dyDescent="0.25">
      <c r="A1676" s="505" t="s">
        <v>4620</v>
      </c>
      <c r="B1676" s="505" t="s">
        <v>4621</v>
      </c>
      <c r="C1676" s="512" t="s">
        <v>8853</v>
      </c>
      <c r="D1676" s="512" t="s">
        <v>8954</v>
      </c>
      <c r="E1676" s="512" t="s">
        <v>7917</v>
      </c>
      <c r="F1676" s="512" t="s">
        <v>8862</v>
      </c>
      <c r="G1676" s="512" t="s">
        <v>8646</v>
      </c>
      <c r="H1676" s="512" t="s">
        <v>8382</v>
      </c>
      <c r="L1676" s="505" t="s">
        <v>114</v>
      </c>
      <c r="M1676" s="516">
        <v>43.54</v>
      </c>
      <c r="N1676" s="505" t="s">
        <v>114</v>
      </c>
    </row>
    <row r="1677" spans="1:14" s="530" customFormat="1" x14ac:dyDescent="0.25">
      <c r="A1677" s="530" t="s">
        <v>4622</v>
      </c>
      <c r="B1677" s="530" t="s">
        <v>4623</v>
      </c>
      <c r="C1677" s="531" t="s">
        <v>8853</v>
      </c>
      <c r="D1677" s="531" t="s">
        <v>8935</v>
      </c>
      <c r="E1677" s="531" t="s">
        <v>8859</v>
      </c>
      <c r="F1677" s="531" t="s">
        <v>8483</v>
      </c>
      <c r="G1677" s="531" t="s">
        <v>8936</v>
      </c>
      <c r="H1677" s="531" t="s">
        <v>8475</v>
      </c>
      <c r="I1677" s="531" t="s">
        <v>7782</v>
      </c>
      <c r="L1677" s="530" t="s">
        <v>1233</v>
      </c>
      <c r="M1677" s="532">
        <v>0</v>
      </c>
      <c r="N1677" s="530" t="s">
        <v>1544</v>
      </c>
    </row>
    <row r="1678" spans="1:14" x14ac:dyDescent="0.25">
      <c r="A1678" s="505" t="s">
        <v>4624</v>
      </c>
      <c r="B1678" s="505" t="s">
        <v>4398</v>
      </c>
      <c r="C1678" s="512" t="s">
        <v>8857</v>
      </c>
      <c r="D1678" s="512" t="s">
        <v>8858</v>
      </c>
      <c r="E1678" s="512" t="s">
        <v>8859</v>
      </c>
      <c r="F1678" s="512" t="s">
        <v>7775</v>
      </c>
      <c r="G1678" s="512" t="s">
        <v>8860</v>
      </c>
      <c r="H1678" s="512" t="s">
        <v>7827</v>
      </c>
      <c r="I1678" s="512" t="s">
        <v>7782</v>
      </c>
      <c r="L1678" s="505" t="s">
        <v>1233</v>
      </c>
      <c r="M1678" s="516">
        <v>38.51</v>
      </c>
      <c r="N1678" s="505" t="s">
        <v>1233</v>
      </c>
    </row>
    <row r="1679" spans="1:14" x14ac:dyDescent="0.25">
      <c r="A1679" s="505" t="s">
        <v>4625</v>
      </c>
      <c r="B1679" s="505" t="s">
        <v>4626</v>
      </c>
      <c r="C1679" s="512" t="s">
        <v>8853</v>
      </c>
      <c r="D1679" s="512" t="s">
        <v>8954</v>
      </c>
      <c r="E1679" s="512" t="s">
        <v>7917</v>
      </c>
      <c r="F1679" s="512" t="s">
        <v>8862</v>
      </c>
      <c r="G1679" s="512" t="s">
        <v>8646</v>
      </c>
      <c r="H1679" s="512" t="s">
        <v>8855</v>
      </c>
      <c r="L1679" s="505" t="s">
        <v>114</v>
      </c>
      <c r="M1679" s="516">
        <v>43.54</v>
      </c>
      <c r="N1679" s="505" t="s">
        <v>114</v>
      </c>
    </row>
    <row r="1680" spans="1:14" x14ac:dyDescent="0.25">
      <c r="A1680" s="505" t="s">
        <v>4627</v>
      </c>
      <c r="B1680" s="505" t="s">
        <v>4628</v>
      </c>
      <c r="C1680" s="512" t="s">
        <v>8869</v>
      </c>
      <c r="D1680" s="512" t="s">
        <v>8949</v>
      </c>
      <c r="E1680" s="512" t="s">
        <v>8864</v>
      </c>
      <c r="F1680" s="512" t="s">
        <v>8955</v>
      </c>
      <c r="G1680" s="512" t="s">
        <v>8407</v>
      </c>
      <c r="L1680" s="505" t="s">
        <v>114</v>
      </c>
      <c r="M1680" s="516">
        <v>33.119999999999997</v>
      </c>
      <c r="N1680" s="505" t="s">
        <v>114</v>
      </c>
    </row>
    <row r="1681" spans="1:14" x14ac:dyDescent="0.25">
      <c r="A1681" s="505" t="s">
        <v>4629</v>
      </c>
      <c r="B1681" s="505" t="s">
        <v>4630</v>
      </c>
      <c r="C1681" s="512" t="s">
        <v>8869</v>
      </c>
      <c r="D1681" s="512" t="s">
        <v>8942</v>
      </c>
      <c r="E1681" s="512" t="s">
        <v>8943</v>
      </c>
      <c r="F1681" s="512" t="s">
        <v>8862</v>
      </c>
      <c r="G1681" s="512" t="s">
        <v>8955</v>
      </c>
      <c r="H1681" s="512" t="s">
        <v>8407</v>
      </c>
      <c r="L1681" s="505" t="s">
        <v>114</v>
      </c>
      <c r="M1681" s="516">
        <v>35.840000000000003</v>
      </c>
      <c r="N1681" s="505" t="s">
        <v>114</v>
      </c>
    </row>
    <row r="1682" spans="1:14" x14ac:dyDescent="0.25">
      <c r="A1682" s="505" t="s">
        <v>4631</v>
      </c>
      <c r="B1682" s="505" t="s">
        <v>4632</v>
      </c>
      <c r="C1682" s="512" t="s">
        <v>8853</v>
      </c>
      <c r="D1682" s="512" t="s">
        <v>8945</v>
      </c>
      <c r="E1682" s="512" t="s">
        <v>238</v>
      </c>
      <c r="F1682" s="512" t="s">
        <v>8913</v>
      </c>
      <c r="G1682" s="512" t="s">
        <v>8337</v>
      </c>
      <c r="H1682" s="512" t="s">
        <v>7782</v>
      </c>
      <c r="I1682" s="512" t="s">
        <v>8382</v>
      </c>
      <c r="L1682" s="505" t="s">
        <v>114</v>
      </c>
      <c r="M1682" s="516">
        <v>35.840000000000003</v>
      </c>
      <c r="N1682" s="505" t="s">
        <v>114</v>
      </c>
    </row>
    <row r="1683" spans="1:14" x14ac:dyDescent="0.25">
      <c r="A1683" s="505" t="s">
        <v>4633</v>
      </c>
      <c r="B1683" s="505" t="s">
        <v>4634</v>
      </c>
      <c r="C1683" s="512" t="s">
        <v>8853</v>
      </c>
      <c r="D1683" s="512" t="s">
        <v>8946</v>
      </c>
      <c r="E1683" s="512" t="s">
        <v>8337</v>
      </c>
      <c r="F1683" s="512" t="s">
        <v>8864</v>
      </c>
      <c r="G1683" s="512" t="s">
        <v>8793</v>
      </c>
      <c r="H1683" s="512" t="s">
        <v>8382</v>
      </c>
      <c r="L1683" s="505" t="s">
        <v>114</v>
      </c>
      <c r="M1683" s="516">
        <v>33.119999999999997</v>
      </c>
      <c r="N1683" s="505" t="s">
        <v>114</v>
      </c>
    </row>
    <row r="1684" spans="1:14" x14ac:dyDescent="0.25">
      <c r="A1684" s="505" t="s">
        <v>4635</v>
      </c>
      <c r="B1684" s="505" t="s">
        <v>4636</v>
      </c>
      <c r="C1684" s="512" t="s">
        <v>8853</v>
      </c>
      <c r="D1684" s="512" t="s">
        <v>8948</v>
      </c>
      <c r="E1684" s="512" t="s">
        <v>8871</v>
      </c>
      <c r="F1684" s="512" t="s">
        <v>8860</v>
      </c>
      <c r="G1684" s="512" t="s">
        <v>8891</v>
      </c>
      <c r="H1684" s="512" t="s">
        <v>8900</v>
      </c>
      <c r="I1684" s="512" t="s">
        <v>8382</v>
      </c>
      <c r="L1684" s="505" t="s">
        <v>1233</v>
      </c>
      <c r="M1684" s="516">
        <v>31.04</v>
      </c>
      <c r="N1684" s="505" t="s">
        <v>1233</v>
      </c>
    </row>
    <row r="1685" spans="1:14" x14ac:dyDescent="0.25">
      <c r="A1685" s="505" t="s">
        <v>4637</v>
      </c>
      <c r="B1685" s="505" t="s">
        <v>4638</v>
      </c>
      <c r="C1685" s="512" t="s">
        <v>8853</v>
      </c>
      <c r="D1685" s="512" t="s">
        <v>8949</v>
      </c>
      <c r="E1685" s="512" t="s">
        <v>8864</v>
      </c>
      <c r="F1685" s="512" t="s">
        <v>8793</v>
      </c>
      <c r="G1685" s="512" t="s">
        <v>148</v>
      </c>
      <c r="H1685" s="512" t="s">
        <v>8876</v>
      </c>
      <c r="L1685" s="505" t="s">
        <v>114</v>
      </c>
      <c r="M1685" s="516">
        <v>33.119999999999997</v>
      </c>
      <c r="N1685" s="505" t="s">
        <v>114</v>
      </c>
    </row>
    <row r="1686" spans="1:14" x14ac:dyDescent="0.25">
      <c r="A1686" s="505" t="s">
        <v>4639</v>
      </c>
      <c r="B1686" s="505" t="s">
        <v>4640</v>
      </c>
      <c r="C1686" s="512" t="s">
        <v>8869</v>
      </c>
      <c r="D1686" s="512" t="s">
        <v>8956</v>
      </c>
      <c r="E1686" s="512" t="s">
        <v>8957</v>
      </c>
      <c r="F1686" s="512" t="s">
        <v>7797</v>
      </c>
      <c r="G1686" s="512" t="s">
        <v>8407</v>
      </c>
      <c r="L1686" s="505" t="s">
        <v>114</v>
      </c>
      <c r="M1686" s="516">
        <v>16.55</v>
      </c>
      <c r="N1686" s="505" t="s">
        <v>114</v>
      </c>
    </row>
    <row r="1687" spans="1:14" x14ac:dyDescent="0.25">
      <c r="A1687" s="505" t="s">
        <v>4641</v>
      </c>
      <c r="B1687" s="505" t="s">
        <v>4642</v>
      </c>
      <c r="C1687" s="512" t="s">
        <v>8869</v>
      </c>
      <c r="D1687" s="512" t="s">
        <v>8950</v>
      </c>
      <c r="E1687" s="512" t="s">
        <v>8958</v>
      </c>
      <c r="F1687" s="512" t="s">
        <v>8574</v>
      </c>
      <c r="G1687" s="512" t="s">
        <v>7797</v>
      </c>
      <c r="H1687" s="512" t="s">
        <v>8882</v>
      </c>
      <c r="I1687" s="512" t="s">
        <v>8407</v>
      </c>
      <c r="L1687" s="505" t="s">
        <v>114</v>
      </c>
      <c r="M1687" s="516">
        <v>16.55</v>
      </c>
      <c r="N1687" s="505" t="s">
        <v>114</v>
      </c>
    </row>
    <row r="1688" spans="1:14" x14ac:dyDescent="0.25">
      <c r="A1688" s="505" t="s">
        <v>4643</v>
      </c>
      <c r="B1688" s="505" t="s">
        <v>4644</v>
      </c>
      <c r="C1688" s="512" t="s">
        <v>8853</v>
      </c>
      <c r="D1688" s="512" t="s">
        <v>8956</v>
      </c>
      <c r="E1688" s="512" t="s">
        <v>8957</v>
      </c>
      <c r="F1688" s="512" t="s">
        <v>7782</v>
      </c>
      <c r="G1688" s="512" t="s">
        <v>7691</v>
      </c>
      <c r="H1688" s="512" t="s">
        <v>511</v>
      </c>
      <c r="L1688" s="505" t="s">
        <v>114</v>
      </c>
      <c r="M1688" s="516">
        <v>24.83</v>
      </c>
      <c r="N1688" s="505" t="s">
        <v>114</v>
      </c>
    </row>
    <row r="1689" spans="1:14" x14ac:dyDescent="0.25">
      <c r="A1689" s="505" t="s">
        <v>4645</v>
      </c>
      <c r="B1689" s="505" t="s">
        <v>4646</v>
      </c>
      <c r="C1689" s="512" t="s">
        <v>8853</v>
      </c>
      <c r="D1689" s="512" t="s">
        <v>8956</v>
      </c>
      <c r="E1689" s="512" t="s">
        <v>8957</v>
      </c>
      <c r="F1689" s="512" t="s">
        <v>7782</v>
      </c>
      <c r="G1689" s="512" t="s">
        <v>148</v>
      </c>
      <c r="H1689" s="512" t="s">
        <v>8856</v>
      </c>
      <c r="L1689" s="505" t="s">
        <v>114</v>
      </c>
      <c r="M1689" s="516">
        <v>16.55</v>
      </c>
      <c r="N1689" s="505" t="s">
        <v>114</v>
      </c>
    </row>
    <row r="1690" spans="1:14" x14ac:dyDescent="0.25">
      <c r="A1690" s="505" t="s">
        <v>4647</v>
      </c>
      <c r="B1690" s="505" t="s">
        <v>4648</v>
      </c>
      <c r="C1690" s="512" t="s">
        <v>8853</v>
      </c>
      <c r="D1690" s="512" t="s">
        <v>8956</v>
      </c>
      <c r="E1690" s="512" t="s">
        <v>8866</v>
      </c>
      <c r="F1690" s="512" t="s">
        <v>7782</v>
      </c>
      <c r="G1690" s="512" t="s">
        <v>8855</v>
      </c>
      <c r="L1690" s="505" t="s">
        <v>114</v>
      </c>
      <c r="M1690" s="516">
        <v>16.55</v>
      </c>
      <c r="N1690" s="505" t="s">
        <v>114</v>
      </c>
    </row>
    <row r="1691" spans="1:14" x14ac:dyDescent="0.25">
      <c r="A1691" s="505" t="s">
        <v>4649</v>
      </c>
      <c r="B1691" s="505" t="s">
        <v>4650</v>
      </c>
      <c r="C1691" s="512" t="s">
        <v>8853</v>
      </c>
      <c r="D1691" s="512" t="s">
        <v>8956</v>
      </c>
      <c r="E1691" s="512" t="s">
        <v>8957</v>
      </c>
      <c r="F1691" s="512" t="s">
        <v>7782</v>
      </c>
      <c r="G1691" s="512" t="s">
        <v>8879</v>
      </c>
      <c r="L1691" s="505" t="s">
        <v>114</v>
      </c>
      <c r="M1691" s="516">
        <v>24.83</v>
      </c>
      <c r="N1691" s="505" t="s">
        <v>114</v>
      </c>
    </row>
    <row r="1692" spans="1:14" x14ac:dyDescent="0.25">
      <c r="A1692" s="505" t="s">
        <v>4651</v>
      </c>
      <c r="B1692" s="505" t="s">
        <v>4652</v>
      </c>
      <c r="C1692" s="512" t="s">
        <v>8853</v>
      </c>
      <c r="D1692" s="512" t="s">
        <v>8956</v>
      </c>
      <c r="E1692" s="512" t="s">
        <v>8957</v>
      </c>
      <c r="F1692" s="512" t="s">
        <v>7782</v>
      </c>
      <c r="G1692" s="512" t="s">
        <v>8880</v>
      </c>
      <c r="H1692" s="512" t="s">
        <v>511</v>
      </c>
      <c r="L1692" s="505" t="s">
        <v>114</v>
      </c>
      <c r="M1692" s="516">
        <v>16.55</v>
      </c>
      <c r="N1692" s="505" t="s">
        <v>114</v>
      </c>
    </row>
    <row r="1693" spans="1:14" x14ac:dyDescent="0.25">
      <c r="A1693" s="505" t="s">
        <v>4653</v>
      </c>
      <c r="B1693" s="505" t="s">
        <v>4654</v>
      </c>
      <c r="C1693" s="512" t="s">
        <v>8869</v>
      </c>
      <c r="D1693" s="512" t="s">
        <v>8959</v>
      </c>
      <c r="E1693" s="512" t="s">
        <v>8960</v>
      </c>
      <c r="F1693" s="512" t="s">
        <v>7797</v>
      </c>
      <c r="G1693" s="512" t="s">
        <v>7977</v>
      </c>
      <c r="L1693" s="505" t="s">
        <v>114</v>
      </c>
      <c r="M1693" s="516">
        <v>21.72</v>
      </c>
      <c r="N1693" s="505" t="s">
        <v>114</v>
      </c>
    </row>
    <row r="1694" spans="1:14" x14ac:dyDescent="0.25">
      <c r="A1694" s="505" t="s">
        <v>4655</v>
      </c>
      <c r="B1694" s="505" t="s">
        <v>4656</v>
      </c>
      <c r="C1694" s="512" t="s">
        <v>8853</v>
      </c>
      <c r="D1694" s="512" t="s">
        <v>8959</v>
      </c>
      <c r="E1694" s="512" t="s">
        <v>8866</v>
      </c>
      <c r="F1694" s="512" t="s">
        <v>7782</v>
      </c>
      <c r="G1694" s="512" t="s">
        <v>8961</v>
      </c>
      <c r="L1694" s="505" t="s">
        <v>114</v>
      </c>
      <c r="M1694" s="516">
        <v>30</v>
      </c>
      <c r="N1694" s="505" t="s">
        <v>114</v>
      </c>
    </row>
    <row r="1695" spans="1:14" x14ac:dyDescent="0.25">
      <c r="A1695" s="505" t="s">
        <v>4657</v>
      </c>
      <c r="B1695" s="505" t="s">
        <v>4658</v>
      </c>
      <c r="C1695" s="512" t="s">
        <v>8853</v>
      </c>
      <c r="D1695" s="512" t="s">
        <v>8959</v>
      </c>
      <c r="E1695" s="512" t="s">
        <v>8866</v>
      </c>
      <c r="F1695" s="512" t="s">
        <v>7782</v>
      </c>
      <c r="G1695" s="512" t="s">
        <v>148</v>
      </c>
      <c r="L1695" s="505" t="s">
        <v>114</v>
      </c>
      <c r="M1695" s="516">
        <v>30</v>
      </c>
      <c r="N1695" s="505" t="s">
        <v>114</v>
      </c>
    </row>
    <row r="1696" spans="1:14" x14ac:dyDescent="0.25">
      <c r="A1696" s="505" t="s">
        <v>4659</v>
      </c>
      <c r="B1696" s="505" t="s">
        <v>4660</v>
      </c>
      <c r="C1696" s="512" t="s">
        <v>8853</v>
      </c>
      <c r="D1696" s="512" t="s">
        <v>8959</v>
      </c>
      <c r="E1696" s="512" t="s">
        <v>8866</v>
      </c>
      <c r="F1696" s="512" t="s">
        <v>7782</v>
      </c>
      <c r="G1696" s="512" t="s">
        <v>8855</v>
      </c>
      <c r="L1696" s="505" t="s">
        <v>114</v>
      </c>
      <c r="M1696" s="516">
        <v>21.72</v>
      </c>
      <c r="N1696" s="505" t="s">
        <v>114</v>
      </c>
    </row>
    <row r="1697" spans="1:14" s="530" customFormat="1" x14ac:dyDescent="0.25">
      <c r="A1697" s="530" t="s">
        <v>4661</v>
      </c>
      <c r="B1697" s="530" t="s">
        <v>4662</v>
      </c>
      <c r="C1697" s="531" t="s">
        <v>8853</v>
      </c>
      <c r="D1697" s="531" t="s">
        <v>8959</v>
      </c>
      <c r="E1697" s="531" t="s">
        <v>8866</v>
      </c>
      <c r="F1697" s="531" t="s">
        <v>7782</v>
      </c>
      <c r="G1697" s="531" t="s">
        <v>8962</v>
      </c>
      <c r="H1697" s="531"/>
      <c r="I1697" s="531"/>
      <c r="L1697" s="530" t="s">
        <v>114</v>
      </c>
      <c r="M1697" s="532">
        <v>0</v>
      </c>
      <c r="N1697" s="530" t="s">
        <v>1544</v>
      </c>
    </row>
    <row r="1698" spans="1:14" s="530" customFormat="1" x14ac:dyDescent="0.25">
      <c r="A1698" s="530" t="s">
        <v>4663</v>
      </c>
      <c r="B1698" s="530" t="s">
        <v>4664</v>
      </c>
      <c r="C1698" s="531" t="s">
        <v>8853</v>
      </c>
      <c r="D1698" s="531" t="s">
        <v>8959</v>
      </c>
      <c r="E1698" s="531" t="s">
        <v>8866</v>
      </c>
      <c r="F1698" s="531" t="s">
        <v>7782</v>
      </c>
      <c r="G1698" s="531" t="s">
        <v>8963</v>
      </c>
      <c r="H1698" s="531"/>
      <c r="I1698" s="531"/>
      <c r="L1698" s="530" t="s">
        <v>114</v>
      </c>
      <c r="M1698" s="532">
        <v>0</v>
      </c>
      <c r="N1698" s="530" t="s">
        <v>1544</v>
      </c>
    </row>
    <row r="1699" spans="1:14" x14ac:dyDescent="0.25">
      <c r="A1699" s="505" t="s">
        <v>4665</v>
      </c>
      <c r="B1699" s="505" t="s">
        <v>4666</v>
      </c>
      <c r="C1699" s="512" t="s">
        <v>8869</v>
      </c>
      <c r="D1699" s="512" t="s">
        <v>8959</v>
      </c>
      <c r="E1699" s="512" t="s">
        <v>8960</v>
      </c>
      <c r="F1699" s="512" t="s">
        <v>7797</v>
      </c>
      <c r="G1699" s="512" t="s">
        <v>7748</v>
      </c>
      <c r="L1699" s="505" t="s">
        <v>114</v>
      </c>
      <c r="M1699" s="516">
        <v>30</v>
      </c>
      <c r="N1699" s="505" t="s">
        <v>114</v>
      </c>
    </row>
    <row r="1700" spans="1:14" x14ac:dyDescent="0.25">
      <c r="A1700" s="505" t="s">
        <v>4667</v>
      </c>
      <c r="B1700" s="505" t="s">
        <v>4668</v>
      </c>
      <c r="C1700" s="512" t="s">
        <v>8853</v>
      </c>
      <c r="D1700" s="512" t="s">
        <v>8959</v>
      </c>
      <c r="E1700" s="512" t="s">
        <v>8866</v>
      </c>
      <c r="F1700" s="512" t="s">
        <v>7782</v>
      </c>
      <c r="G1700" s="512" t="s">
        <v>8880</v>
      </c>
      <c r="H1700" s="512" t="s">
        <v>511</v>
      </c>
      <c r="L1700" s="505" t="s">
        <v>114</v>
      </c>
      <c r="M1700" s="516">
        <v>21.72</v>
      </c>
      <c r="N1700" s="505" t="s">
        <v>114</v>
      </c>
    </row>
    <row r="1701" spans="1:14" x14ac:dyDescent="0.25">
      <c r="A1701" s="505" t="s">
        <v>4669</v>
      </c>
      <c r="B1701" s="505" t="s">
        <v>4670</v>
      </c>
      <c r="C1701" s="512" t="s">
        <v>8853</v>
      </c>
      <c r="D1701" s="512" t="s">
        <v>8964</v>
      </c>
      <c r="E1701" s="512" t="s">
        <v>8965</v>
      </c>
      <c r="F1701" s="512" t="s">
        <v>1098</v>
      </c>
      <c r="G1701" s="512" t="s">
        <v>8337</v>
      </c>
      <c r="H1701" s="512" t="s">
        <v>7533</v>
      </c>
      <c r="L1701" s="505" t="s">
        <v>114</v>
      </c>
      <c r="M1701" s="516">
        <v>9.3000000000000007</v>
      </c>
      <c r="N1701" s="505" t="s">
        <v>114</v>
      </c>
    </row>
    <row r="1702" spans="1:14" x14ac:dyDescent="0.25">
      <c r="A1702" s="505" t="s">
        <v>4671</v>
      </c>
      <c r="B1702" s="505" t="s">
        <v>4672</v>
      </c>
      <c r="C1702" s="512" t="s">
        <v>8853</v>
      </c>
      <c r="D1702" s="512" t="s">
        <v>8870</v>
      </c>
      <c r="E1702" s="512" t="s">
        <v>8860</v>
      </c>
      <c r="F1702" s="512" t="s">
        <v>8075</v>
      </c>
      <c r="G1702" s="512" t="s">
        <v>7918</v>
      </c>
      <c r="H1702" s="512" t="s">
        <v>8382</v>
      </c>
      <c r="L1702" s="505" t="s">
        <v>114</v>
      </c>
      <c r="M1702" s="516">
        <v>16.03</v>
      </c>
      <c r="N1702" s="505" t="s">
        <v>114</v>
      </c>
    </row>
    <row r="1703" spans="1:14" x14ac:dyDescent="0.25">
      <c r="A1703" s="505" t="s">
        <v>4673</v>
      </c>
      <c r="B1703" s="505" t="s">
        <v>4674</v>
      </c>
      <c r="C1703" s="512" t="s">
        <v>8853</v>
      </c>
      <c r="D1703" s="512" t="s">
        <v>8870</v>
      </c>
      <c r="E1703" s="512" t="s">
        <v>8860</v>
      </c>
      <c r="F1703" s="512" t="s">
        <v>8075</v>
      </c>
      <c r="G1703" s="512" t="s">
        <v>7918</v>
      </c>
      <c r="H1703" s="512" t="s">
        <v>8855</v>
      </c>
      <c r="L1703" s="505" t="s">
        <v>114</v>
      </c>
      <c r="M1703" s="516">
        <v>16.03</v>
      </c>
      <c r="N1703" s="505" t="s">
        <v>114</v>
      </c>
    </row>
    <row r="1704" spans="1:14" x14ac:dyDescent="0.25">
      <c r="A1704" s="505" t="s">
        <v>4675</v>
      </c>
      <c r="B1704" s="505" t="s">
        <v>4676</v>
      </c>
      <c r="C1704" s="512" t="s">
        <v>8869</v>
      </c>
      <c r="D1704" s="512" t="s">
        <v>8966</v>
      </c>
      <c r="E1704" s="512" t="s">
        <v>8872</v>
      </c>
      <c r="F1704" s="512" t="s">
        <v>8574</v>
      </c>
      <c r="G1704" s="512" t="s">
        <v>7797</v>
      </c>
      <c r="H1704" s="512" t="s">
        <v>8407</v>
      </c>
      <c r="L1704" s="505" t="s">
        <v>114</v>
      </c>
      <c r="M1704" s="516">
        <v>16.55</v>
      </c>
      <c r="N1704" s="505" t="s">
        <v>114</v>
      </c>
    </row>
    <row r="1705" spans="1:14" x14ac:dyDescent="0.25">
      <c r="A1705" s="505" t="s">
        <v>4677</v>
      </c>
      <c r="B1705" s="505" t="s">
        <v>4678</v>
      </c>
      <c r="C1705" s="512" t="s">
        <v>8853</v>
      </c>
      <c r="D1705" s="512" t="s">
        <v>8966</v>
      </c>
      <c r="E1705" s="512" t="s">
        <v>8967</v>
      </c>
      <c r="F1705" s="512" t="s">
        <v>8574</v>
      </c>
      <c r="G1705" s="512" t="s">
        <v>7782</v>
      </c>
      <c r="H1705" s="512" t="s">
        <v>8928</v>
      </c>
      <c r="L1705" s="505" t="s">
        <v>114</v>
      </c>
      <c r="M1705" s="516">
        <v>16.55</v>
      </c>
      <c r="N1705" s="505" t="s">
        <v>114</v>
      </c>
    </row>
    <row r="1706" spans="1:14" x14ac:dyDescent="0.25">
      <c r="A1706" s="505" t="s">
        <v>4679</v>
      </c>
      <c r="B1706" s="505" t="s">
        <v>4680</v>
      </c>
      <c r="C1706" s="512" t="s">
        <v>8853</v>
      </c>
      <c r="D1706" s="512" t="s">
        <v>8966</v>
      </c>
      <c r="E1706" s="512" t="s">
        <v>8860</v>
      </c>
      <c r="F1706" s="512" t="s">
        <v>8574</v>
      </c>
      <c r="G1706" s="512" t="s">
        <v>7782</v>
      </c>
      <c r="H1706" s="512" t="s">
        <v>8855</v>
      </c>
      <c r="L1706" s="505" t="s">
        <v>114</v>
      </c>
      <c r="M1706" s="516">
        <v>16.55</v>
      </c>
      <c r="N1706" s="505" t="s">
        <v>114</v>
      </c>
    </row>
    <row r="1707" spans="1:14" s="530" customFormat="1" x14ac:dyDescent="0.25">
      <c r="A1707" s="530" t="s">
        <v>4681</v>
      </c>
      <c r="B1707" s="530" t="s">
        <v>4682</v>
      </c>
      <c r="C1707" s="531" t="s">
        <v>8853</v>
      </c>
      <c r="D1707" s="531" t="s">
        <v>8966</v>
      </c>
      <c r="E1707" s="531" t="s">
        <v>8860</v>
      </c>
      <c r="F1707" s="531" t="s">
        <v>8574</v>
      </c>
      <c r="G1707" s="531" t="s">
        <v>7782</v>
      </c>
      <c r="H1707" s="531" t="s">
        <v>7946</v>
      </c>
      <c r="I1707" s="531" t="s">
        <v>7426</v>
      </c>
      <c r="L1707" s="530" t="s">
        <v>114</v>
      </c>
      <c r="M1707" s="532">
        <v>0</v>
      </c>
      <c r="N1707" s="530" t="s">
        <v>1544</v>
      </c>
    </row>
    <row r="1708" spans="1:14" s="530" customFormat="1" x14ac:dyDescent="0.25">
      <c r="A1708" s="530" t="s">
        <v>4683</v>
      </c>
      <c r="B1708" s="530" t="s">
        <v>4684</v>
      </c>
      <c r="C1708" s="531" t="s">
        <v>8853</v>
      </c>
      <c r="D1708" s="531" t="s">
        <v>8966</v>
      </c>
      <c r="E1708" s="531" t="s">
        <v>8860</v>
      </c>
      <c r="F1708" s="531" t="s">
        <v>8574</v>
      </c>
      <c r="G1708" s="531" t="s">
        <v>7782</v>
      </c>
      <c r="H1708" s="531" t="s">
        <v>7426</v>
      </c>
      <c r="I1708" s="531" t="s">
        <v>578</v>
      </c>
      <c r="L1708" s="530" t="s">
        <v>114</v>
      </c>
      <c r="M1708" s="532">
        <v>0</v>
      </c>
      <c r="N1708" s="530" t="s">
        <v>1544</v>
      </c>
    </row>
    <row r="1709" spans="1:14" x14ac:dyDescent="0.25">
      <c r="A1709" s="505" t="s">
        <v>4685</v>
      </c>
      <c r="B1709" s="505" t="s">
        <v>4686</v>
      </c>
      <c r="C1709" s="512" t="s">
        <v>8869</v>
      </c>
      <c r="D1709" s="512" t="s">
        <v>8966</v>
      </c>
      <c r="E1709" s="512" t="s">
        <v>8872</v>
      </c>
      <c r="F1709" s="512" t="s">
        <v>8574</v>
      </c>
      <c r="G1709" s="512" t="s">
        <v>7797</v>
      </c>
      <c r="H1709" s="512" t="s">
        <v>7748</v>
      </c>
      <c r="L1709" s="505" t="s">
        <v>114</v>
      </c>
      <c r="M1709" s="516">
        <v>24.5</v>
      </c>
      <c r="N1709" s="505" t="s">
        <v>114</v>
      </c>
    </row>
    <row r="1710" spans="1:14" x14ac:dyDescent="0.25">
      <c r="A1710" s="505" t="s">
        <v>4687</v>
      </c>
      <c r="B1710" s="505" t="s">
        <v>4688</v>
      </c>
      <c r="C1710" s="512" t="s">
        <v>8853</v>
      </c>
      <c r="D1710" s="512" t="s">
        <v>8966</v>
      </c>
      <c r="E1710" s="512" t="s">
        <v>8860</v>
      </c>
      <c r="F1710" s="512" t="s">
        <v>8574</v>
      </c>
      <c r="G1710" s="512" t="s">
        <v>7782</v>
      </c>
      <c r="H1710" s="512" t="s">
        <v>8880</v>
      </c>
      <c r="I1710" s="512" t="s">
        <v>8467</v>
      </c>
      <c r="L1710" s="505" t="s">
        <v>114</v>
      </c>
      <c r="M1710" s="516">
        <v>16.55</v>
      </c>
      <c r="N1710" s="505" t="s">
        <v>114</v>
      </c>
    </row>
    <row r="1711" spans="1:14" x14ac:dyDescent="0.25">
      <c r="A1711" s="505" t="s">
        <v>4689</v>
      </c>
      <c r="B1711" s="505" t="s">
        <v>4690</v>
      </c>
      <c r="C1711" s="512" t="s">
        <v>8869</v>
      </c>
      <c r="D1711" s="512" t="s">
        <v>8968</v>
      </c>
      <c r="E1711" s="512" t="s">
        <v>8969</v>
      </c>
      <c r="F1711" s="512" t="s">
        <v>8574</v>
      </c>
      <c r="G1711" s="512" t="s">
        <v>8407</v>
      </c>
      <c r="L1711" s="505" t="s">
        <v>114</v>
      </c>
      <c r="M1711" s="516">
        <v>16.55</v>
      </c>
      <c r="N1711" s="505" t="s">
        <v>114</v>
      </c>
    </row>
    <row r="1712" spans="1:14" x14ac:dyDescent="0.25">
      <c r="A1712" s="505" t="s">
        <v>4691</v>
      </c>
      <c r="B1712" s="505" t="s">
        <v>4692</v>
      </c>
      <c r="C1712" s="512" t="s">
        <v>8853</v>
      </c>
      <c r="D1712" s="512" t="s">
        <v>8968</v>
      </c>
      <c r="E1712" s="512" t="s">
        <v>167</v>
      </c>
      <c r="F1712" s="512" t="s">
        <v>8574</v>
      </c>
      <c r="G1712" s="512" t="s">
        <v>148</v>
      </c>
      <c r="H1712" s="512" t="s">
        <v>8970</v>
      </c>
      <c r="L1712" s="505" t="s">
        <v>114</v>
      </c>
      <c r="M1712" s="516">
        <v>16.55</v>
      </c>
      <c r="N1712" s="505" t="s">
        <v>114</v>
      </c>
    </row>
    <row r="1713" spans="1:14" x14ac:dyDescent="0.25">
      <c r="A1713" s="505" t="s">
        <v>4693</v>
      </c>
      <c r="B1713" s="505" t="s">
        <v>4694</v>
      </c>
      <c r="C1713" s="512" t="s">
        <v>8853</v>
      </c>
      <c r="D1713" s="512" t="s">
        <v>8968</v>
      </c>
      <c r="E1713" s="512" t="s">
        <v>167</v>
      </c>
      <c r="F1713" s="512" t="s">
        <v>8574</v>
      </c>
      <c r="G1713" s="512" t="s">
        <v>8855</v>
      </c>
      <c r="L1713" s="505" t="s">
        <v>114</v>
      </c>
      <c r="M1713" s="516">
        <v>16.55</v>
      </c>
      <c r="N1713" s="505" t="s">
        <v>114</v>
      </c>
    </row>
    <row r="1714" spans="1:14" s="530" customFormat="1" x14ac:dyDescent="0.25">
      <c r="A1714" s="530" t="s">
        <v>4695</v>
      </c>
      <c r="B1714" s="530" t="s">
        <v>4696</v>
      </c>
      <c r="C1714" s="531" t="s">
        <v>8853</v>
      </c>
      <c r="D1714" s="531" t="s">
        <v>8968</v>
      </c>
      <c r="E1714" s="531" t="s">
        <v>167</v>
      </c>
      <c r="F1714" s="531" t="s">
        <v>8574</v>
      </c>
      <c r="G1714" s="531" t="s">
        <v>8880</v>
      </c>
      <c r="H1714" s="531" t="s">
        <v>511</v>
      </c>
      <c r="I1714" s="531"/>
      <c r="L1714" s="530" t="s">
        <v>114</v>
      </c>
      <c r="M1714" s="532">
        <v>0</v>
      </c>
      <c r="N1714" s="530" t="s">
        <v>1544</v>
      </c>
    </row>
    <row r="1715" spans="1:14" x14ac:dyDescent="0.25">
      <c r="A1715" s="505" t="s">
        <v>4697</v>
      </c>
      <c r="B1715" s="505" t="s">
        <v>4698</v>
      </c>
      <c r="C1715" s="512" t="s">
        <v>8853</v>
      </c>
      <c r="D1715" s="512" t="s">
        <v>8971</v>
      </c>
      <c r="E1715" s="512" t="s">
        <v>8860</v>
      </c>
      <c r="F1715" s="512" t="s">
        <v>8891</v>
      </c>
      <c r="G1715" s="512" t="s">
        <v>8972</v>
      </c>
      <c r="H1715" s="512" t="s">
        <v>8382</v>
      </c>
      <c r="L1715" s="505" t="s">
        <v>114</v>
      </c>
      <c r="M1715" s="516">
        <v>12.94</v>
      </c>
      <c r="N1715" s="505" t="s">
        <v>114</v>
      </c>
    </row>
    <row r="1716" spans="1:14" x14ac:dyDescent="0.25">
      <c r="A1716" s="505" t="s">
        <v>4699</v>
      </c>
      <c r="B1716" s="505" t="s">
        <v>4700</v>
      </c>
      <c r="C1716" s="512" t="s">
        <v>8973</v>
      </c>
      <c r="D1716" s="512" t="s">
        <v>7734</v>
      </c>
      <c r="E1716" s="512" t="s">
        <v>8974</v>
      </c>
      <c r="F1716" s="512" t="s">
        <v>1041</v>
      </c>
      <c r="G1716" s="512" t="s">
        <v>8029</v>
      </c>
      <c r="H1716" s="512" t="s">
        <v>7876</v>
      </c>
      <c r="I1716" s="512" t="s">
        <v>7999</v>
      </c>
      <c r="L1716" s="505" t="s">
        <v>1233</v>
      </c>
      <c r="M1716" s="516">
        <v>7.08</v>
      </c>
      <c r="N1716" s="505" t="s">
        <v>1233</v>
      </c>
    </row>
    <row r="1717" spans="1:14" x14ac:dyDescent="0.25">
      <c r="A1717" s="505" t="s">
        <v>4701</v>
      </c>
      <c r="B1717" s="505" t="s">
        <v>4702</v>
      </c>
      <c r="C1717" s="512" t="s">
        <v>8973</v>
      </c>
      <c r="D1717" s="512" t="s">
        <v>7734</v>
      </c>
      <c r="E1717" s="512" t="s">
        <v>8974</v>
      </c>
      <c r="F1717" s="512" t="s">
        <v>1041</v>
      </c>
      <c r="G1717" s="512" t="s">
        <v>8029</v>
      </c>
      <c r="H1717" s="512" t="s">
        <v>7437</v>
      </c>
      <c r="L1717" s="505" t="s">
        <v>1233</v>
      </c>
      <c r="M1717" s="516">
        <v>7.08</v>
      </c>
      <c r="N1717" s="505" t="s">
        <v>1233</v>
      </c>
    </row>
    <row r="1718" spans="1:14" x14ac:dyDescent="0.25">
      <c r="A1718" s="505" t="s">
        <v>4703</v>
      </c>
      <c r="B1718" s="505" t="s">
        <v>4704</v>
      </c>
      <c r="C1718" s="512" t="s">
        <v>8973</v>
      </c>
      <c r="D1718" s="512" t="s">
        <v>7734</v>
      </c>
      <c r="E1718" s="512" t="s">
        <v>8974</v>
      </c>
      <c r="F1718" s="512" t="s">
        <v>1041</v>
      </c>
      <c r="G1718" s="512" t="s">
        <v>8029</v>
      </c>
      <c r="H1718" s="512" t="s">
        <v>8975</v>
      </c>
      <c r="L1718" s="505" t="s">
        <v>1233</v>
      </c>
      <c r="M1718" s="516">
        <v>7.08</v>
      </c>
      <c r="N1718" s="505" t="s">
        <v>1233</v>
      </c>
    </row>
    <row r="1719" spans="1:14" x14ac:dyDescent="0.25">
      <c r="A1719" s="505" t="s">
        <v>4705</v>
      </c>
      <c r="B1719" s="505" t="s">
        <v>4706</v>
      </c>
      <c r="C1719" s="512" t="s">
        <v>8973</v>
      </c>
      <c r="D1719" s="512" t="s">
        <v>7734</v>
      </c>
      <c r="E1719" s="512" t="s">
        <v>8974</v>
      </c>
      <c r="F1719" s="512" t="s">
        <v>1041</v>
      </c>
      <c r="G1719" s="512" t="s">
        <v>8029</v>
      </c>
      <c r="H1719" s="512" t="s">
        <v>7800</v>
      </c>
      <c r="L1719" s="505" t="s">
        <v>1233</v>
      </c>
      <c r="M1719" s="516">
        <v>7.08</v>
      </c>
      <c r="N1719" s="505" t="s">
        <v>1233</v>
      </c>
    </row>
    <row r="1720" spans="1:14" x14ac:dyDescent="0.25">
      <c r="A1720" s="505" t="s">
        <v>4707</v>
      </c>
      <c r="B1720" s="505" t="s">
        <v>4708</v>
      </c>
      <c r="C1720" s="512" t="s">
        <v>8973</v>
      </c>
      <c r="D1720" s="512" t="s">
        <v>7734</v>
      </c>
      <c r="E1720" s="512" t="s">
        <v>8974</v>
      </c>
      <c r="F1720" s="512" t="s">
        <v>1041</v>
      </c>
      <c r="G1720" s="512" t="s">
        <v>8029</v>
      </c>
      <c r="H1720" s="512" t="s">
        <v>8976</v>
      </c>
      <c r="L1720" s="505" t="s">
        <v>1233</v>
      </c>
      <c r="M1720" s="516">
        <v>7.08</v>
      </c>
      <c r="N1720" s="505" t="s">
        <v>1233</v>
      </c>
    </row>
    <row r="1721" spans="1:14" x14ac:dyDescent="0.25">
      <c r="A1721" s="505" t="s">
        <v>4709</v>
      </c>
      <c r="B1721" s="505" t="s">
        <v>4710</v>
      </c>
      <c r="C1721" s="512" t="s">
        <v>8973</v>
      </c>
      <c r="D1721" s="512" t="s">
        <v>7734</v>
      </c>
      <c r="E1721" s="512" t="s">
        <v>8974</v>
      </c>
      <c r="F1721" s="512" t="s">
        <v>1041</v>
      </c>
      <c r="G1721" s="512" t="s">
        <v>8029</v>
      </c>
      <c r="H1721" s="512" t="s">
        <v>7881</v>
      </c>
      <c r="L1721" s="505" t="s">
        <v>1233</v>
      </c>
      <c r="M1721" s="516">
        <v>7.08</v>
      </c>
      <c r="N1721" s="505" t="s">
        <v>1233</v>
      </c>
    </row>
    <row r="1722" spans="1:14" x14ac:dyDescent="0.25">
      <c r="A1722" s="505" t="s">
        <v>4711</v>
      </c>
      <c r="B1722" s="505" t="s">
        <v>4712</v>
      </c>
      <c r="C1722" s="512" t="s">
        <v>8973</v>
      </c>
      <c r="D1722" s="512" t="s">
        <v>7734</v>
      </c>
      <c r="E1722" s="512" t="s">
        <v>8974</v>
      </c>
      <c r="F1722" s="512" t="s">
        <v>1041</v>
      </c>
      <c r="G1722" s="512" t="s">
        <v>8029</v>
      </c>
      <c r="H1722" s="512" t="s">
        <v>8977</v>
      </c>
      <c r="L1722" s="505" t="s">
        <v>1233</v>
      </c>
      <c r="M1722" s="516">
        <v>7.08</v>
      </c>
      <c r="N1722" s="505" t="s">
        <v>1233</v>
      </c>
    </row>
    <row r="1723" spans="1:14" x14ac:dyDescent="0.25">
      <c r="A1723" s="505" t="s">
        <v>4713</v>
      </c>
      <c r="B1723" s="505" t="s">
        <v>4714</v>
      </c>
      <c r="C1723" s="512" t="s">
        <v>8973</v>
      </c>
      <c r="D1723" s="512" t="s">
        <v>7734</v>
      </c>
      <c r="E1723" s="512" t="s">
        <v>8974</v>
      </c>
      <c r="F1723" s="512" t="s">
        <v>1041</v>
      </c>
      <c r="G1723" s="512" t="s">
        <v>8029</v>
      </c>
      <c r="H1723" s="512" t="s">
        <v>7883</v>
      </c>
      <c r="I1723" s="512" t="s">
        <v>7999</v>
      </c>
      <c r="L1723" s="505" t="s">
        <v>1233</v>
      </c>
      <c r="M1723" s="516">
        <v>7.08</v>
      </c>
      <c r="N1723" s="505" t="s">
        <v>1233</v>
      </c>
    </row>
    <row r="1724" spans="1:14" x14ac:dyDescent="0.25">
      <c r="A1724" s="505" t="s">
        <v>4715</v>
      </c>
      <c r="B1724" s="505" t="s">
        <v>4716</v>
      </c>
      <c r="C1724" s="512" t="s">
        <v>8973</v>
      </c>
      <c r="D1724" s="512" t="s">
        <v>7734</v>
      </c>
      <c r="E1724" s="512" t="s">
        <v>8974</v>
      </c>
      <c r="F1724" s="512" t="s">
        <v>1041</v>
      </c>
      <c r="G1724" s="512" t="s">
        <v>8029</v>
      </c>
      <c r="H1724" s="512" t="s">
        <v>8978</v>
      </c>
      <c r="L1724" s="505" t="s">
        <v>1233</v>
      </c>
      <c r="M1724" s="516">
        <v>7.08</v>
      </c>
      <c r="N1724" s="505" t="s">
        <v>1233</v>
      </c>
    </row>
    <row r="1725" spans="1:14" x14ac:dyDescent="0.25">
      <c r="A1725" s="505" t="s">
        <v>4717</v>
      </c>
      <c r="B1725" s="505" t="s">
        <v>4718</v>
      </c>
      <c r="C1725" s="512" t="s">
        <v>8973</v>
      </c>
      <c r="D1725" s="512" t="s">
        <v>7734</v>
      </c>
      <c r="E1725" s="512" t="s">
        <v>8974</v>
      </c>
      <c r="F1725" s="512" t="s">
        <v>1041</v>
      </c>
      <c r="G1725" s="512" t="s">
        <v>8029</v>
      </c>
      <c r="H1725" s="512" t="s">
        <v>8420</v>
      </c>
      <c r="L1725" s="505" t="s">
        <v>1233</v>
      </c>
      <c r="M1725" s="516">
        <v>7.08</v>
      </c>
      <c r="N1725" s="505" t="s">
        <v>1233</v>
      </c>
    </row>
    <row r="1726" spans="1:14" x14ac:dyDescent="0.25">
      <c r="A1726" s="505" t="s">
        <v>4719</v>
      </c>
      <c r="B1726" s="505" t="s">
        <v>4720</v>
      </c>
      <c r="C1726" s="512" t="s">
        <v>8973</v>
      </c>
      <c r="D1726" s="512" t="s">
        <v>7734</v>
      </c>
      <c r="E1726" s="512" t="s">
        <v>8974</v>
      </c>
      <c r="F1726" s="512" t="s">
        <v>1041</v>
      </c>
      <c r="G1726" s="512" t="s">
        <v>8029</v>
      </c>
      <c r="H1726" s="512" t="s">
        <v>7454</v>
      </c>
      <c r="L1726" s="505" t="s">
        <v>1233</v>
      </c>
      <c r="M1726" s="516">
        <v>7.08</v>
      </c>
      <c r="N1726" s="505" t="s">
        <v>1233</v>
      </c>
    </row>
    <row r="1727" spans="1:14" x14ac:dyDescent="0.25">
      <c r="A1727" s="505" t="s">
        <v>4721</v>
      </c>
      <c r="B1727" s="505" t="s">
        <v>4722</v>
      </c>
      <c r="C1727" s="512" t="s">
        <v>8973</v>
      </c>
      <c r="D1727" s="512" t="s">
        <v>7734</v>
      </c>
      <c r="E1727" s="512" t="s">
        <v>8974</v>
      </c>
      <c r="F1727" s="512" t="s">
        <v>1041</v>
      </c>
      <c r="G1727" s="512" t="s">
        <v>8029</v>
      </c>
      <c r="H1727" s="512" t="s">
        <v>7433</v>
      </c>
      <c r="L1727" s="505" t="s">
        <v>1233</v>
      </c>
      <c r="M1727" s="516">
        <v>7.08</v>
      </c>
      <c r="N1727" s="505" t="s">
        <v>1233</v>
      </c>
    </row>
    <row r="1728" spans="1:14" x14ac:dyDescent="0.25">
      <c r="A1728" s="505" t="s">
        <v>4723</v>
      </c>
      <c r="B1728" s="505" t="s">
        <v>4724</v>
      </c>
      <c r="C1728" s="512" t="s">
        <v>8973</v>
      </c>
      <c r="D1728" s="512" t="s">
        <v>7734</v>
      </c>
      <c r="E1728" s="512" t="s">
        <v>8974</v>
      </c>
      <c r="F1728" s="512" t="s">
        <v>1041</v>
      </c>
      <c r="G1728" s="512" t="s">
        <v>8029</v>
      </c>
      <c r="H1728" s="512" t="s">
        <v>8979</v>
      </c>
      <c r="L1728" s="505" t="s">
        <v>1233</v>
      </c>
      <c r="M1728" s="516">
        <v>7.08</v>
      </c>
      <c r="N1728" s="505" t="s">
        <v>1233</v>
      </c>
    </row>
    <row r="1729" spans="1:14" x14ac:dyDescent="0.25">
      <c r="A1729" s="505" t="s">
        <v>4725</v>
      </c>
      <c r="B1729" s="505" t="s">
        <v>4726</v>
      </c>
      <c r="C1729" s="512" t="s">
        <v>8973</v>
      </c>
      <c r="D1729" s="512" t="s">
        <v>7734</v>
      </c>
      <c r="E1729" s="512" t="s">
        <v>8974</v>
      </c>
      <c r="F1729" s="512" t="s">
        <v>1041</v>
      </c>
      <c r="G1729" s="512" t="s">
        <v>8029</v>
      </c>
      <c r="H1729" s="512" t="s">
        <v>8143</v>
      </c>
      <c r="L1729" s="505" t="s">
        <v>1233</v>
      </c>
      <c r="M1729" s="516">
        <v>7.08</v>
      </c>
      <c r="N1729" s="505" t="s">
        <v>1233</v>
      </c>
    </row>
    <row r="1730" spans="1:14" x14ac:dyDescent="0.25">
      <c r="A1730" s="505" t="s">
        <v>4727</v>
      </c>
      <c r="B1730" s="505" t="s">
        <v>4728</v>
      </c>
      <c r="C1730" s="512" t="s">
        <v>8973</v>
      </c>
      <c r="D1730" s="512" t="s">
        <v>7734</v>
      </c>
      <c r="E1730" s="512" t="s">
        <v>8974</v>
      </c>
      <c r="F1730" s="512" t="s">
        <v>1041</v>
      </c>
      <c r="G1730" s="512" t="s">
        <v>8029</v>
      </c>
      <c r="H1730" s="512" t="s">
        <v>7889</v>
      </c>
      <c r="L1730" s="505" t="s">
        <v>1233</v>
      </c>
      <c r="M1730" s="516">
        <v>7.08</v>
      </c>
      <c r="N1730" s="505" t="s">
        <v>1233</v>
      </c>
    </row>
    <row r="1731" spans="1:14" s="530" customFormat="1" x14ac:dyDescent="0.25">
      <c r="A1731" s="530" t="s">
        <v>4729</v>
      </c>
      <c r="B1731" s="530" t="s">
        <v>4730</v>
      </c>
      <c r="C1731" s="531" t="s">
        <v>8980</v>
      </c>
      <c r="D1731" s="531" t="s">
        <v>7734</v>
      </c>
      <c r="E1731" s="531" t="s">
        <v>8981</v>
      </c>
      <c r="F1731" s="531" t="s">
        <v>7763</v>
      </c>
      <c r="G1731" s="531" t="s">
        <v>7918</v>
      </c>
      <c r="H1731" s="531" t="s">
        <v>7777</v>
      </c>
      <c r="I1731" s="531" t="s">
        <v>7778</v>
      </c>
      <c r="L1731" s="530" t="s">
        <v>1233</v>
      </c>
      <c r="M1731" s="532">
        <v>0</v>
      </c>
      <c r="N1731" s="530" t="s">
        <v>1544</v>
      </c>
    </row>
    <row r="1732" spans="1:14" x14ac:dyDescent="0.25">
      <c r="A1732" s="505" t="s">
        <v>4731</v>
      </c>
      <c r="B1732" s="505" t="s">
        <v>4732</v>
      </c>
      <c r="C1732" s="512" t="s">
        <v>8973</v>
      </c>
      <c r="D1732" s="512" t="s">
        <v>7734</v>
      </c>
      <c r="E1732" s="512" t="s">
        <v>8974</v>
      </c>
      <c r="F1732" s="512" t="s">
        <v>1041</v>
      </c>
      <c r="G1732" s="512" t="s">
        <v>8029</v>
      </c>
      <c r="H1732" s="512" t="s">
        <v>7803</v>
      </c>
      <c r="L1732" s="505" t="s">
        <v>1233</v>
      </c>
      <c r="M1732" s="516">
        <v>7.08</v>
      </c>
      <c r="N1732" s="505" t="s">
        <v>1233</v>
      </c>
    </row>
    <row r="1733" spans="1:14" x14ac:dyDescent="0.25">
      <c r="A1733" s="505" t="s">
        <v>4733</v>
      </c>
      <c r="B1733" s="505" t="s">
        <v>4734</v>
      </c>
      <c r="C1733" s="512" t="s">
        <v>8973</v>
      </c>
      <c r="D1733" s="512" t="s">
        <v>7734</v>
      </c>
      <c r="E1733" s="512" t="s">
        <v>8974</v>
      </c>
      <c r="F1733" s="512" t="s">
        <v>1041</v>
      </c>
      <c r="G1733" s="512" t="s">
        <v>8029</v>
      </c>
      <c r="H1733" s="512" t="s">
        <v>7907</v>
      </c>
      <c r="I1733" s="512" t="s">
        <v>7999</v>
      </c>
      <c r="L1733" s="505" t="s">
        <v>1233</v>
      </c>
      <c r="M1733" s="516">
        <v>7.08</v>
      </c>
      <c r="N1733" s="505" t="s">
        <v>1233</v>
      </c>
    </row>
    <row r="1734" spans="1:14" x14ac:dyDescent="0.25">
      <c r="A1734" s="505" t="s">
        <v>4735</v>
      </c>
      <c r="B1734" s="505" t="s">
        <v>4736</v>
      </c>
      <c r="C1734" s="512" t="s">
        <v>8973</v>
      </c>
      <c r="D1734" s="512" t="s">
        <v>7734</v>
      </c>
      <c r="E1734" s="512" t="s">
        <v>8974</v>
      </c>
      <c r="F1734" s="512" t="s">
        <v>1041</v>
      </c>
      <c r="G1734" s="512" t="s">
        <v>8029</v>
      </c>
      <c r="H1734" s="512" t="s">
        <v>7721</v>
      </c>
      <c r="L1734" s="505" t="s">
        <v>1233</v>
      </c>
      <c r="M1734" s="516">
        <v>7.08</v>
      </c>
      <c r="N1734" s="505" t="s">
        <v>1233</v>
      </c>
    </row>
    <row r="1735" spans="1:14" x14ac:dyDescent="0.25">
      <c r="A1735" s="505" t="s">
        <v>4737</v>
      </c>
      <c r="B1735" s="505" t="s">
        <v>4738</v>
      </c>
      <c r="C1735" s="512" t="s">
        <v>8973</v>
      </c>
      <c r="D1735" s="512" t="s">
        <v>7734</v>
      </c>
      <c r="E1735" s="512" t="s">
        <v>8974</v>
      </c>
      <c r="F1735" s="512" t="s">
        <v>1041</v>
      </c>
      <c r="G1735" s="512" t="s">
        <v>8029</v>
      </c>
      <c r="H1735" s="512" t="s">
        <v>7804</v>
      </c>
      <c r="L1735" s="505" t="s">
        <v>1233</v>
      </c>
      <c r="M1735" s="516">
        <v>7.08</v>
      </c>
      <c r="N1735" s="505" t="s">
        <v>1233</v>
      </c>
    </row>
    <row r="1736" spans="1:14" x14ac:dyDescent="0.25">
      <c r="A1736" s="505" t="s">
        <v>4739</v>
      </c>
      <c r="B1736" s="505" t="s">
        <v>4740</v>
      </c>
      <c r="C1736" s="512" t="s">
        <v>8973</v>
      </c>
      <c r="D1736" s="512" t="s">
        <v>7734</v>
      </c>
      <c r="E1736" s="512" t="s">
        <v>8982</v>
      </c>
      <c r="F1736" s="512" t="s">
        <v>7733</v>
      </c>
      <c r="G1736" s="512" t="s">
        <v>1041</v>
      </c>
      <c r="H1736" s="512" t="s">
        <v>8029</v>
      </c>
      <c r="I1736" s="512" t="s">
        <v>7876</v>
      </c>
      <c r="J1736" s="505" t="s">
        <v>7999</v>
      </c>
      <c r="L1736" s="505" t="s">
        <v>1233</v>
      </c>
      <c r="M1736" s="516">
        <v>7.08</v>
      </c>
      <c r="N1736" s="505" t="s">
        <v>1233</v>
      </c>
    </row>
    <row r="1737" spans="1:14" x14ac:dyDescent="0.25">
      <c r="A1737" s="505" t="s">
        <v>4741</v>
      </c>
      <c r="B1737" s="505" t="s">
        <v>4742</v>
      </c>
      <c r="C1737" s="512" t="s">
        <v>8973</v>
      </c>
      <c r="D1737" s="512" t="s">
        <v>7734</v>
      </c>
      <c r="E1737" s="512" t="s">
        <v>8982</v>
      </c>
      <c r="F1737" s="512" t="s">
        <v>7733</v>
      </c>
      <c r="G1737" s="512" t="s">
        <v>1041</v>
      </c>
      <c r="H1737" s="512" t="s">
        <v>8029</v>
      </c>
      <c r="I1737" s="512" t="s">
        <v>7437</v>
      </c>
      <c r="L1737" s="505" t="s">
        <v>1233</v>
      </c>
      <c r="M1737" s="516">
        <v>7.08</v>
      </c>
      <c r="N1737" s="505" t="s">
        <v>1233</v>
      </c>
    </row>
    <row r="1738" spans="1:14" x14ac:dyDescent="0.25">
      <c r="A1738" s="505" t="s">
        <v>4743</v>
      </c>
      <c r="B1738" s="505" t="s">
        <v>4744</v>
      </c>
      <c r="C1738" s="512" t="s">
        <v>8973</v>
      </c>
      <c r="D1738" s="512" t="s">
        <v>7734</v>
      </c>
      <c r="E1738" s="512" t="s">
        <v>8982</v>
      </c>
      <c r="F1738" s="512" t="s">
        <v>7733</v>
      </c>
      <c r="G1738" s="512" t="s">
        <v>1041</v>
      </c>
      <c r="H1738" s="512" t="s">
        <v>8029</v>
      </c>
      <c r="I1738" s="512" t="s">
        <v>8975</v>
      </c>
      <c r="L1738" s="505" t="s">
        <v>1233</v>
      </c>
      <c r="M1738" s="516">
        <v>7.08</v>
      </c>
      <c r="N1738" s="505" t="s">
        <v>1233</v>
      </c>
    </row>
    <row r="1739" spans="1:14" x14ac:dyDescent="0.25">
      <c r="A1739" s="505" t="s">
        <v>4745</v>
      </c>
      <c r="B1739" s="505" t="s">
        <v>4746</v>
      </c>
      <c r="C1739" s="512" t="s">
        <v>8973</v>
      </c>
      <c r="D1739" s="512" t="s">
        <v>7734</v>
      </c>
      <c r="E1739" s="512" t="s">
        <v>8982</v>
      </c>
      <c r="F1739" s="512" t="s">
        <v>7733</v>
      </c>
      <c r="G1739" s="512" t="s">
        <v>1041</v>
      </c>
      <c r="H1739" s="512" t="s">
        <v>8029</v>
      </c>
      <c r="I1739" s="512" t="s">
        <v>7800</v>
      </c>
      <c r="L1739" s="505" t="s">
        <v>1233</v>
      </c>
      <c r="M1739" s="516">
        <v>7.08</v>
      </c>
      <c r="N1739" s="505" t="s">
        <v>1233</v>
      </c>
    </row>
    <row r="1740" spans="1:14" x14ac:dyDescent="0.25">
      <c r="A1740" s="505" t="s">
        <v>4747</v>
      </c>
      <c r="B1740" s="505" t="s">
        <v>4748</v>
      </c>
      <c r="C1740" s="512" t="s">
        <v>8973</v>
      </c>
      <c r="D1740" s="512" t="s">
        <v>7734</v>
      </c>
      <c r="E1740" s="512" t="s">
        <v>8982</v>
      </c>
      <c r="F1740" s="512" t="s">
        <v>7733</v>
      </c>
      <c r="G1740" s="512" t="s">
        <v>1041</v>
      </c>
      <c r="H1740" s="512" t="s">
        <v>8029</v>
      </c>
      <c r="I1740" s="512" t="s">
        <v>8976</v>
      </c>
      <c r="L1740" s="505" t="s">
        <v>1233</v>
      </c>
      <c r="M1740" s="516">
        <v>7.08</v>
      </c>
      <c r="N1740" s="505" t="s">
        <v>1233</v>
      </c>
    </row>
    <row r="1741" spans="1:14" x14ac:dyDescent="0.25">
      <c r="A1741" s="505" t="s">
        <v>4749</v>
      </c>
      <c r="B1741" s="505" t="s">
        <v>4750</v>
      </c>
      <c r="C1741" s="512" t="s">
        <v>8973</v>
      </c>
      <c r="D1741" s="512" t="s">
        <v>7734</v>
      </c>
      <c r="E1741" s="512" t="s">
        <v>8982</v>
      </c>
      <c r="F1741" s="512" t="s">
        <v>7733</v>
      </c>
      <c r="G1741" s="512" t="s">
        <v>1041</v>
      </c>
      <c r="H1741" s="512" t="s">
        <v>8029</v>
      </c>
      <c r="I1741" s="512" t="s">
        <v>7881</v>
      </c>
      <c r="L1741" s="505" t="s">
        <v>1233</v>
      </c>
      <c r="M1741" s="516">
        <v>7.08</v>
      </c>
      <c r="N1741" s="505" t="s">
        <v>1233</v>
      </c>
    </row>
    <row r="1742" spans="1:14" x14ac:dyDescent="0.25">
      <c r="A1742" s="505" t="s">
        <v>4751</v>
      </c>
      <c r="B1742" s="505" t="s">
        <v>4752</v>
      </c>
      <c r="C1742" s="512" t="s">
        <v>8973</v>
      </c>
      <c r="D1742" s="512" t="s">
        <v>7734</v>
      </c>
      <c r="E1742" s="512" t="s">
        <v>8982</v>
      </c>
      <c r="F1742" s="512" t="s">
        <v>7733</v>
      </c>
      <c r="G1742" s="512" t="s">
        <v>1041</v>
      </c>
      <c r="H1742" s="512" t="s">
        <v>8029</v>
      </c>
      <c r="I1742" s="512" t="s">
        <v>8977</v>
      </c>
      <c r="L1742" s="505" t="s">
        <v>1233</v>
      </c>
      <c r="M1742" s="516">
        <v>7.08</v>
      </c>
      <c r="N1742" s="505" t="s">
        <v>1233</v>
      </c>
    </row>
    <row r="1743" spans="1:14" x14ac:dyDescent="0.25">
      <c r="A1743" s="505" t="s">
        <v>4753</v>
      </c>
      <c r="B1743" s="505" t="s">
        <v>4754</v>
      </c>
      <c r="C1743" s="512" t="s">
        <v>8973</v>
      </c>
      <c r="D1743" s="512" t="s">
        <v>7734</v>
      </c>
      <c r="E1743" s="512" t="s">
        <v>8982</v>
      </c>
      <c r="F1743" s="512" t="s">
        <v>7733</v>
      </c>
      <c r="G1743" s="512" t="s">
        <v>1041</v>
      </c>
      <c r="H1743" s="512" t="s">
        <v>8029</v>
      </c>
      <c r="I1743" s="512" t="s">
        <v>7883</v>
      </c>
      <c r="J1743" s="505" t="s">
        <v>7999</v>
      </c>
      <c r="L1743" s="505" t="s">
        <v>1233</v>
      </c>
      <c r="M1743" s="516">
        <v>7.08</v>
      </c>
      <c r="N1743" s="505" t="s">
        <v>1233</v>
      </c>
    </row>
    <row r="1744" spans="1:14" x14ac:dyDescent="0.25">
      <c r="A1744" s="505" t="s">
        <v>4755</v>
      </c>
      <c r="B1744" s="505" t="s">
        <v>4756</v>
      </c>
      <c r="C1744" s="512" t="s">
        <v>8973</v>
      </c>
      <c r="D1744" s="512" t="s">
        <v>7734</v>
      </c>
      <c r="E1744" s="512" t="s">
        <v>8982</v>
      </c>
      <c r="F1744" s="512" t="s">
        <v>7733</v>
      </c>
      <c r="G1744" s="512" t="s">
        <v>1041</v>
      </c>
      <c r="H1744" s="512" t="s">
        <v>8029</v>
      </c>
      <c r="I1744" s="512" t="s">
        <v>8978</v>
      </c>
      <c r="L1744" s="505" t="s">
        <v>1233</v>
      </c>
      <c r="M1744" s="516">
        <v>7.08</v>
      </c>
      <c r="N1744" s="505" t="s">
        <v>1233</v>
      </c>
    </row>
    <row r="1745" spans="1:14" x14ac:dyDescent="0.25">
      <c r="A1745" s="505" t="s">
        <v>4757</v>
      </c>
      <c r="B1745" s="505" t="s">
        <v>4758</v>
      </c>
      <c r="C1745" s="512" t="s">
        <v>8973</v>
      </c>
      <c r="D1745" s="512" t="s">
        <v>7734</v>
      </c>
      <c r="E1745" s="512" t="s">
        <v>8982</v>
      </c>
      <c r="F1745" s="512" t="s">
        <v>7733</v>
      </c>
      <c r="G1745" s="512" t="s">
        <v>1041</v>
      </c>
      <c r="H1745" s="512" t="s">
        <v>8029</v>
      </c>
      <c r="I1745" s="512" t="s">
        <v>8385</v>
      </c>
      <c r="L1745" s="505" t="s">
        <v>1233</v>
      </c>
      <c r="M1745" s="516">
        <v>7.08</v>
      </c>
      <c r="N1745" s="505" t="s">
        <v>1233</v>
      </c>
    </row>
    <row r="1746" spans="1:14" x14ac:dyDescent="0.25">
      <c r="A1746" s="505" t="s">
        <v>4759</v>
      </c>
      <c r="B1746" s="505" t="s">
        <v>4760</v>
      </c>
      <c r="C1746" s="512" t="s">
        <v>8973</v>
      </c>
      <c r="D1746" s="512" t="s">
        <v>7734</v>
      </c>
      <c r="E1746" s="512" t="s">
        <v>8982</v>
      </c>
      <c r="F1746" s="512" t="s">
        <v>7733</v>
      </c>
      <c r="G1746" s="512" t="s">
        <v>1041</v>
      </c>
      <c r="H1746" s="512" t="s">
        <v>8029</v>
      </c>
      <c r="I1746" s="512" t="s">
        <v>7454</v>
      </c>
      <c r="L1746" s="505" t="s">
        <v>1233</v>
      </c>
      <c r="M1746" s="516">
        <v>7.08</v>
      </c>
      <c r="N1746" s="505" t="s">
        <v>1233</v>
      </c>
    </row>
    <row r="1747" spans="1:14" x14ac:dyDescent="0.25">
      <c r="A1747" s="505" t="s">
        <v>4761</v>
      </c>
      <c r="B1747" s="505" t="s">
        <v>4762</v>
      </c>
      <c r="C1747" s="512" t="s">
        <v>8973</v>
      </c>
      <c r="D1747" s="512" t="s">
        <v>7734</v>
      </c>
      <c r="E1747" s="512" t="s">
        <v>8982</v>
      </c>
      <c r="F1747" s="512" t="s">
        <v>7733</v>
      </c>
      <c r="G1747" s="512" t="s">
        <v>1041</v>
      </c>
      <c r="H1747" s="512" t="s">
        <v>8029</v>
      </c>
      <c r="I1747" s="512" t="s">
        <v>7433</v>
      </c>
      <c r="L1747" s="505" t="s">
        <v>1233</v>
      </c>
      <c r="M1747" s="516">
        <v>7.08</v>
      </c>
      <c r="N1747" s="505" t="s">
        <v>1233</v>
      </c>
    </row>
    <row r="1748" spans="1:14" x14ac:dyDescent="0.25">
      <c r="A1748" s="505" t="s">
        <v>4763</v>
      </c>
      <c r="B1748" s="505" t="s">
        <v>4764</v>
      </c>
      <c r="C1748" s="512" t="s">
        <v>8973</v>
      </c>
      <c r="D1748" s="512" t="s">
        <v>7734</v>
      </c>
      <c r="E1748" s="512" t="s">
        <v>8982</v>
      </c>
      <c r="F1748" s="512" t="s">
        <v>7733</v>
      </c>
      <c r="G1748" s="512" t="s">
        <v>1041</v>
      </c>
      <c r="H1748" s="512" t="s">
        <v>8029</v>
      </c>
      <c r="I1748" s="512" t="s">
        <v>8713</v>
      </c>
      <c r="J1748" s="505" t="s">
        <v>7887</v>
      </c>
      <c r="L1748" s="505" t="s">
        <v>1233</v>
      </c>
      <c r="M1748" s="516">
        <v>7.08</v>
      </c>
      <c r="N1748" s="505" t="s">
        <v>1233</v>
      </c>
    </row>
    <row r="1749" spans="1:14" x14ac:dyDescent="0.25">
      <c r="A1749" s="505" t="s">
        <v>4765</v>
      </c>
      <c r="B1749" s="505" t="s">
        <v>4766</v>
      </c>
      <c r="C1749" s="512" t="s">
        <v>8973</v>
      </c>
      <c r="D1749" s="512" t="s">
        <v>7734</v>
      </c>
      <c r="E1749" s="512" t="s">
        <v>8982</v>
      </c>
      <c r="F1749" s="512" t="s">
        <v>7733</v>
      </c>
      <c r="G1749" s="512" t="s">
        <v>1041</v>
      </c>
      <c r="H1749" s="512" t="s">
        <v>8029</v>
      </c>
      <c r="I1749" s="512" t="s">
        <v>8143</v>
      </c>
      <c r="L1749" s="505" t="s">
        <v>1233</v>
      </c>
      <c r="M1749" s="516">
        <v>7.08</v>
      </c>
      <c r="N1749" s="505" t="s">
        <v>1233</v>
      </c>
    </row>
    <row r="1750" spans="1:14" x14ac:dyDescent="0.25">
      <c r="A1750" s="505" t="s">
        <v>4767</v>
      </c>
      <c r="B1750" s="505" t="s">
        <v>4768</v>
      </c>
      <c r="C1750" s="512" t="s">
        <v>8973</v>
      </c>
      <c r="D1750" s="512" t="s">
        <v>7734</v>
      </c>
      <c r="E1750" s="512" t="s">
        <v>8982</v>
      </c>
      <c r="F1750" s="512" t="s">
        <v>7733</v>
      </c>
      <c r="G1750" s="512" t="s">
        <v>1041</v>
      </c>
      <c r="H1750" s="512" t="s">
        <v>8029</v>
      </c>
      <c r="I1750" s="512" t="s">
        <v>7889</v>
      </c>
      <c r="L1750" s="505" t="s">
        <v>1233</v>
      </c>
      <c r="M1750" s="516">
        <v>7.08</v>
      </c>
      <c r="N1750" s="505" t="s">
        <v>1233</v>
      </c>
    </row>
    <row r="1751" spans="1:14" x14ac:dyDescent="0.25">
      <c r="A1751" s="505" t="s">
        <v>4769</v>
      </c>
      <c r="B1751" s="505" t="s">
        <v>4770</v>
      </c>
      <c r="C1751" s="512" t="s">
        <v>8973</v>
      </c>
      <c r="D1751" s="512" t="s">
        <v>7734</v>
      </c>
      <c r="E1751" s="512" t="s">
        <v>8982</v>
      </c>
      <c r="F1751" s="512" t="s">
        <v>7733</v>
      </c>
      <c r="G1751" s="512" t="s">
        <v>1041</v>
      </c>
      <c r="H1751" s="512" t="s">
        <v>8029</v>
      </c>
      <c r="I1751" s="512" t="s">
        <v>7890</v>
      </c>
      <c r="J1751" s="505" t="s">
        <v>8817</v>
      </c>
      <c r="L1751" s="505" t="s">
        <v>1233</v>
      </c>
      <c r="M1751" s="516">
        <v>7.08</v>
      </c>
      <c r="N1751" s="505" t="s">
        <v>1233</v>
      </c>
    </row>
    <row r="1752" spans="1:14" x14ac:dyDescent="0.25">
      <c r="A1752" s="505" t="s">
        <v>4771</v>
      </c>
      <c r="B1752" s="505" t="s">
        <v>4772</v>
      </c>
      <c r="C1752" s="512" t="s">
        <v>8973</v>
      </c>
      <c r="D1752" s="512" t="s">
        <v>7734</v>
      </c>
      <c r="E1752" s="512" t="s">
        <v>8982</v>
      </c>
      <c r="F1752" s="512" t="s">
        <v>7733</v>
      </c>
      <c r="G1752" s="512" t="s">
        <v>1041</v>
      </c>
      <c r="H1752" s="512" t="s">
        <v>8029</v>
      </c>
      <c r="I1752" s="512" t="s">
        <v>7803</v>
      </c>
      <c r="L1752" s="505" t="s">
        <v>1233</v>
      </c>
      <c r="M1752" s="516">
        <v>7.08</v>
      </c>
      <c r="N1752" s="505" t="s">
        <v>1233</v>
      </c>
    </row>
    <row r="1753" spans="1:14" x14ac:dyDescent="0.25">
      <c r="A1753" s="505" t="s">
        <v>4773</v>
      </c>
      <c r="B1753" s="505" t="s">
        <v>4774</v>
      </c>
      <c r="C1753" s="512" t="s">
        <v>8973</v>
      </c>
      <c r="D1753" s="512" t="s">
        <v>7734</v>
      </c>
      <c r="E1753" s="512" t="s">
        <v>8982</v>
      </c>
      <c r="F1753" s="512" t="s">
        <v>7733</v>
      </c>
      <c r="G1753" s="512" t="s">
        <v>1041</v>
      </c>
      <c r="H1753" s="512" t="s">
        <v>8029</v>
      </c>
      <c r="I1753" s="512" t="s">
        <v>7907</v>
      </c>
      <c r="J1753" s="505" t="s">
        <v>7999</v>
      </c>
      <c r="L1753" s="505" t="s">
        <v>1233</v>
      </c>
      <c r="M1753" s="516">
        <v>7.08</v>
      </c>
      <c r="N1753" s="505" t="s">
        <v>1233</v>
      </c>
    </row>
    <row r="1754" spans="1:14" x14ac:dyDescent="0.25">
      <c r="A1754" s="505" t="s">
        <v>4775</v>
      </c>
      <c r="B1754" s="505" t="s">
        <v>4776</v>
      </c>
      <c r="C1754" s="512" t="s">
        <v>8973</v>
      </c>
      <c r="D1754" s="512" t="s">
        <v>7734</v>
      </c>
      <c r="E1754" s="512" t="s">
        <v>8982</v>
      </c>
      <c r="F1754" s="512" t="s">
        <v>7733</v>
      </c>
      <c r="G1754" s="512" t="s">
        <v>1041</v>
      </c>
      <c r="H1754" s="512" t="s">
        <v>8029</v>
      </c>
      <c r="I1754" s="512" t="s">
        <v>7721</v>
      </c>
      <c r="L1754" s="505" t="s">
        <v>1233</v>
      </c>
      <c r="M1754" s="516">
        <v>7.08</v>
      </c>
      <c r="N1754" s="505" t="s">
        <v>1233</v>
      </c>
    </row>
    <row r="1755" spans="1:14" x14ac:dyDescent="0.25">
      <c r="A1755" s="505" t="s">
        <v>4777</v>
      </c>
      <c r="B1755" s="505" t="s">
        <v>4778</v>
      </c>
      <c r="C1755" s="512" t="s">
        <v>8973</v>
      </c>
      <c r="D1755" s="512" t="s">
        <v>7734</v>
      </c>
      <c r="E1755" s="512" t="s">
        <v>8982</v>
      </c>
      <c r="F1755" s="512" t="s">
        <v>7733</v>
      </c>
      <c r="G1755" s="512" t="s">
        <v>1041</v>
      </c>
      <c r="H1755" s="512" t="s">
        <v>8029</v>
      </c>
      <c r="I1755" s="512" t="s">
        <v>7804</v>
      </c>
      <c r="L1755" s="505" t="s">
        <v>1233</v>
      </c>
      <c r="M1755" s="516">
        <v>7.08</v>
      </c>
      <c r="N1755" s="505" t="s">
        <v>1233</v>
      </c>
    </row>
    <row r="1756" spans="1:14" s="530" customFormat="1" x14ac:dyDescent="0.25">
      <c r="A1756" s="530" t="s">
        <v>4779</v>
      </c>
      <c r="B1756" s="530" t="s">
        <v>4780</v>
      </c>
      <c r="C1756" s="531" t="s">
        <v>8980</v>
      </c>
      <c r="D1756" s="531" t="s">
        <v>8983</v>
      </c>
      <c r="E1756" s="531" t="s">
        <v>7738</v>
      </c>
      <c r="F1756" s="531" t="s">
        <v>7533</v>
      </c>
      <c r="G1756" s="531"/>
      <c r="H1756" s="531"/>
      <c r="I1756" s="531"/>
      <c r="L1756" s="530" t="s">
        <v>1233</v>
      </c>
      <c r="M1756" s="532">
        <v>0</v>
      </c>
      <c r="N1756" s="530" t="s">
        <v>1544</v>
      </c>
    </row>
    <row r="1757" spans="1:14" x14ac:dyDescent="0.25">
      <c r="A1757" s="505" t="s">
        <v>4781</v>
      </c>
      <c r="B1757" s="505" t="s">
        <v>4782</v>
      </c>
      <c r="C1757" s="512" t="s">
        <v>7762</v>
      </c>
      <c r="D1757" s="512" t="s">
        <v>8326</v>
      </c>
      <c r="E1757" s="512" t="s">
        <v>8331</v>
      </c>
      <c r="F1757" s="512" t="s">
        <v>7822</v>
      </c>
      <c r="G1757" s="512" t="s">
        <v>7533</v>
      </c>
      <c r="H1757" s="512" t="s">
        <v>8984</v>
      </c>
      <c r="I1757" s="512" t="s">
        <v>8985</v>
      </c>
      <c r="L1757" s="505" t="s">
        <v>1233</v>
      </c>
      <c r="M1757" s="516">
        <v>20.36</v>
      </c>
      <c r="N1757" s="505" t="s">
        <v>1233</v>
      </c>
    </row>
    <row r="1758" spans="1:14" x14ac:dyDescent="0.25">
      <c r="A1758" s="505" t="s">
        <v>4783</v>
      </c>
      <c r="B1758" s="505" t="s">
        <v>4784</v>
      </c>
      <c r="C1758" s="512" t="s">
        <v>7762</v>
      </c>
      <c r="D1758" s="512" t="s">
        <v>8326</v>
      </c>
      <c r="E1758" s="512" t="s">
        <v>8331</v>
      </c>
      <c r="F1758" s="512" t="s">
        <v>7822</v>
      </c>
      <c r="G1758" s="512" t="s">
        <v>7533</v>
      </c>
      <c r="H1758" s="512" t="s">
        <v>8986</v>
      </c>
      <c r="I1758" s="512" t="s">
        <v>8985</v>
      </c>
      <c r="L1758" s="505" t="s">
        <v>1233</v>
      </c>
      <c r="M1758" s="516">
        <v>20.36</v>
      </c>
      <c r="N1758" s="505" t="s">
        <v>1233</v>
      </c>
    </row>
    <row r="1759" spans="1:14" x14ac:dyDescent="0.25">
      <c r="A1759" s="505" t="s">
        <v>4785</v>
      </c>
      <c r="B1759" s="505" t="s">
        <v>4786</v>
      </c>
      <c r="C1759" s="512" t="s">
        <v>7762</v>
      </c>
      <c r="D1759" s="512" t="s">
        <v>8326</v>
      </c>
      <c r="E1759" s="512" t="s">
        <v>8331</v>
      </c>
      <c r="F1759" s="512" t="s">
        <v>7822</v>
      </c>
      <c r="G1759" s="512" t="s">
        <v>7533</v>
      </c>
      <c r="H1759" s="512" t="s">
        <v>8987</v>
      </c>
      <c r="I1759" s="512" t="s">
        <v>8985</v>
      </c>
      <c r="L1759" s="505" t="s">
        <v>1233</v>
      </c>
      <c r="M1759" s="516">
        <v>20.36</v>
      </c>
      <c r="N1759" s="505" t="s">
        <v>1233</v>
      </c>
    </row>
    <row r="1760" spans="1:14" x14ac:dyDescent="0.25">
      <c r="A1760" s="505" t="s">
        <v>4787</v>
      </c>
      <c r="B1760" s="505" t="s">
        <v>4788</v>
      </c>
      <c r="C1760" s="512" t="s">
        <v>7762</v>
      </c>
      <c r="D1760" s="512" t="s">
        <v>7763</v>
      </c>
      <c r="E1760" s="512" t="s">
        <v>7918</v>
      </c>
      <c r="F1760" s="512" t="s">
        <v>148</v>
      </c>
      <c r="G1760" s="512" t="s">
        <v>8988</v>
      </c>
      <c r="L1760" s="505" t="s">
        <v>1233</v>
      </c>
      <c r="M1760" s="516">
        <v>7.08</v>
      </c>
      <c r="N1760" s="505" t="s">
        <v>1233</v>
      </c>
    </row>
    <row r="1761" spans="1:14" x14ac:dyDescent="0.25">
      <c r="A1761" s="505" t="s">
        <v>4789</v>
      </c>
      <c r="B1761" s="505" t="s">
        <v>4790</v>
      </c>
      <c r="C1761" s="512" t="s">
        <v>7762</v>
      </c>
      <c r="D1761" s="512" t="s">
        <v>7763</v>
      </c>
      <c r="E1761" s="512" t="s">
        <v>7918</v>
      </c>
      <c r="F1761" s="512" t="s">
        <v>363</v>
      </c>
      <c r="G1761" s="512" t="s">
        <v>8988</v>
      </c>
      <c r="L1761" s="505" t="s">
        <v>1233</v>
      </c>
      <c r="M1761" s="516">
        <v>7.08</v>
      </c>
      <c r="N1761" s="505" t="s">
        <v>1233</v>
      </c>
    </row>
    <row r="1762" spans="1:14" x14ac:dyDescent="0.25">
      <c r="A1762" s="505" t="s">
        <v>4791</v>
      </c>
      <c r="B1762" s="505" t="s">
        <v>4792</v>
      </c>
      <c r="C1762" s="512" t="s">
        <v>7762</v>
      </c>
      <c r="D1762" s="512" t="s">
        <v>7763</v>
      </c>
      <c r="E1762" s="512" t="s">
        <v>7918</v>
      </c>
      <c r="F1762" s="512" t="s">
        <v>526</v>
      </c>
      <c r="G1762" s="512" t="s">
        <v>8988</v>
      </c>
      <c r="L1762" s="505" t="s">
        <v>1233</v>
      </c>
      <c r="M1762" s="516">
        <v>7.08</v>
      </c>
      <c r="N1762" s="505" t="s">
        <v>1233</v>
      </c>
    </row>
    <row r="1763" spans="1:14" x14ac:dyDescent="0.25">
      <c r="A1763" s="505" t="s">
        <v>4793</v>
      </c>
      <c r="B1763" s="505" t="s">
        <v>4794</v>
      </c>
      <c r="C1763" s="512" t="s">
        <v>7762</v>
      </c>
      <c r="D1763" s="512" t="s">
        <v>7763</v>
      </c>
      <c r="E1763" s="512" t="s">
        <v>7918</v>
      </c>
      <c r="F1763" s="512" t="s">
        <v>511</v>
      </c>
      <c r="G1763" s="512" t="s">
        <v>8988</v>
      </c>
      <c r="L1763" s="505" t="s">
        <v>1233</v>
      </c>
      <c r="M1763" s="516">
        <v>7.08</v>
      </c>
      <c r="N1763" s="505" t="s">
        <v>1233</v>
      </c>
    </row>
    <row r="1764" spans="1:14" x14ac:dyDescent="0.25">
      <c r="A1764" s="505" t="s">
        <v>4795</v>
      </c>
      <c r="B1764" s="505" t="s">
        <v>4796</v>
      </c>
      <c r="C1764" s="512" t="s">
        <v>7762</v>
      </c>
      <c r="D1764" s="512" t="s">
        <v>7808</v>
      </c>
      <c r="E1764" s="512" t="s">
        <v>8768</v>
      </c>
      <c r="F1764" s="512" t="s">
        <v>8837</v>
      </c>
      <c r="G1764" s="512" t="s">
        <v>7529</v>
      </c>
      <c r="H1764" s="512" t="s">
        <v>361</v>
      </c>
      <c r="L1764" s="505" t="s">
        <v>1233</v>
      </c>
      <c r="M1764" s="516">
        <v>4.24</v>
      </c>
      <c r="N1764" s="505" t="s">
        <v>1233</v>
      </c>
    </row>
    <row r="1765" spans="1:14" x14ac:dyDescent="0.25">
      <c r="A1765" s="505" t="s">
        <v>4797</v>
      </c>
      <c r="B1765" s="505" t="s">
        <v>4798</v>
      </c>
      <c r="C1765" s="512" t="s">
        <v>7762</v>
      </c>
      <c r="D1765" s="512" t="s">
        <v>8322</v>
      </c>
      <c r="E1765" s="512" t="s">
        <v>8989</v>
      </c>
      <c r="F1765" s="512" t="s">
        <v>7808</v>
      </c>
      <c r="G1765" s="512" t="s">
        <v>8990</v>
      </c>
      <c r="H1765" s="512" t="s">
        <v>8991</v>
      </c>
      <c r="I1765" s="512">
        <v>13715</v>
      </c>
      <c r="L1765" s="505" t="s">
        <v>1233</v>
      </c>
      <c r="M1765" s="516">
        <v>9.15</v>
      </c>
      <c r="N1765" s="505" t="s">
        <v>1233</v>
      </c>
    </row>
    <row r="1766" spans="1:14" x14ac:dyDescent="0.25">
      <c r="A1766" s="505" t="s">
        <v>4799</v>
      </c>
      <c r="B1766" s="505" t="s">
        <v>4800</v>
      </c>
      <c r="C1766" s="512" t="s">
        <v>7762</v>
      </c>
      <c r="D1766" s="512" t="s">
        <v>7808</v>
      </c>
      <c r="E1766" s="512" t="s">
        <v>8768</v>
      </c>
      <c r="F1766" s="512" t="s">
        <v>8837</v>
      </c>
      <c r="G1766" s="512" t="s">
        <v>148</v>
      </c>
      <c r="H1766" s="512">
        <v>13715</v>
      </c>
      <c r="L1766" s="505" t="s">
        <v>1233</v>
      </c>
      <c r="M1766" s="516">
        <v>4.24</v>
      </c>
      <c r="N1766" s="505" t="s">
        <v>1233</v>
      </c>
    </row>
    <row r="1767" spans="1:14" x14ac:dyDescent="0.25">
      <c r="A1767" s="505" t="s">
        <v>4801</v>
      </c>
      <c r="B1767" s="505" t="s">
        <v>4802</v>
      </c>
      <c r="C1767" s="512" t="s">
        <v>7762</v>
      </c>
      <c r="D1767" s="512" t="s">
        <v>7808</v>
      </c>
      <c r="E1767" s="512" t="s">
        <v>8768</v>
      </c>
      <c r="F1767" s="512" t="s">
        <v>8837</v>
      </c>
      <c r="G1767" s="512" t="s">
        <v>8182</v>
      </c>
      <c r="H1767" s="512">
        <v>13715</v>
      </c>
      <c r="L1767" s="505" t="s">
        <v>1233</v>
      </c>
      <c r="M1767" s="516">
        <v>4.24</v>
      </c>
      <c r="N1767" s="505" t="s">
        <v>1233</v>
      </c>
    </row>
    <row r="1768" spans="1:14" x14ac:dyDescent="0.25">
      <c r="A1768" s="505" t="s">
        <v>4803</v>
      </c>
      <c r="B1768" s="505" t="s">
        <v>4804</v>
      </c>
      <c r="C1768" s="512" t="s">
        <v>7762</v>
      </c>
      <c r="D1768" s="512" t="s">
        <v>7808</v>
      </c>
      <c r="E1768" s="512" t="s">
        <v>8768</v>
      </c>
      <c r="F1768" s="512" t="s">
        <v>8837</v>
      </c>
      <c r="G1768" s="512" t="s">
        <v>144</v>
      </c>
      <c r="H1768" s="512">
        <v>13715</v>
      </c>
      <c r="L1768" s="505" t="s">
        <v>1233</v>
      </c>
      <c r="M1768" s="516">
        <v>4.24</v>
      </c>
      <c r="N1768" s="505" t="s">
        <v>1233</v>
      </c>
    </row>
    <row r="1769" spans="1:14" x14ac:dyDescent="0.25">
      <c r="A1769" s="505" t="s">
        <v>4805</v>
      </c>
      <c r="B1769" s="505" t="s">
        <v>4806</v>
      </c>
      <c r="C1769" s="512" t="s">
        <v>7762</v>
      </c>
      <c r="D1769" s="512" t="s">
        <v>8322</v>
      </c>
      <c r="E1769" s="512" t="s">
        <v>8989</v>
      </c>
      <c r="F1769" s="512" t="s">
        <v>7808</v>
      </c>
      <c r="G1769" s="512" t="s">
        <v>8990</v>
      </c>
      <c r="H1769" s="512" t="s">
        <v>8992</v>
      </c>
      <c r="I1769" s="512">
        <v>13715</v>
      </c>
      <c r="L1769" s="505" t="s">
        <v>1233</v>
      </c>
      <c r="M1769" s="516">
        <v>9.15</v>
      </c>
      <c r="N1769" s="505" t="s">
        <v>1233</v>
      </c>
    </row>
    <row r="1770" spans="1:14" x14ac:dyDescent="0.25">
      <c r="A1770" s="505" t="s">
        <v>4807</v>
      </c>
      <c r="B1770" s="505" t="s">
        <v>4808</v>
      </c>
      <c r="C1770" s="512" t="s">
        <v>7762</v>
      </c>
      <c r="D1770" s="512" t="s">
        <v>7808</v>
      </c>
      <c r="E1770" s="512" t="s">
        <v>8768</v>
      </c>
      <c r="F1770" s="512" t="s">
        <v>8837</v>
      </c>
      <c r="G1770" s="512" t="s">
        <v>143</v>
      </c>
      <c r="H1770" s="512">
        <v>13715</v>
      </c>
      <c r="L1770" s="505" t="s">
        <v>1233</v>
      </c>
      <c r="M1770" s="516">
        <v>4.24</v>
      </c>
      <c r="N1770" s="505" t="s">
        <v>1233</v>
      </c>
    </row>
    <row r="1771" spans="1:14" x14ac:dyDescent="0.25">
      <c r="A1771" s="505" t="s">
        <v>4809</v>
      </c>
      <c r="B1771" s="505" t="s">
        <v>4810</v>
      </c>
      <c r="C1771" s="512" t="s">
        <v>7762</v>
      </c>
      <c r="D1771" s="512" t="s">
        <v>7808</v>
      </c>
      <c r="E1771" s="512" t="s">
        <v>8768</v>
      </c>
      <c r="F1771" s="512" t="s">
        <v>8837</v>
      </c>
      <c r="G1771" s="512" t="s">
        <v>477</v>
      </c>
      <c r="H1771" s="512">
        <v>13715</v>
      </c>
      <c r="L1771" s="505" t="s">
        <v>1233</v>
      </c>
      <c r="M1771" s="516">
        <v>4.24</v>
      </c>
      <c r="N1771" s="505" t="s">
        <v>1233</v>
      </c>
    </row>
    <row r="1772" spans="1:14" x14ac:dyDescent="0.25">
      <c r="A1772" s="505" t="s">
        <v>4811</v>
      </c>
      <c r="B1772" s="505" t="s">
        <v>4812</v>
      </c>
      <c r="C1772" s="512" t="s">
        <v>7762</v>
      </c>
      <c r="D1772" s="512" t="s">
        <v>7808</v>
      </c>
      <c r="E1772" s="512" t="s">
        <v>8768</v>
      </c>
      <c r="F1772" s="512" t="s">
        <v>8837</v>
      </c>
      <c r="G1772" s="512" t="s">
        <v>7787</v>
      </c>
      <c r="H1772" s="512">
        <v>13715</v>
      </c>
      <c r="L1772" s="505" t="s">
        <v>1233</v>
      </c>
      <c r="M1772" s="516">
        <v>4.24</v>
      </c>
      <c r="N1772" s="505" t="s">
        <v>1233</v>
      </c>
    </row>
    <row r="1773" spans="1:14" x14ac:dyDescent="0.25">
      <c r="A1773" s="505" t="s">
        <v>4813</v>
      </c>
      <c r="B1773" s="505" t="s">
        <v>4814</v>
      </c>
      <c r="C1773" s="512" t="s">
        <v>7762</v>
      </c>
      <c r="D1773" s="512" t="s">
        <v>7808</v>
      </c>
      <c r="E1773" s="512" t="s">
        <v>8768</v>
      </c>
      <c r="F1773" s="512" t="s">
        <v>8837</v>
      </c>
      <c r="G1773" s="512" t="s">
        <v>7788</v>
      </c>
      <c r="H1773" s="512" t="s">
        <v>361</v>
      </c>
      <c r="I1773" s="512">
        <v>13715</v>
      </c>
      <c r="L1773" s="505" t="s">
        <v>1233</v>
      </c>
      <c r="M1773" s="516">
        <v>4.24</v>
      </c>
      <c r="N1773" s="505" t="s">
        <v>1233</v>
      </c>
    </row>
    <row r="1774" spans="1:14" x14ac:dyDescent="0.25">
      <c r="A1774" s="505" t="s">
        <v>4815</v>
      </c>
      <c r="B1774" s="505" t="s">
        <v>4816</v>
      </c>
      <c r="C1774" s="512" t="s">
        <v>7762</v>
      </c>
      <c r="D1774" s="512" t="s">
        <v>7808</v>
      </c>
      <c r="E1774" s="512" t="s">
        <v>8768</v>
      </c>
      <c r="F1774" s="512" t="s">
        <v>8837</v>
      </c>
      <c r="G1774" s="512" t="s">
        <v>141</v>
      </c>
      <c r="H1774" s="512">
        <v>13715</v>
      </c>
      <c r="L1774" s="505" t="s">
        <v>1233</v>
      </c>
      <c r="M1774" s="516">
        <v>4.24</v>
      </c>
      <c r="N1774" s="505" t="s">
        <v>1233</v>
      </c>
    </row>
    <row r="1775" spans="1:14" x14ac:dyDescent="0.25">
      <c r="A1775" s="505" t="s">
        <v>4817</v>
      </c>
      <c r="B1775" s="505" t="s">
        <v>4818</v>
      </c>
      <c r="C1775" s="512" t="s">
        <v>7762</v>
      </c>
      <c r="D1775" s="512" t="s">
        <v>7808</v>
      </c>
      <c r="E1775" s="512" t="s">
        <v>8768</v>
      </c>
      <c r="F1775" s="512" t="s">
        <v>8837</v>
      </c>
      <c r="G1775" s="512" t="s">
        <v>8993</v>
      </c>
      <c r="H1775" s="512">
        <v>13715</v>
      </c>
      <c r="L1775" s="505" t="s">
        <v>1233</v>
      </c>
      <c r="M1775" s="516">
        <v>4.24</v>
      </c>
      <c r="N1775" s="505" t="s">
        <v>1233</v>
      </c>
    </row>
    <row r="1776" spans="1:14" x14ac:dyDescent="0.25">
      <c r="A1776" s="505" t="s">
        <v>4819</v>
      </c>
      <c r="B1776" s="505" t="s">
        <v>4820</v>
      </c>
      <c r="C1776" s="512" t="s">
        <v>7762</v>
      </c>
      <c r="D1776" s="512" t="s">
        <v>8322</v>
      </c>
      <c r="E1776" s="512" t="s">
        <v>8989</v>
      </c>
      <c r="F1776" s="512" t="s">
        <v>7808</v>
      </c>
      <c r="G1776" s="512" t="s">
        <v>8990</v>
      </c>
      <c r="H1776" s="512" t="s">
        <v>8994</v>
      </c>
      <c r="I1776" s="512">
        <v>13715</v>
      </c>
      <c r="L1776" s="505" t="s">
        <v>1233</v>
      </c>
      <c r="M1776" s="516">
        <v>9.15</v>
      </c>
      <c r="N1776" s="505" t="s">
        <v>1233</v>
      </c>
    </row>
    <row r="1777" spans="1:14" x14ac:dyDescent="0.25">
      <c r="A1777" s="505" t="s">
        <v>4821</v>
      </c>
      <c r="B1777" s="505" t="s">
        <v>4822</v>
      </c>
      <c r="C1777" s="512" t="s">
        <v>7762</v>
      </c>
      <c r="D1777" s="512" t="s">
        <v>7808</v>
      </c>
      <c r="E1777" s="512" t="s">
        <v>8768</v>
      </c>
      <c r="F1777" s="512" t="s">
        <v>8837</v>
      </c>
      <c r="G1777" s="512" t="s">
        <v>524</v>
      </c>
      <c r="H1777" s="512">
        <v>13715</v>
      </c>
      <c r="L1777" s="505" t="s">
        <v>1233</v>
      </c>
      <c r="M1777" s="516">
        <v>4.24</v>
      </c>
      <c r="N1777" s="505" t="s">
        <v>1233</v>
      </c>
    </row>
    <row r="1778" spans="1:14" x14ac:dyDescent="0.25">
      <c r="A1778" s="505" t="s">
        <v>4823</v>
      </c>
      <c r="B1778" s="505" t="s">
        <v>4824</v>
      </c>
      <c r="C1778" s="512" t="s">
        <v>7762</v>
      </c>
      <c r="D1778" s="512" t="s">
        <v>7808</v>
      </c>
      <c r="E1778" s="512" t="s">
        <v>8768</v>
      </c>
      <c r="F1778" s="512" t="s">
        <v>8837</v>
      </c>
      <c r="G1778" s="512" t="s">
        <v>363</v>
      </c>
      <c r="H1778" s="512">
        <v>13715</v>
      </c>
      <c r="L1778" s="505" t="s">
        <v>1233</v>
      </c>
      <c r="M1778" s="516">
        <v>4.24</v>
      </c>
      <c r="N1778" s="505" t="s">
        <v>1233</v>
      </c>
    </row>
    <row r="1779" spans="1:14" x14ac:dyDescent="0.25">
      <c r="A1779" s="505" t="s">
        <v>4825</v>
      </c>
      <c r="B1779" s="505" t="s">
        <v>4826</v>
      </c>
      <c r="C1779" s="512" t="s">
        <v>7762</v>
      </c>
      <c r="D1779" s="512" t="s">
        <v>7808</v>
      </c>
      <c r="E1779" s="512" t="s">
        <v>8768</v>
      </c>
      <c r="F1779" s="512" t="s">
        <v>8837</v>
      </c>
      <c r="G1779" s="512" t="s">
        <v>7791</v>
      </c>
      <c r="H1779" s="512" t="s">
        <v>7775</v>
      </c>
      <c r="I1779" s="512">
        <v>13715</v>
      </c>
      <c r="L1779" s="505" t="s">
        <v>1233</v>
      </c>
      <c r="M1779" s="516">
        <v>4.24</v>
      </c>
      <c r="N1779" s="505" t="s">
        <v>1233</v>
      </c>
    </row>
    <row r="1780" spans="1:14" x14ac:dyDescent="0.25">
      <c r="A1780" s="505" t="s">
        <v>4827</v>
      </c>
      <c r="B1780" s="505" t="s">
        <v>4828</v>
      </c>
      <c r="C1780" s="512" t="s">
        <v>7762</v>
      </c>
      <c r="D1780" s="512" t="s">
        <v>7808</v>
      </c>
      <c r="E1780" s="512" t="s">
        <v>8768</v>
      </c>
      <c r="F1780" s="512" t="s">
        <v>8837</v>
      </c>
      <c r="G1780" s="512" t="s">
        <v>526</v>
      </c>
      <c r="H1780" s="512">
        <v>13715</v>
      </c>
      <c r="L1780" s="505" t="s">
        <v>1233</v>
      </c>
      <c r="M1780" s="516">
        <v>4.24</v>
      </c>
      <c r="N1780" s="505" t="s">
        <v>1233</v>
      </c>
    </row>
    <row r="1781" spans="1:14" x14ac:dyDescent="0.25">
      <c r="A1781" s="505" t="s">
        <v>4829</v>
      </c>
      <c r="B1781" s="505" t="s">
        <v>4830</v>
      </c>
      <c r="C1781" s="512" t="s">
        <v>7762</v>
      </c>
      <c r="D1781" s="512" t="s">
        <v>7808</v>
      </c>
      <c r="E1781" s="512" t="s">
        <v>8768</v>
      </c>
      <c r="F1781" s="512" t="s">
        <v>8837</v>
      </c>
      <c r="G1781" s="512" t="s">
        <v>133</v>
      </c>
      <c r="H1781" s="512">
        <v>13715</v>
      </c>
      <c r="L1781" s="505" t="s">
        <v>1233</v>
      </c>
      <c r="M1781" s="516">
        <v>4.24</v>
      </c>
      <c r="N1781" s="505" t="s">
        <v>1233</v>
      </c>
    </row>
    <row r="1782" spans="1:14" x14ac:dyDescent="0.25">
      <c r="A1782" s="505" t="s">
        <v>4831</v>
      </c>
      <c r="B1782" s="505" t="s">
        <v>4832</v>
      </c>
      <c r="C1782" s="512" t="s">
        <v>7762</v>
      </c>
      <c r="D1782" s="512" t="s">
        <v>7808</v>
      </c>
      <c r="E1782" s="512" t="s">
        <v>8768</v>
      </c>
      <c r="F1782" s="512" t="s">
        <v>8837</v>
      </c>
      <c r="G1782" s="512" t="s">
        <v>7777</v>
      </c>
      <c r="H1782" s="512" t="s">
        <v>477</v>
      </c>
      <c r="I1782" s="512">
        <v>13715</v>
      </c>
      <c r="L1782" s="505" t="s">
        <v>1233</v>
      </c>
      <c r="M1782" s="516">
        <v>4.24</v>
      </c>
      <c r="N1782" s="505" t="s">
        <v>1233</v>
      </c>
    </row>
    <row r="1783" spans="1:14" x14ac:dyDescent="0.25">
      <c r="A1783" s="505" t="s">
        <v>4833</v>
      </c>
      <c r="B1783" s="505" t="s">
        <v>4834</v>
      </c>
      <c r="C1783" s="512" t="s">
        <v>7762</v>
      </c>
      <c r="D1783" s="512" t="s">
        <v>8322</v>
      </c>
      <c r="E1783" s="512" t="s">
        <v>8989</v>
      </c>
      <c r="F1783" s="512" t="s">
        <v>7808</v>
      </c>
      <c r="G1783" s="512" t="s">
        <v>8990</v>
      </c>
      <c r="H1783" s="512" t="s">
        <v>8995</v>
      </c>
      <c r="I1783" s="512">
        <v>13715</v>
      </c>
      <c r="L1783" s="505" t="s">
        <v>1233</v>
      </c>
      <c r="M1783" s="516">
        <v>9.15</v>
      </c>
      <c r="N1783" s="505" t="s">
        <v>1233</v>
      </c>
    </row>
    <row r="1784" spans="1:14" x14ac:dyDescent="0.25">
      <c r="A1784" s="505" t="s">
        <v>4835</v>
      </c>
      <c r="B1784" s="505" t="s">
        <v>4836</v>
      </c>
      <c r="C1784" s="512" t="s">
        <v>7762</v>
      </c>
      <c r="D1784" s="512" t="s">
        <v>7808</v>
      </c>
      <c r="E1784" s="512" t="s">
        <v>8768</v>
      </c>
      <c r="F1784" s="512" t="s">
        <v>8837</v>
      </c>
      <c r="G1784" s="512" t="s">
        <v>510</v>
      </c>
      <c r="H1784" s="512">
        <v>13715</v>
      </c>
      <c r="L1784" s="505" t="s">
        <v>1233</v>
      </c>
      <c r="M1784" s="516">
        <v>4.24</v>
      </c>
      <c r="N1784" s="505" t="s">
        <v>1233</v>
      </c>
    </row>
    <row r="1785" spans="1:14" x14ac:dyDescent="0.25">
      <c r="A1785" s="505" t="s">
        <v>4837</v>
      </c>
      <c r="B1785" s="505" t="s">
        <v>4838</v>
      </c>
      <c r="C1785" s="512" t="s">
        <v>7762</v>
      </c>
      <c r="D1785" s="512" t="s">
        <v>8322</v>
      </c>
      <c r="E1785" s="512" t="s">
        <v>8989</v>
      </c>
      <c r="F1785" s="512" t="s">
        <v>7808</v>
      </c>
      <c r="G1785" s="512" t="s">
        <v>8990</v>
      </c>
      <c r="H1785" s="512" t="s">
        <v>8996</v>
      </c>
      <c r="I1785" s="512">
        <v>13715</v>
      </c>
      <c r="L1785" s="505" t="s">
        <v>1233</v>
      </c>
      <c r="M1785" s="516">
        <v>9.15</v>
      </c>
      <c r="N1785" s="505" t="s">
        <v>1233</v>
      </c>
    </row>
    <row r="1786" spans="1:14" x14ac:dyDescent="0.25">
      <c r="A1786" s="505" t="s">
        <v>4839</v>
      </c>
      <c r="B1786" s="505" t="s">
        <v>4840</v>
      </c>
      <c r="C1786" s="512" t="s">
        <v>7762</v>
      </c>
      <c r="D1786" s="512" t="s">
        <v>8322</v>
      </c>
      <c r="E1786" s="512" t="s">
        <v>8989</v>
      </c>
      <c r="F1786" s="512" t="s">
        <v>7808</v>
      </c>
      <c r="G1786" s="512" t="s">
        <v>8990</v>
      </c>
      <c r="H1786" s="512" t="s">
        <v>8997</v>
      </c>
      <c r="I1786" s="512">
        <v>13715</v>
      </c>
      <c r="L1786" s="505" t="s">
        <v>1233</v>
      </c>
      <c r="M1786" s="516">
        <v>9.15</v>
      </c>
      <c r="N1786" s="505" t="s">
        <v>1233</v>
      </c>
    </row>
    <row r="1787" spans="1:14" x14ac:dyDescent="0.25">
      <c r="A1787" s="505" t="s">
        <v>4841</v>
      </c>
      <c r="B1787" s="505" t="s">
        <v>4842</v>
      </c>
      <c r="C1787" s="512" t="s">
        <v>7762</v>
      </c>
      <c r="D1787" s="512" t="s">
        <v>8326</v>
      </c>
      <c r="E1787" s="512" t="s">
        <v>8331</v>
      </c>
      <c r="F1787" s="512" t="s">
        <v>7808</v>
      </c>
      <c r="G1787" s="512" t="s">
        <v>8883</v>
      </c>
      <c r="H1787" s="512" t="s">
        <v>8998</v>
      </c>
      <c r="I1787" s="512">
        <v>13715</v>
      </c>
      <c r="L1787" s="505" t="s">
        <v>1233</v>
      </c>
      <c r="M1787" s="516">
        <v>9.15</v>
      </c>
      <c r="N1787" s="505" t="s">
        <v>1233</v>
      </c>
    </row>
    <row r="1788" spans="1:14" x14ac:dyDescent="0.25">
      <c r="A1788" s="505" t="s">
        <v>4843</v>
      </c>
      <c r="B1788" s="505" t="s">
        <v>4844</v>
      </c>
      <c r="C1788" s="512" t="s">
        <v>7762</v>
      </c>
      <c r="D1788" s="512" t="s">
        <v>8326</v>
      </c>
      <c r="E1788" s="512" t="s">
        <v>8331</v>
      </c>
      <c r="F1788" s="512" t="s">
        <v>7808</v>
      </c>
      <c r="G1788" s="512" t="s">
        <v>8883</v>
      </c>
      <c r="H1788" s="512" t="s">
        <v>8999</v>
      </c>
      <c r="I1788" s="512">
        <v>13715</v>
      </c>
      <c r="L1788" s="505" t="s">
        <v>1233</v>
      </c>
      <c r="M1788" s="516">
        <v>10.07</v>
      </c>
      <c r="N1788" s="505" t="s">
        <v>1233</v>
      </c>
    </row>
    <row r="1789" spans="1:14" x14ac:dyDescent="0.25">
      <c r="A1789" s="505" t="s">
        <v>4845</v>
      </c>
      <c r="B1789" s="505" t="s">
        <v>4846</v>
      </c>
      <c r="C1789" s="512" t="s">
        <v>7762</v>
      </c>
      <c r="D1789" s="512" t="s">
        <v>7808</v>
      </c>
      <c r="E1789" s="512" t="s">
        <v>8768</v>
      </c>
      <c r="F1789" s="512" t="s">
        <v>8837</v>
      </c>
      <c r="G1789" s="512" t="s">
        <v>9000</v>
      </c>
      <c r="H1789" s="512" t="s">
        <v>361</v>
      </c>
      <c r="I1789" s="512">
        <v>13715</v>
      </c>
      <c r="L1789" s="505" t="s">
        <v>1233</v>
      </c>
      <c r="M1789" s="516">
        <v>4.24</v>
      </c>
      <c r="N1789" s="505" t="s">
        <v>1233</v>
      </c>
    </row>
    <row r="1790" spans="1:14" x14ac:dyDescent="0.25">
      <c r="A1790" s="505" t="s">
        <v>4847</v>
      </c>
      <c r="B1790" s="505" t="s">
        <v>4848</v>
      </c>
      <c r="C1790" s="512" t="s">
        <v>7762</v>
      </c>
      <c r="D1790" s="512" t="s">
        <v>7808</v>
      </c>
      <c r="E1790" s="512" t="s">
        <v>8768</v>
      </c>
      <c r="F1790" s="512" t="s">
        <v>8837</v>
      </c>
      <c r="G1790" s="512" t="s">
        <v>511</v>
      </c>
      <c r="H1790" s="512">
        <v>13715</v>
      </c>
      <c r="L1790" s="505" t="s">
        <v>1233</v>
      </c>
      <c r="M1790" s="516">
        <v>4.24</v>
      </c>
      <c r="N1790" s="505" t="s">
        <v>1233</v>
      </c>
    </row>
    <row r="1791" spans="1:14" x14ac:dyDescent="0.25">
      <c r="A1791" s="505" t="s">
        <v>4849</v>
      </c>
      <c r="B1791" s="505" t="s">
        <v>4850</v>
      </c>
      <c r="C1791" s="512" t="s">
        <v>7762</v>
      </c>
      <c r="D1791" s="512" t="s">
        <v>7808</v>
      </c>
      <c r="E1791" s="512" t="s">
        <v>8768</v>
      </c>
      <c r="F1791" s="512" t="s">
        <v>8837</v>
      </c>
      <c r="G1791" s="512" t="s">
        <v>137</v>
      </c>
      <c r="H1791" s="512">
        <v>13715</v>
      </c>
      <c r="L1791" s="505" t="s">
        <v>1233</v>
      </c>
      <c r="M1791" s="516">
        <v>4.24</v>
      </c>
      <c r="N1791" s="505" t="s">
        <v>1233</v>
      </c>
    </row>
    <row r="1792" spans="1:14" x14ac:dyDescent="0.25">
      <c r="A1792" s="505" t="s">
        <v>4851</v>
      </c>
      <c r="B1792" s="505" t="s">
        <v>4852</v>
      </c>
      <c r="C1792" s="512" t="s">
        <v>7762</v>
      </c>
      <c r="D1792" s="512" t="s">
        <v>9001</v>
      </c>
      <c r="E1792" s="512" t="s">
        <v>9002</v>
      </c>
      <c r="F1792" s="512" t="s">
        <v>8990</v>
      </c>
      <c r="G1792" s="512" t="s">
        <v>9003</v>
      </c>
      <c r="H1792" s="512" t="s">
        <v>9004</v>
      </c>
      <c r="L1792" s="505" t="s">
        <v>1233</v>
      </c>
      <c r="M1792" s="516">
        <v>12.86</v>
      </c>
      <c r="N1792" s="505" t="s">
        <v>1233</v>
      </c>
    </row>
    <row r="1793" spans="1:14" x14ac:dyDescent="0.25">
      <c r="A1793" s="505" t="s">
        <v>4853</v>
      </c>
      <c r="B1793" s="505" t="s">
        <v>4854</v>
      </c>
      <c r="C1793" s="512" t="s">
        <v>7762</v>
      </c>
      <c r="D1793" s="512" t="s">
        <v>8322</v>
      </c>
      <c r="E1793" s="512" t="s">
        <v>8989</v>
      </c>
      <c r="F1793" s="512" t="s">
        <v>9005</v>
      </c>
      <c r="G1793" s="512" t="s">
        <v>8990</v>
      </c>
      <c r="H1793" s="512" t="s">
        <v>8991</v>
      </c>
      <c r="I1793" s="512">
        <v>13581</v>
      </c>
      <c r="L1793" s="505" t="s">
        <v>1233</v>
      </c>
      <c r="M1793" s="516">
        <v>18.68</v>
      </c>
      <c r="N1793" s="505" t="s">
        <v>1233</v>
      </c>
    </row>
    <row r="1794" spans="1:14" x14ac:dyDescent="0.25">
      <c r="A1794" s="505" t="s">
        <v>4855</v>
      </c>
      <c r="B1794" s="505" t="s">
        <v>4856</v>
      </c>
      <c r="C1794" s="512" t="s">
        <v>7762</v>
      </c>
      <c r="D1794" s="512" t="s">
        <v>8322</v>
      </c>
      <c r="E1794" s="512" t="s">
        <v>8989</v>
      </c>
      <c r="F1794" s="512" t="s">
        <v>9005</v>
      </c>
      <c r="G1794" s="512" t="s">
        <v>8990</v>
      </c>
      <c r="H1794" s="512" t="s">
        <v>8992</v>
      </c>
      <c r="I1794" s="512">
        <v>13581</v>
      </c>
      <c r="L1794" s="505" t="s">
        <v>1233</v>
      </c>
      <c r="M1794" s="516">
        <v>18.68</v>
      </c>
      <c r="N1794" s="505" t="s">
        <v>1233</v>
      </c>
    </row>
    <row r="1795" spans="1:14" x14ac:dyDescent="0.25">
      <c r="A1795" s="505" t="s">
        <v>4857</v>
      </c>
      <c r="B1795" s="505" t="s">
        <v>4858</v>
      </c>
      <c r="C1795" s="512" t="s">
        <v>7762</v>
      </c>
      <c r="D1795" s="512" t="s">
        <v>8326</v>
      </c>
      <c r="E1795" s="512" t="s">
        <v>8331</v>
      </c>
      <c r="F1795" s="512" t="s">
        <v>9005</v>
      </c>
      <c r="G1795" s="512" t="s">
        <v>8883</v>
      </c>
      <c r="H1795" s="512" t="s">
        <v>9006</v>
      </c>
      <c r="I1795" s="512">
        <v>13581</v>
      </c>
      <c r="L1795" s="505" t="s">
        <v>1233</v>
      </c>
      <c r="M1795" s="516">
        <v>18.68</v>
      </c>
      <c r="N1795" s="505" t="s">
        <v>1233</v>
      </c>
    </row>
    <row r="1796" spans="1:14" x14ac:dyDescent="0.25">
      <c r="A1796" s="505" t="s">
        <v>4859</v>
      </c>
      <c r="B1796" s="505" t="s">
        <v>4860</v>
      </c>
      <c r="C1796" s="512" t="s">
        <v>7762</v>
      </c>
      <c r="D1796" s="512" t="s">
        <v>8322</v>
      </c>
      <c r="E1796" s="512" t="s">
        <v>8989</v>
      </c>
      <c r="F1796" s="512" t="s">
        <v>9005</v>
      </c>
      <c r="G1796" s="512" t="s">
        <v>8990</v>
      </c>
      <c r="H1796" s="512" t="s">
        <v>9007</v>
      </c>
      <c r="I1796" s="512">
        <v>13581</v>
      </c>
      <c r="L1796" s="505" t="s">
        <v>1233</v>
      </c>
      <c r="M1796" s="516">
        <v>18.68</v>
      </c>
      <c r="N1796" s="505" t="s">
        <v>1233</v>
      </c>
    </row>
    <row r="1797" spans="1:14" x14ac:dyDescent="0.25">
      <c r="A1797" s="505" t="s">
        <v>4861</v>
      </c>
      <c r="B1797" s="505" t="s">
        <v>4862</v>
      </c>
      <c r="C1797" s="512" t="s">
        <v>7762</v>
      </c>
      <c r="D1797" s="512" t="s">
        <v>8326</v>
      </c>
      <c r="E1797" s="512" t="s">
        <v>8331</v>
      </c>
      <c r="F1797" s="512" t="s">
        <v>9005</v>
      </c>
      <c r="G1797" s="512" t="s">
        <v>8883</v>
      </c>
      <c r="H1797" s="512" t="s">
        <v>8997</v>
      </c>
      <c r="I1797" s="512">
        <v>13581</v>
      </c>
      <c r="L1797" s="505" t="s">
        <v>1233</v>
      </c>
      <c r="M1797" s="516">
        <v>18.68</v>
      </c>
      <c r="N1797" s="505" t="s">
        <v>1233</v>
      </c>
    </row>
    <row r="1798" spans="1:14" x14ac:dyDescent="0.25">
      <c r="A1798" s="505" t="s">
        <v>4863</v>
      </c>
      <c r="B1798" s="505" t="s">
        <v>4864</v>
      </c>
      <c r="C1798" s="512" t="s">
        <v>7762</v>
      </c>
      <c r="D1798" s="512" t="s">
        <v>8326</v>
      </c>
      <c r="E1798" s="512" t="s">
        <v>8331</v>
      </c>
      <c r="F1798" s="512" t="s">
        <v>9005</v>
      </c>
      <c r="G1798" s="512" t="s">
        <v>8883</v>
      </c>
      <c r="H1798" s="512" t="s">
        <v>9008</v>
      </c>
      <c r="I1798" s="512">
        <v>13581</v>
      </c>
      <c r="L1798" s="505" t="s">
        <v>1233</v>
      </c>
      <c r="M1798" s="516">
        <v>18.68</v>
      </c>
      <c r="N1798" s="505" t="s">
        <v>1233</v>
      </c>
    </row>
    <row r="1799" spans="1:14" x14ac:dyDescent="0.25">
      <c r="A1799" s="505" t="s">
        <v>4865</v>
      </c>
      <c r="B1799" s="505" t="s">
        <v>4866</v>
      </c>
      <c r="C1799" s="512" t="s">
        <v>7762</v>
      </c>
      <c r="D1799" s="512" t="s">
        <v>9009</v>
      </c>
      <c r="E1799" s="512" t="s">
        <v>7763</v>
      </c>
      <c r="F1799" s="512" t="s">
        <v>7918</v>
      </c>
      <c r="G1799" s="512" t="s">
        <v>7575</v>
      </c>
      <c r="H1799" s="512" t="s">
        <v>361</v>
      </c>
      <c r="I1799" s="512" t="s">
        <v>9010</v>
      </c>
      <c r="L1799" s="505" t="s">
        <v>1233</v>
      </c>
      <c r="M1799" s="516">
        <v>7.08</v>
      </c>
      <c r="N1799" s="505" t="s">
        <v>1233</v>
      </c>
    </row>
    <row r="1800" spans="1:14" x14ac:dyDescent="0.25">
      <c r="A1800" s="505" t="s">
        <v>4867</v>
      </c>
      <c r="B1800" s="505" t="s">
        <v>4868</v>
      </c>
      <c r="C1800" s="512" t="s">
        <v>7762</v>
      </c>
      <c r="D1800" s="512" t="s">
        <v>9009</v>
      </c>
      <c r="E1800" s="512" t="s">
        <v>7763</v>
      </c>
      <c r="F1800" s="512" t="s">
        <v>7918</v>
      </c>
      <c r="G1800" s="512" t="s">
        <v>148</v>
      </c>
      <c r="H1800" s="512" t="s">
        <v>9010</v>
      </c>
      <c r="L1800" s="505" t="s">
        <v>1233</v>
      </c>
      <c r="M1800" s="516">
        <v>7.08</v>
      </c>
      <c r="N1800" s="505" t="s">
        <v>1233</v>
      </c>
    </row>
    <row r="1801" spans="1:14" x14ac:dyDescent="0.25">
      <c r="A1801" s="505" t="s">
        <v>4869</v>
      </c>
      <c r="B1801" s="505" t="s">
        <v>4870</v>
      </c>
      <c r="C1801" s="512" t="s">
        <v>7762</v>
      </c>
      <c r="D1801" s="512" t="s">
        <v>9009</v>
      </c>
      <c r="E1801" s="512" t="s">
        <v>7763</v>
      </c>
      <c r="F1801" s="512" t="s">
        <v>7918</v>
      </c>
      <c r="G1801" s="512" t="s">
        <v>9011</v>
      </c>
      <c r="H1801" s="512" t="s">
        <v>9010</v>
      </c>
      <c r="L1801" s="505" t="s">
        <v>1233</v>
      </c>
      <c r="M1801" s="516">
        <v>7.08</v>
      </c>
      <c r="N1801" s="505" t="s">
        <v>1233</v>
      </c>
    </row>
    <row r="1802" spans="1:14" x14ac:dyDescent="0.25">
      <c r="A1802" s="505" t="s">
        <v>4871</v>
      </c>
      <c r="B1802" s="505" t="s">
        <v>4872</v>
      </c>
      <c r="C1802" s="512" t="s">
        <v>7762</v>
      </c>
      <c r="D1802" s="512" t="s">
        <v>9009</v>
      </c>
      <c r="E1802" s="512" t="s">
        <v>7763</v>
      </c>
      <c r="F1802" s="512" t="s">
        <v>7918</v>
      </c>
      <c r="G1802" s="512" t="s">
        <v>144</v>
      </c>
      <c r="H1802" s="512" t="s">
        <v>9010</v>
      </c>
      <c r="L1802" s="505" t="s">
        <v>1233</v>
      </c>
      <c r="M1802" s="516">
        <v>7.08</v>
      </c>
      <c r="N1802" s="505" t="s">
        <v>1233</v>
      </c>
    </row>
    <row r="1803" spans="1:14" x14ac:dyDescent="0.25">
      <c r="A1803" s="505" t="s">
        <v>4873</v>
      </c>
      <c r="B1803" s="505" t="s">
        <v>4874</v>
      </c>
      <c r="C1803" s="512" t="s">
        <v>7762</v>
      </c>
      <c r="D1803" s="512" t="s">
        <v>9009</v>
      </c>
      <c r="E1803" s="512" t="s">
        <v>7763</v>
      </c>
      <c r="F1803" s="512" t="s">
        <v>7918</v>
      </c>
      <c r="G1803" s="512" t="s">
        <v>143</v>
      </c>
      <c r="H1803" s="512" t="s">
        <v>9010</v>
      </c>
      <c r="L1803" s="505" t="s">
        <v>1233</v>
      </c>
      <c r="M1803" s="516">
        <v>7.08</v>
      </c>
      <c r="N1803" s="505" t="s">
        <v>1233</v>
      </c>
    </row>
    <row r="1804" spans="1:14" x14ac:dyDescent="0.25">
      <c r="A1804" s="505" t="s">
        <v>4875</v>
      </c>
      <c r="B1804" s="505" t="s">
        <v>4876</v>
      </c>
      <c r="C1804" s="512" t="s">
        <v>7762</v>
      </c>
      <c r="D1804" s="512" t="s">
        <v>9009</v>
      </c>
      <c r="E1804" s="512" t="s">
        <v>7763</v>
      </c>
      <c r="F1804" s="512" t="s">
        <v>7918</v>
      </c>
      <c r="G1804" s="512" t="s">
        <v>477</v>
      </c>
      <c r="H1804" s="512" t="s">
        <v>9010</v>
      </c>
      <c r="L1804" s="505" t="s">
        <v>1233</v>
      </c>
      <c r="M1804" s="516">
        <v>7.08</v>
      </c>
      <c r="N1804" s="505" t="s">
        <v>1233</v>
      </c>
    </row>
    <row r="1805" spans="1:14" x14ac:dyDescent="0.25">
      <c r="A1805" s="505" t="s">
        <v>4877</v>
      </c>
      <c r="B1805" s="505" t="s">
        <v>4878</v>
      </c>
      <c r="C1805" s="512" t="s">
        <v>7762</v>
      </c>
      <c r="D1805" s="512" t="s">
        <v>9009</v>
      </c>
      <c r="E1805" s="512" t="s">
        <v>7763</v>
      </c>
      <c r="F1805" s="512" t="s">
        <v>7918</v>
      </c>
      <c r="G1805" s="512" t="s">
        <v>7787</v>
      </c>
      <c r="H1805" s="512" t="s">
        <v>9010</v>
      </c>
      <c r="L1805" s="505" t="s">
        <v>1233</v>
      </c>
      <c r="M1805" s="516">
        <v>7.08</v>
      </c>
      <c r="N1805" s="505" t="s">
        <v>1233</v>
      </c>
    </row>
    <row r="1806" spans="1:14" x14ac:dyDescent="0.25">
      <c r="A1806" s="505" t="s">
        <v>4879</v>
      </c>
      <c r="B1806" s="505" t="s">
        <v>4880</v>
      </c>
      <c r="C1806" s="512" t="s">
        <v>7762</v>
      </c>
      <c r="D1806" s="512" t="s">
        <v>9009</v>
      </c>
      <c r="E1806" s="512" t="s">
        <v>7763</v>
      </c>
      <c r="F1806" s="512" t="s">
        <v>7918</v>
      </c>
      <c r="G1806" s="512" t="s">
        <v>7788</v>
      </c>
      <c r="H1806" s="512" t="s">
        <v>361</v>
      </c>
      <c r="I1806" s="512" t="s">
        <v>9010</v>
      </c>
      <c r="L1806" s="505" t="s">
        <v>1233</v>
      </c>
      <c r="M1806" s="516">
        <v>7.08</v>
      </c>
      <c r="N1806" s="505" t="s">
        <v>1233</v>
      </c>
    </row>
    <row r="1807" spans="1:14" x14ac:dyDescent="0.25">
      <c r="A1807" s="505" t="s">
        <v>4881</v>
      </c>
      <c r="B1807" s="505" t="s">
        <v>4882</v>
      </c>
      <c r="C1807" s="512" t="s">
        <v>7762</v>
      </c>
      <c r="D1807" s="512" t="s">
        <v>9009</v>
      </c>
      <c r="E1807" s="512" t="s">
        <v>7763</v>
      </c>
      <c r="F1807" s="512" t="s">
        <v>7918</v>
      </c>
      <c r="G1807" s="512" t="s">
        <v>141</v>
      </c>
      <c r="H1807" s="512" t="s">
        <v>9010</v>
      </c>
      <c r="L1807" s="505" t="s">
        <v>1233</v>
      </c>
      <c r="M1807" s="516">
        <v>7.08</v>
      </c>
      <c r="N1807" s="505" t="s">
        <v>1233</v>
      </c>
    </row>
    <row r="1808" spans="1:14" x14ac:dyDescent="0.25">
      <c r="A1808" s="505" t="s">
        <v>4883</v>
      </c>
      <c r="B1808" s="505" t="s">
        <v>4884</v>
      </c>
      <c r="C1808" s="512" t="s">
        <v>7762</v>
      </c>
      <c r="D1808" s="512" t="s">
        <v>9009</v>
      </c>
      <c r="E1808" s="512" t="s">
        <v>7763</v>
      </c>
      <c r="F1808" s="512" t="s">
        <v>7918</v>
      </c>
      <c r="G1808" s="512" t="s">
        <v>8993</v>
      </c>
      <c r="H1808" s="512" t="s">
        <v>9010</v>
      </c>
      <c r="L1808" s="505" t="s">
        <v>1233</v>
      </c>
      <c r="M1808" s="516">
        <v>7.08</v>
      </c>
      <c r="N1808" s="505" t="s">
        <v>1233</v>
      </c>
    </row>
    <row r="1809" spans="1:14" s="530" customFormat="1" x14ac:dyDescent="0.25">
      <c r="A1809" s="530" t="s">
        <v>4885</v>
      </c>
      <c r="B1809" s="530" t="s">
        <v>4886</v>
      </c>
      <c r="C1809" s="531" t="s">
        <v>7762</v>
      </c>
      <c r="D1809" s="531" t="s">
        <v>9009</v>
      </c>
      <c r="E1809" s="531" t="s">
        <v>7763</v>
      </c>
      <c r="F1809" s="531" t="s">
        <v>7918</v>
      </c>
      <c r="G1809" s="531" t="s">
        <v>524</v>
      </c>
      <c r="H1809" s="531" t="s">
        <v>9010</v>
      </c>
      <c r="I1809" s="531"/>
      <c r="L1809" s="530" t="s">
        <v>1233</v>
      </c>
      <c r="M1809" s="532">
        <v>0</v>
      </c>
      <c r="N1809" s="530" t="s">
        <v>1544</v>
      </c>
    </row>
    <row r="1810" spans="1:14" x14ac:dyDescent="0.25">
      <c r="A1810" s="505" t="s">
        <v>4887</v>
      </c>
      <c r="B1810" s="505" t="s">
        <v>4888</v>
      </c>
      <c r="C1810" s="512" t="s">
        <v>7762</v>
      </c>
      <c r="D1810" s="512" t="s">
        <v>9009</v>
      </c>
      <c r="E1810" s="512" t="s">
        <v>7763</v>
      </c>
      <c r="F1810" s="512" t="s">
        <v>7918</v>
      </c>
      <c r="G1810" s="512" t="s">
        <v>363</v>
      </c>
      <c r="H1810" s="512" t="s">
        <v>9010</v>
      </c>
      <c r="L1810" s="505" t="s">
        <v>1233</v>
      </c>
      <c r="M1810" s="516">
        <v>7.08</v>
      </c>
      <c r="N1810" s="505" t="s">
        <v>1233</v>
      </c>
    </row>
    <row r="1811" spans="1:14" x14ac:dyDescent="0.25">
      <c r="A1811" s="505" t="s">
        <v>4889</v>
      </c>
      <c r="B1811" s="505" t="s">
        <v>4890</v>
      </c>
      <c r="C1811" s="512" t="s">
        <v>7762</v>
      </c>
      <c r="D1811" s="512" t="s">
        <v>9009</v>
      </c>
      <c r="E1811" s="512" t="s">
        <v>7763</v>
      </c>
      <c r="F1811" s="512" t="s">
        <v>7918</v>
      </c>
      <c r="G1811" s="512" t="s">
        <v>7791</v>
      </c>
      <c r="H1811" s="512" t="s">
        <v>9012</v>
      </c>
      <c r="I1811" s="512" t="s">
        <v>9010</v>
      </c>
      <c r="L1811" s="505" t="s">
        <v>1233</v>
      </c>
      <c r="M1811" s="516">
        <v>7.08</v>
      </c>
      <c r="N1811" s="505" t="s">
        <v>1233</v>
      </c>
    </row>
    <row r="1812" spans="1:14" x14ac:dyDescent="0.25">
      <c r="A1812" s="505" t="s">
        <v>4891</v>
      </c>
      <c r="B1812" s="505" t="s">
        <v>4892</v>
      </c>
      <c r="C1812" s="512" t="s">
        <v>7762</v>
      </c>
      <c r="D1812" s="512" t="s">
        <v>9009</v>
      </c>
      <c r="E1812" s="512" t="s">
        <v>7763</v>
      </c>
      <c r="F1812" s="512" t="s">
        <v>7918</v>
      </c>
      <c r="G1812" s="512" t="s">
        <v>526</v>
      </c>
      <c r="H1812" s="512" t="s">
        <v>9010</v>
      </c>
      <c r="L1812" s="505" t="s">
        <v>1233</v>
      </c>
      <c r="M1812" s="516">
        <v>7.08</v>
      </c>
      <c r="N1812" s="505" t="s">
        <v>1233</v>
      </c>
    </row>
    <row r="1813" spans="1:14" x14ac:dyDescent="0.25">
      <c r="A1813" s="505" t="s">
        <v>4893</v>
      </c>
      <c r="B1813" s="505" t="s">
        <v>4894</v>
      </c>
      <c r="C1813" s="512" t="s">
        <v>7762</v>
      </c>
      <c r="D1813" s="512" t="s">
        <v>9009</v>
      </c>
      <c r="E1813" s="512" t="s">
        <v>7763</v>
      </c>
      <c r="F1813" s="512" t="s">
        <v>7918</v>
      </c>
      <c r="G1813" s="512" t="s">
        <v>133</v>
      </c>
      <c r="H1813" s="512" t="s">
        <v>9010</v>
      </c>
      <c r="L1813" s="505" t="s">
        <v>1233</v>
      </c>
      <c r="M1813" s="516">
        <v>7.08</v>
      </c>
      <c r="N1813" s="505" t="s">
        <v>1233</v>
      </c>
    </row>
    <row r="1814" spans="1:14" x14ac:dyDescent="0.25">
      <c r="A1814" s="505" t="s">
        <v>4895</v>
      </c>
      <c r="B1814" s="505" t="s">
        <v>4896</v>
      </c>
      <c r="C1814" s="512" t="s">
        <v>7762</v>
      </c>
      <c r="D1814" s="512" t="s">
        <v>9009</v>
      </c>
      <c r="E1814" s="512" t="s">
        <v>7763</v>
      </c>
      <c r="F1814" s="512" t="s">
        <v>7918</v>
      </c>
      <c r="G1814" s="512" t="s">
        <v>7777</v>
      </c>
      <c r="H1814" s="512" t="s">
        <v>477</v>
      </c>
      <c r="I1814" s="512" t="s">
        <v>9010</v>
      </c>
      <c r="L1814" s="505" t="s">
        <v>1233</v>
      </c>
      <c r="M1814" s="516">
        <v>7.08</v>
      </c>
      <c r="N1814" s="505" t="s">
        <v>1233</v>
      </c>
    </row>
    <row r="1815" spans="1:14" x14ac:dyDescent="0.25">
      <c r="A1815" s="505" t="s">
        <v>4897</v>
      </c>
      <c r="B1815" s="505" t="s">
        <v>4898</v>
      </c>
      <c r="C1815" s="512" t="s">
        <v>7762</v>
      </c>
      <c r="D1815" s="512" t="s">
        <v>9009</v>
      </c>
      <c r="E1815" s="512" t="s">
        <v>7763</v>
      </c>
      <c r="F1815" s="512" t="s">
        <v>7918</v>
      </c>
      <c r="G1815" s="512" t="s">
        <v>510</v>
      </c>
      <c r="H1815" s="512" t="s">
        <v>9010</v>
      </c>
      <c r="L1815" s="505" t="s">
        <v>1233</v>
      </c>
      <c r="M1815" s="516">
        <v>7.08</v>
      </c>
      <c r="N1815" s="505" t="s">
        <v>1233</v>
      </c>
    </row>
    <row r="1816" spans="1:14" s="530" customFormat="1" x14ac:dyDescent="0.25">
      <c r="A1816" s="530" t="s">
        <v>4899</v>
      </c>
      <c r="B1816" s="530" t="s">
        <v>4900</v>
      </c>
      <c r="C1816" s="531" t="s">
        <v>7762</v>
      </c>
      <c r="D1816" s="531" t="s">
        <v>9009</v>
      </c>
      <c r="E1816" s="531" t="s">
        <v>7763</v>
      </c>
      <c r="F1816" s="531" t="s">
        <v>7918</v>
      </c>
      <c r="G1816" s="531" t="s">
        <v>9000</v>
      </c>
      <c r="H1816" s="531" t="s">
        <v>361</v>
      </c>
      <c r="I1816" s="531" t="s">
        <v>9010</v>
      </c>
      <c r="L1816" s="530" t="s">
        <v>1233</v>
      </c>
      <c r="M1816" s="532">
        <v>0</v>
      </c>
      <c r="N1816" s="530" t="s">
        <v>1544</v>
      </c>
    </row>
    <row r="1817" spans="1:14" x14ac:dyDescent="0.25">
      <c r="A1817" s="505" t="s">
        <v>4901</v>
      </c>
      <c r="B1817" s="505" t="s">
        <v>4902</v>
      </c>
      <c r="C1817" s="512" t="s">
        <v>7762</v>
      </c>
      <c r="D1817" s="512" t="s">
        <v>9009</v>
      </c>
      <c r="E1817" s="512" t="s">
        <v>7763</v>
      </c>
      <c r="F1817" s="512" t="s">
        <v>7918</v>
      </c>
      <c r="G1817" s="512" t="s">
        <v>511</v>
      </c>
      <c r="H1817" s="512" t="s">
        <v>9010</v>
      </c>
      <c r="L1817" s="505" t="s">
        <v>1233</v>
      </c>
      <c r="M1817" s="516">
        <v>7.08</v>
      </c>
      <c r="N1817" s="505" t="s">
        <v>1233</v>
      </c>
    </row>
    <row r="1818" spans="1:14" x14ac:dyDescent="0.25">
      <c r="A1818" s="505" t="s">
        <v>4903</v>
      </c>
      <c r="B1818" s="505" t="s">
        <v>4904</v>
      </c>
      <c r="C1818" s="512" t="s">
        <v>7762</v>
      </c>
      <c r="D1818" s="512" t="s">
        <v>9009</v>
      </c>
      <c r="E1818" s="512" t="s">
        <v>7763</v>
      </c>
      <c r="F1818" s="512" t="s">
        <v>7918</v>
      </c>
      <c r="G1818" s="512" t="s">
        <v>137</v>
      </c>
      <c r="H1818" s="512" t="s">
        <v>9010</v>
      </c>
      <c r="L1818" s="505" t="s">
        <v>1233</v>
      </c>
      <c r="M1818" s="516">
        <v>7.08</v>
      </c>
      <c r="N1818" s="505" t="s">
        <v>1233</v>
      </c>
    </row>
    <row r="1819" spans="1:14" x14ac:dyDescent="0.25">
      <c r="A1819" s="505" t="s">
        <v>4905</v>
      </c>
      <c r="B1819" s="505" t="s">
        <v>4906</v>
      </c>
      <c r="C1819" s="512" t="s">
        <v>7762</v>
      </c>
      <c r="D1819" s="512" t="s">
        <v>9013</v>
      </c>
      <c r="E1819" s="512" t="s">
        <v>7529</v>
      </c>
      <c r="F1819" s="512" t="s">
        <v>361</v>
      </c>
      <c r="G1819" s="512" t="s">
        <v>9014</v>
      </c>
      <c r="L1819" s="505" t="s">
        <v>1233</v>
      </c>
      <c r="M1819" s="516">
        <v>4.7300000000000004</v>
      </c>
      <c r="N1819" s="505" t="s">
        <v>1233</v>
      </c>
    </row>
    <row r="1820" spans="1:14" x14ac:dyDescent="0.25">
      <c r="A1820" s="505" t="s">
        <v>4907</v>
      </c>
      <c r="B1820" s="505" t="s">
        <v>4908</v>
      </c>
      <c r="C1820" s="512" t="s">
        <v>7762</v>
      </c>
      <c r="D1820" s="512" t="s">
        <v>9013</v>
      </c>
      <c r="E1820" s="512" t="s">
        <v>148</v>
      </c>
      <c r="F1820" s="512" t="s">
        <v>9014</v>
      </c>
      <c r="L1820" s="505" t="s">
        <v>1233</v>
      </c>
      <c r="M1820" s="516">
        <v>4.7300000000000004</v>
      </c>
      <c r="N1820" s="505" t="s">
        <v>1233</v>
      </c>
    </row>
    <row r="1821" spans="1:14" x14ac:dyDescent="0.25">
      <c r="A1821" s="505" t="s">
        <v>4909</v>
      </c>
      <c r="B1821" s="505" t="s">
        <v>4910</v>
      </c>
      <c r="C1821" s="512" t="s">
        <v>7762</v>
      </c>
      <c r="D1821" s="512" t="s">
        <v>9013</v>
      </c>
      <c r="E1821" s="512" t="s">
        <v>475</v>
      </c>
      <c r="F1821" s="512" t="s">
        <v>9014</v>
      </c>
      <c r="L1821" s="505" t="s">
        <v>1233</v>
      </c>
      <c r="M1821" s="516">
        <v>4.7300000000000004</v>
      </c>
      <c r="N1821" s="505" t="s">
        <v>1233</v>
      </c>
    </row>
    <row r="1822" spans="1:14" x14ac:dyDescent="0.25">
      <c r="A1822" s="505" t="s">
        <v>4911</v>
      </c>
      <c r="B1822" s="505" t="s">
        <v>4912</v>
      </c>
      <c r="C1822" s="512" t="s">
        <v>7762</v>
      </c>
      <c r="D1822" s="512" t="s">
        <v>9013</v>
      </c>
      <c r="E1822" s="512" t="s">
        <v>144</v>
      </c>
      <c r="F1822" s="512" t="s">
        <v>9014</v>
      </c>
      <c r="L1822" s="505" t="s">
        <v>1233</v>
      </c>
      <c r="M1822" s="516">
        <v>4.7300000000000004</v>
      </c>
      <c r="N1822" s="505" t="s">
        <v>1233</v>
      </c>
    </row>
    <row r="1823" spans="1:14" x14ac:dyDescent="0.25">
      <c r="A1823" s="505" t="s">
        <v>4913</v>
      </c>
      <c r="B1823" s="505" t="s">
        <v>4914</v>
      </c>
      <c r="C1823" s="512" t="s">
        <v>7762</v>
      </c>
      <c r="D1823" s="512" t="s">
        <v>9013</v>
      </c>
      <c r="E1823" s="512" t="s">
        <v>143</v>
      </c>
      <c r="F1823" s="512" t="s">
        <v>9014</v>
      </c>
      <c r="L1823" s="505" t="s">
        <v>1233</v>
      </c>
      <c r="M1823" s="516">
        <v>4.7300000000000004</v>
      </c>
      <c r="N1823" s="505" t="s">
        <v>1233</v>
      </c>
    </row>
    <row r="1824" spans="1:14" x14ac:dyDescent="0.25">
      <c r="A1824" s="505" t="s">
        <v>4915</v>
      </c>
      <c r="B1824" s="505" t="s">
        <v>4916</v>
      </c>
      <c r="C1824" s="512" t="s">
        <v>7762</v>
      </c>
      <c r="D1824" s="512" t="s">
        <v>9013</v>
      </c>
      <c r="E1824" s="512" t="s">
        <v>477</v>
      </c>
      <c r="F1824" s="512" t="s">
        <v>9014</v>
      </c>
      <c r="L1824" s="505" t="s">
        <v>1233</v>
      </c>
      <c r="M1824" s="516">
        <v>4.7300000000000004</v>
      </c>
      <c r="N1824" s="505" t="s">
        <v>1233</v>
      </c>
    </row>
    <row r="1825" spans="1:14" x14ac:dyDescent="0.25">
      <c r="A1825" s="505" t="s">
        <v>4917</v>
      </c>
      <c r="B1825" s="505" t="s">
        <v>4918</v>
      </c>
      <c r="C1825" s="512" t="s">
        <v>7762</v>
      </c>
      <c r="D1825" s="512" t="s">
        <v>9013</v>
      </c>
      <c r="E1825" s="512" t="s">
        <v>7787</v>
      </c>
      <c r="F1825" s="512" t="s">
        <v>9014</v>
      </c>
      <c r="L1825" s="505" t="s">
        <v>1233</v>
      </c>
      <c r="M1825" s="516">
        <v>4.7300000000000004</v>
      </c>
      <c r="N1825" s="505" t="s">
        <v>1233</v>
      </c>
    </row>
    <row r="1826" spans="1:14" x14ac:dyDescent="0.25">
      <c r="A1826" s="505" t="s">
        <v>4919</v>
      </c>
      <c r="B1826" s="505" t="s">
        <v>4920</v>
      </c>
      <c r="C1826" s="512" t="s">
        <v>7762</v>
      </c>
      <c r="D1826" s="512" t="s">
        <v>9013</v>
      </c>
      <c r="E1826" s="512" t="s">
        <v>9015</v>
      </c>
      <c r="F1826" s="512" t="s">
        <v>361</v>
      </c>
      <c r="G1826" s="512" t="s">
        <v>9014</v>
      </c>
      <c r="L1826" s="505" t="s">
        <v>1233</v>
      </c>
      <c r="M1826" s="516">
        <v>4.7300000000000004</v>
      </c>
      <c r="N1826" s="505" t="s">
        <v>1233</v>
      </c>
    </row>
    <row r="1827" spans="1:14" x14ac:dyDescent="0.25">
      <c r="A1827" s="505" t="s">
        <v>4921</v>
      </c>
      <c r="B1827" s="505" t="s">
        <v>4922</v>
      </c>
      <c r="C1827" s="512" t="s">
        <v>7762</v>
      </c>
      <c r="D1827" s="512" t="s">
        <v>9013</v>
      </c>
      <c r="E1827" s="512" t="s">
        <v>141</v>
      </c>
      <c r="F1827" s="512" t="s">
        <v>9014</v>
      </c>
      <c r="L1827" s="505" t="s">
        <v>1233</v>
      </c>
      <c r="M1827" s="516">
        <v>4.7300000000000004</v>
      </c>
      <c r="N1827" s="505" t="s">
        <v>1233</v>
      </c>
    </row>
    <row r="1828" spans="1:14" x14ac:dyDescent="0.25">
      <c r="A1828" s="505" t="s">
        <v>4923</v>
      </c>
      <c r="B1828" s="505" t="s">
        <v>4924</v>
      </c>
      <c r="C1828" s="512" t="s">
        <v>7762</v>
      </c>
      <c r="D1828" s="512" t="s">
        <v>9013</v>
      </c>
      <c r="E1828" s="512" t="s">
        <v>7935</v>
      </c>
      <c r="F1828" s="512" t="s">
        <v>9014</v>
      </c>
      <c r="L1828" s="505" t="s">
        <v>1233</v>
      </c>
      <c r="M1828" s="516">
        <v>4.7300000000000004</v>
      </c>
      <c r="N1828" s="505" t="s">
        <v>1233</v>
      </c>
    </row>
    <row r="1829" spans="1:14" x14ac:dyDescent="0.25">
      <c r="A1829" s="505" t="s">
        <v>4925</v>
      </c>
      <c r="B1829" s="505" t="s">
        <v>4926</v>
      </c>
      <c r="C1829" s="512" t="s">
        <v>7762</v>
      </c>
      <c r="D1829" s="512" t="s">
        <v>9013</v>
      </c>
      <c r="E1829" s="512" t="s">
        <v>524</v>
      </c>
      <c r="F1829" s="512" t="s">
        <v>9014</v>
      </c>
      <c r="L1829" s="505" t="s">
        <v>1233</v>
      </c>
      <c r="M1829" s="516">
        <v>4.7300000000000004</v>
      </c>
      <c r="N1829" s="505" t="s">
        <v>1233</v>
      </c>
    </row>
    <row r="1830" spans="1:14" x14ac:dyDescent="0.25">
      <c r="A1830" s="505" t="s">
        <v>4927</v>
      </c>
      <c r="B1830" s="505" t="s">
        <v>4928</v>
      </c>
      <c r="C1830" s="512" t="s">
        <v>7762</v>
      </c>
      <c r="D1830" s="512" t="s">
        <v>9013</v>
      </c>
      <c r="E1830" s="512" t="s">
        <v>363</v>
      </c>
      <c r="F1830" s="512" t="s">
        <v>9014</v>
      </c>
      <c r="L1830" s="505" t="s">
        <v>1233</v>
      </c>
      <c r="M1830" s="516">
        <v>4.7300000000000004</v>
      </c>
      <c r="N1830" s="505" t="s">
        <v>1233</v>
      </c>
    </row>
    <row r="1831" spans="1:14" x14ac:dyDescent="0.25">
      <c r="A1831" s="505" t="s">
        <v>4929</v>
      </c>
      <c r="B1831" s="505" t="s">
        <v>4930</v>
      </c>
      <c r="C1831" s="512" t="s">
        <v>7762</v>
      </c>
      <c r="D1831" s="512" t="s">
        <v>9013</v>
      </c>
      <c r="E1831" s="512" t="s">
        <v>7571</v>
      </c>
      <c r="F1831" s="512" t="s">
        <v>578</v>
      </c>
      <c r="G1831" s="512" t="s">
        <v>9014</v>
      </c>
      <c r="L1831" s="505" t="s">
        <v>1233</v>
      </c>
      <c r="M1831" s="516">
        <v>4.7300000000000004</v>
      </c>
      <c r="N1831" s="505" t="s">
        <v>1233</v>
      </c>
    </row>
    <row r="1832" spans="1:14" x14ac:dyDescent="0.25">
      <c r="A1832" s="505" t="s">
        <v>4931</v>
      </c>
      <c r="B1832" s="505" t="s">
        <v>4932</v>
      </c>
      <c r="C1832" s="512" t="s">
        <v>7762</v>
      </c>
      <c r="D1832" s="512" t="s">
        <v>9013</v>
      </c>
      <c r="E1832" s="512" t="s">
        <v>526</v>
      </c>
      <c r="F1832" s="512" t="s">
        <v>9014</v>
      </c>
      <c r="L1832" s="505" t="s">
        <v>1233</v>
      </c>
      <c r="M1832" s="516">
        <v>4.7300000000000004</v>
      </c>
      <c r="N1832" s="505" t="s">
        <v>1233</v>
      </c>
    </row>
    <row r="1833" spans="1:14" x14ac:dyDescent="0.25">
      <c r="A1833" s="505" t="s">
        <v>4933</v>
      </c>
      <c r="B1833" s="505" t="s">
        <v>4934</v>
      </c>
      <c r="C1833" s="512" t="s">
        <v>7762</v>
      </c>
      <c r="D1833" s="512" t="s">
        <v>9013</v>
      </c>
      <c r="E1833" s="512" t="s">
        <v>133</v>
      </c>
      <c r="F1833" s="512" t="s">
        <v>9014</v>
      </c>
      <c r="L1833" s="505" t="s">
        <v>1233</v>
      </c>
      <c r="M1833" s="516">
        <v>4.7300000000000004</v>
      </c>
      <c r="N1833" s="505" t="s">
        <v>1233</v>
      </c>
    </row>
    <row r="1834" spans="1:14" x14ac:dyDescent="0.25">
      <c r="A1834" s="505" t="s">
        <v>4935</v>
      </c>
      <c r="B1834" s="505" t="s">
        <v>4936</v>
      </c>
      <c r="C1834" s="512" t="s">
        <v>7762</v>
      </c>
      <c r="D1834" s="512" t="s">
        <v>9013</v>
      </c>
      <c r="E1834" s="512" t="s">
        <v>543</v>
      </c>
      <c r="F1834" s="512" t="s">
        <v>477</v>
      </c>
      <c r="G1834" s="512" t="s">
        <v>9014</v>
      </c>
      <c r="L1834" s="505" t="s">
        <v>1233</v>
      </c>
      <c r="M1834" s="516">
        <v>4.7300000000000004</v>
      </c>
      <c r="N1834" s="505" t="s">
        <v>1233</v>
      </c>
    </row>
    <row r="1835" spans="1:14" x14ac:dyDescent="0.25">
      <c r="A1835" s="505" t="s">
        <v>4937</v>
      </c>
      <c r="B1835" s="505" t="s">
        <v>4938</v>
      </c>
      <c r="C1835" s="512" t="s">
        <v>7762</v>
      </c>
      <c r="D1835" s="512" t="s">
        <v>9013</v>
      </c>
      <c r="E1835" s="512" t="s">
        <v>510</v>
      </c>
      <c r="F1835" s="512" t="s">
        <v>9014</v>
      </c>
      <c r="L1835" s="505" t="s">
        <v>1233</v>
      </c>
      <c r="M1835" s="516">
        <v>4.7300000000000004</v>
      </c>
      <c r="N1835" s="505" t="s">
        <v>1233</v>
      </c>
    </row>
    <row r="1836" spans="1:14" x14ac:dyDescent="0.25">
      <c r="A1836" s="505" t="s">
        <v>4939</v>
      </c>
      <c r="B1836" s="505" t="s">
        <v>4940</v>
      </c>
      <c r="C1836" s="512" t="s">
        <v>7762</v>
      </c>
      <c r="D1836" s="512" t="s">
        <v>9013</v>
      </c>
      <c r="E1836" s="512" t="s">
        <v>8896</v>
      </c>
      <c r="F1836" s="512" t="s">
        <v>361</v>
      </c>
      <c r="G1836" s="512" t="s">
        <v>9014</v>
      </c>
      <c r="L1836" s="505" t="s">
        <v>1233</v>
      </c>
      <c r="M1836" s="516">
        <v>4.7300000000000004</v>
      </c>
      <c r="N1836" s="505" t="s">
        <v>1233</v>
      </c>
    </row>
    <row r="1837" spans="1:14" x14ac:dyDescent="0.25">
      <c r="A1837" s="505" t="s">
        <v>4941</v>
      </c>
      <c r="B1837" s="505" t="s">
        <v>4942</v>
      </c>
      <c r="C1837" s="512" t="s">
        <v>7762</v>
      </c>
      <c r="D1837" s="512" t="s">
        <v>9013</v>
      </c>
      <c r="E1837" s="512" t="s">
        <v>511</v>
      </c>
      <c r="F1837" s="512" t="s">
        <v>9014</v>
      </c>
      <c r="L1837" s="505" t="s">
        <v>1233</v>
      </c>
      <c r="M1837" s="516">
        <v>4.7300000000000004</v>
      </c>
      <c r="N1837" s="505" t="s">
        <v>1233</v>
      </c>
    </row>
    <row r="1838" spans="1:14" x14ac:dyDescent="0.25">
      <c r="A1838" s="505" t="s">
        <v>4943</v>
      </c>
      <c r="B1838" s="505" t="s">
        <v>4944</v>
      </c>
      <c r="C1838" s="512" t="s">
        <v>7762</v>
      </c>
      <c r="D1838" s="512" t="s">
        <v>9013</v>
      </c>
      <c r="E1838" s="512" t="s">
        <v>137</v>
      </c>
      <c r="F1838" s="512" t="s">
        <v>9014</v>
      </c>
      <c r="L1838" s="505" t="s">
        <v>1233</v>
      </c>
      <c r="M1838" s="516">
        <v>4.7300000000000004</v>
      </c>
      <c r="N1838" s="505" t="s">
        <v>1233</v>
      </c>
    </row>
    <row r="1839" spans="1:14" x14ac:dyDescent="0.25">
      <c r="A1839" s="505" t="s">
        <v>4945</v>
      </c>
      <c r="B1839" s="505" t="s">
        <v>4946</v>
      </c>
      <c r="C1839" s="512" t="s">
        <v>7762</v>
      </c>
      <c r="D1839" s="512" t="s">
        <v>8983</v>
      </c>
      <c r="E1839" s="512" t="s">
        <v>7738</v>
      </c>
      <c r="F1839" s="512" t="s">
        <v>7533</v>
      </c>
      <c r="G1839" s="512" t="s">
        <v>9016</v>
      </c>
      <c r="L1839" s="505" t="s">
        <v>1233</v>
      </c>
      <c r="M1839" s="516">
        <v>7.01</v>
      </c>
      <c r="N1839" s="505" t="s">
        <v>1233</v>
      </c>
    </row>
    <row r="1840" spans="1:14" x14ac:dyDescent="0.25">
      <c r="A1840" s="505" t="s">
        <v>4947</v>
      </c>
      <c r="B1840" s="505" t="s">
        <v>4948</v>
      </c>
      <c r="C1840" s="512" t="s">
        <v>7762</v>
      </c>
      <c r="D1840" s="512" t="s">
        <v>7744</v>
      </c>
      <c r="E1840" s="512" t="s">
        <v>7763</v>
      </c>
      <c r="F1840" s="512" t="s">
        <v>7918</v>
      </c>
      <c r="G1840" s="512" t="s">
        <v>7575</v>
      </c>
      <c r="H1840" s="512" t="s">
        <v>7766</v>
      </c>
      <c r="I1840" s="512" t="s">
        <v>9017</v>
      </c>
      <c r="L1840" s="505" t="s">
        <v>1233</v>
      </c>
      <c r="M1840" s="516">
        <v>7.08</v>
      </c>
      <c r="N1840" s="505" t="s">
        <v>1233</v>
      </c>
    </row>
    <row r="1841" spans="1:14" x14ac:dyDescent="0.25">
      <c r="A1841" s="505" t="s">
        <v>4949</v>
      </c>
      <c r="B1841" s="505" t="s">
        <v>4950</v>
      </c>
      <c r="C1841" s="512" t="s">
        <v>7762</v>
      </c>
      <c r="D1841" s="512" t="s">
        <v>7744</v>
      </c>
      <c r="E1841" s="512" t="s">
        <v>7763</v>
      </c>
      <c r="F1841" s="512" t="s">
        <v>7918</v>
      </c>
      <c r="G1841" s="512" t="s">
        <v>148</v>
      </c>
      <c r="H1841" s="512" t="s">
        <v>9017</v>
      </c>
      <c r="L1841" s="505" t="s">
        <v>1233</v>
      </c>
      <c r="M1841" s="516">
        <v>7.08</v>
      </c>
      <c r="N1841" s="505" t="s">
        <v>1233</v>
      </c>
    </row>
    <row r="1842" spans="1:14" x14ac:dyDescent="0.25">
      <c r="A1842" s="505" t="s">
        <v>4951</v>
      </c>
      <c r="B1842" s="505" t="s">
        <v>4952</v>
      </c>
      <c r="C1842" s="512" t="s">
        <v>7762</v>
      </c>
      <c r="D1842" s="512" t="s">
        <v>7744</v>
      </c>
      <c r="E1842" s="512" t="s">
        <v>7763</v>
      </c>
      <c r="F1842" s="512" t="s">
        <v>7918</v>
      </c>
      <c r="G1842" s="512" t="s">
        <v>7768</v>
      </c>
      <c r="H1842" s="512" t="s">
        <v>9017</v>
      </c>
      <c r="L1842" s="505" t="s">
        <v>1233</v>
      </c>
      <c r="M1842" s="516">
        <v>7.08</v>
      </c>
      <c r="N1842" s="505" t="s">
        <v>1233</v>
      </c>
    </row>
    <row r="1843" spans="1:14" x14ac:dyDescent="0.25">
      <c r="A1843" s="505" t="s">
        <v>4953</v>
      </c>
      <c r="B1843" s="505" t="s">
        <v>4954</v>
      </c>
      <c r="C1843" s="512" t="s">
        <v>7762</v>
      </c>
      <c r="D1843" s="512" t="s">
        <v>7744</v>
      </c>
      <c r="E1843" s="512" t="s">
        <v>7763</v>
      </c>
      <c r="F1843" s="512" t="s">
        <v>7918</v>
      </c>
      <c r="G1843" s="512" t="s">
        <v>144</v>
      </c>
      <c r="H1843" s="512" t="s">
        <v>9017</v>
      </c>
      <c r="L1843" s="505" t="s">
        <v>1233</v>
      </c>
      <c r="M1843" s="516">
        <v>7.08</v>
      </c>
      <c r="N1843" s="505" t="s">
        <v>1233</v>
      </c>
    </row>
    <row r="1844" spans="1:14" x14ac:dyDescent="0.25">
      <c r="A1844" s="505" t="s">
        <v>4955</v>
      </c>
      <c r="B1844" s="505" t="s">
        <v>4956</v>
      </c>
      <c r="C1844" s="512" t="s">
        <v>7762</v>
      </c>
      <c r="D1844" s="512" t="s">
        <v>7744</v>
      </c>
      <c r="E1844" s="512" t="s">
        <v>7763</v>
      </c>
      <c r="F1844" s="512" t="s">
        <v>7918</v>
      </c>
      <c r="G1844" s="512" t="s">
        <v>7769</v>
      </c>
      <c r="H1844" s="512" t="s">
        <v>9017</v>
      </c>
      <c r="L1844" s="505" t="s">
        <v>1233</v>
      </c>
      <c r="M1844" s="516">
        <v>7.08</v>
      </c>
      <c r="N1844" s="505" t="s">
        <v>1233</v>
      </c>
    </row>
    <row r="1845" spans="1:14" x14ac:dyDescent="0.25">
      <c r="A1845" s="505" t="s">
        <v>4957</v>
      </c>
      <c r="B1845" s="505" t="s">
        <v>4958</v>
      </c>
      <c r="C1845" s="512" t="s">
        <v>7762</v>
      </c>
      <c r="D1845" s="512" t="s">
        <v>7744</v>
      </c>
      <c r="E1845" s="512" t="s">
        <v>7763</v>
      </c>
      <c r="F1845" s="512" t="s">
        <v>7918</v>
      </c>
      <c r="G1845" s="512" t="s">
        <v>477</v>
      </c>
      <c r="H1845" s="512" t="s">
        <v>9017</v>
      </c>
      <c r="L1845" s="505" t="s">
        <v>1233</v>
      </c>
      <c r="M1845" s="516">
        <v>7.08</v>
      </c>
      <c r="N1845" s="505" t="s">
        <v>1233</v>
      </c>
    </row>
    <row r="1846" spans="1:14" x14ac:dyDescent="0.25">
      <c r="A1846" s="505" t="s">
        <v>4959</v>
      </c>
      <c r="B1846" s="505" t="s">
        <v>4960</v>
      </c>
      <c r="C1846" s="512" t="s">
        <v>7762</v>
      </c>
      <c r="D1846" s="512" t="s">
        <v>7744</v>
      </c>
      <c r="E1846" s="512" t="s">
        <v>7763</v>
      </c>
      <c r="F1846" s="512" t="s">
        <v>7918</v>
      </c>
      <c r="G1846" s="512" t="s">
        <v>7770</v>
      </c>
      <c r="H1846" s="512" t="s">
        <v>9017</v>
      </c>
      <c r="L1846" s="505" t="s">
        <v>1233</v>
      </c>
      <c r="M1846" s="516">
        <v>7.08</v>
      </c>
      <c r="N1846" s="505" t="s">
        <v>1233</v>
      </c>
    </row>
    <row r="1847" spans="1:14" x14ac:dyDescent="0.25">
      <c r="A1847" s="505" t="s">
        <v>4961</v>
      </c>
      <c r="B1847" s="505" t="s">
        <v>4962</v>
      </c>
      <c r="C1847" s="512" t="s">
        <v>7762</v>
      </c>
      <c r="D1847" s="512" t="s">
        <v>7744</v>
      </c>
      <c r="E1847" s="512" t="s">
        <v>7763</v>
      </c>
      <c r="F1847" s="512" t="s">
        <v>7918</v>
      </c>
      <c r="G1847" s="512" t="s">
        <v>7788</v>
      </c>
      <c r="H1847" s="512" t="s">
        <v>7766</v>
      </c>
      <c r="I1847" s="512" t="s">
        <v>9017</v>
      </c>
      <c r="L1847" s="505" t="s">
        <v>1233</v>
      </c>
      <c r="M1847" s="516">
        <v>7.08</v>
      </c>
      <c r="N1847" s="505" t="s">
        <v>1233</v>
      </c>
    </row>
    <row r="1848" spans="1:14" x14ac:dyDescent="0.25">
      <c r="A1848" s="505" t="s">
        <v>4963</v>
      </c>
      <c r="B1848" s="505" t="s">
        <v>4964</v>
      </c>
      <c r="C1848" s="512" t="s">
        <v>7762</v>
      </c>
      <c r="D1848" s="512" t="s">
        <v>7744</v>
      </c>
      <c r="E1848" s="512" t="s">
        <v>7763</v>
      </c>
      <c r="F1848" s="512" t="s">
        <v>7918</v>
      </c>
      <c r="G1848" s="512" t="s">
        <v>7772</v>
      </c>
      <c r="H1848" s="512" t="s">
        <v>9017</v>
      </c>
      <c r="L1848" s="505" t="s">
        <v>1233</v>
      </c>
      <c r="M1848" s="516">
        <v>7.08</v>
      </c>
      <c r="N1848" s="505" t="s">
        <v>1233</v>
      </c>
    </row>
    <row r="1849" spans="1:14" x14ac:dyDescent="0.25">
      <c r="A1849" s="505" t="s">
        <v>4965</v>
      </c>
      <c r="B1849" s="505" t="s">
        <v>4966</v>
      </c>
      <c r="C1849" s="512" t="s">
        <v>7762</v>
      </c>
      <c r="D1849" s="512" t="s">
        <v>7744</v>
      </c>
      <c r="E1849" s="512" t="s">
        <v>7763</v>
      </c>
      <c r="F1849" s="512" t="s">
        <v>7918</v>
      </c>
      <c r="G1849" s="512" t="s">
        <v>7773</v>
      </c>
      <c r="H1849" s="512" t="s">
        <v>9017</v>
      </c>
      <c r="L1849" s="505" t="s">
        <v>1233</v>
      </c>
      <c r="M1849" s="516">
        <v>7.08</v>
      </c>
      <c r="N1849" s="505" t="s">
        <v>1233</v>
      </c>
    </row>
    <row r="1850" spans="1:14" x14ac:dyDescent="0.25">
      <c r="A1850" s="505" t="s">
        <v>4967</v>
      </c>
      <c r="B1850" s="505" t="s">
        <v>4968</v>
      </c>
      <c r="C1850" s="512" t="s">
        <v>7762</v>
      </c>
      <c r="D1850" s="512" t="s">
        <v>7744</v>
      </c>
      <c r="E1850" s="512" t="s">
        <v>7763</v>
      </c>
      <c r="F1850" s="512" t="s">
        <v>7918</v>
      </c>
      <c r="G1850" s="512" t="s">
        <v>524</v>
      </c>
      <c r="H1850" s="512" t="s">
        <v>9017</v>
      </c>
      <c r="L1850" s="505" t="s">
        <v>1233</v>
      </c>
      <c r="M1850" s="516">
        <v>7.08</v>
      </c>
      <c r="N1850" s="505" t="s">
        <v>1233</v>
      </c>
    </row>
    <row r="1851" spans="1:14" x14ac:dyDescent="0.25">
      <c r="A1851" s="505" t="s">
        <v>4969</v>
      </c>
      <c r="B1851" s="505" t="s">
        <v>4970</v>
      </c>
      <c r="C1851" s="512" t="s">
        <v>7762</v>
      </c>
      <c r="D1851" s="512" t="s">
        <v>7744</v>
      </c>
      <c r="E1851" s="512" t="s">
        <v>7763</v>
      </c>
      <c r="F1851" s="512" t="s">
        <v>7918</v>
      </c>
      <c r="G1851" s="512" t="s">
        <v>363</v>
      </c>
      <c r="H1851" s="512" t="s">
        <v>9017</v>
      </c>
      <c r="L1851" s="505" t="s">
        <v>1233</v>
      </c>
      <c r="M1851" s="516">
        <v>7.08</v>
      </c>
      <c r="N1851" s="505" t="s">
        <v>1233</v>
      </c>
    </row>
    <row r="1852" spans="1:14" x14ac:dyDescent="0.25">
      <c r="A1852" s="505" t="s">
        <v>4971</v>
      </c>
      <c r="B1852" s="505" t="s">
        <v>4972</v>
      </c>
      <c r="C1852" s="512" t="s">
        <v>7762</v>
      </c>
      <c r="D1852" s="512" t="s">
        <v>7744</v>
      </c>
      <c r="E1852" s="512" t="s">
        <v>7763</v>
      </c>
      <c r="F1852" s="512" t="s">
        <v>7918</v>
      </c>
      <c r="G1852" s="512" t="s">
        <v>7774</v>
      </c>
      <c r="H1852" s="512" t="s">
        <v>7775</v>
      </c>
      <c r="I1852" s="512" t="s">
        <v>9017</v>
      </c>
      <c r="L1852" s="505" t="s">
        <v>1233</v>
      </c>
      <c r="M1852" s="516">
        <v>7.08</v>
      </c>
      <c r="N1852" s="505" t="s">
        <v>1233</v>
      </c>
    </row>
    <row r="1853" spans="1:14" x14ac:dyDescent="0.25">
      <c r="A1853" s="505" t="s">
        <v>4973</v>
      </c>
      <c r="B1853" s="505" t="s">
        <v>4974</v>
      </c>
      <c r="C1853" s="512" t="s">
        <v>7762</v>
      </c>
      <c r="D1853" s="512" t="s">
        <v>7744</v>
      </c>
      <c r="E1853" s="512" t="s">
        <v>7763</v>
      </c>
      <c r="F1853" s="512" t="s">
        <v>7918</v>
      </c>
      <c r="G1853" s="512" t="s">
        <v>7776</v>
      </c>
      <c r="H1853" s="512" t="s">
        <v>9017</v>
      </c>
      <c r="L1853" s="505" t="s">
        <v>1233</v>
      </c>
      <c r="M1853" s="516">
        <v>7.08</v>
      </c>
      <c r="N1853" s="505" t="s">
        <v>1233</v>
      </c>
    </row>
    <row r="1854" spans="1:14" x14ac:dyDescent="0.25">
      <c r="A1854" s="505" t="s">
        <v>4975</v>
      </c>
      <c r="B1854" s="505" t="s">
        <v>4976</v>
      </c>
      <c r="C1854" s="512" t="s">
        <v>7762</v>
      </c>
      <c r="D1854" s="512" t="s">
        <v>7744</v>
      </c>
      <c r="E1854" s="512" t="s">
        <v>7763</v>
      </c>
      <c r="F1854" s="512" t="s">
        <v>7918</v>
      </c>
      <c r="G1854" s="512" t="s">
        <v>133</v>
      </c>
      <c r="H1854" s="512" t="s">
        <v>9017</v>
      </c>
      <c r="L1854" s="505" t="s">
        <v>1233</v>
      </c>
      <c r="M1854" s="516">
        <v>7.08</v>
      </c>
      <c r="N1854" s="505" t="s">
        <v>1233</v>
      </c>
    </row>
    <row r="1855" spans="1:14" x14ac:dyDescent="0.25">
      <c r="A1855" s="505" t="s">
        <v>4977</v>
      </c>
      <c r="B1855" s="505" t="s">
        <v>4978</v>
      </c>
      <c r="C1855" s="512" t="s">
        <v>7762</v>
      </c>
      <c r="D1855" s="512" t="s">
        <v>7744</v>
      </c>
      <c r="E1855" s="512" t="s">
        <v>7763</v>
      </c>
      <c r="F1855" s="512" t="s">
        <v>7918</v>
      </c>
      <c r="G1855" s="512" t="s">
        <v>7777</v>
      </c>
      <c r="H1855" s="512" t="s">
        <v>7778</v>
      </c>
      <c r="I1855" s="512" t="s">
        <v>9017</v>
      </c>
      <c r="L1855" s="505" t="s">
        <v>1233</v>
      </c>
      <c r="M1855" s="516">
        <v>7.08</v>
      </c>
      <c r="N1855" s="505" t="s">
        <v>1233</v>
      </c>
    </row>
    <row r="1856" spans="1:14" x14ac:dyDescent="0.25">
      <c r="A1856" s="505" t="s">
        <v>4979</v>
      </c>
      <c r="B1856" s="505" t="s">
        <v>4980</v>
      </c>
      <c r="C1856" s="512" t="s">
        <v>7762</v>
      </c>
      <c r="D1856" s="512" t="s">
        <v>7744</v>
      </c>
      <c r="E1856" s="512" t="s">
        <v>7763</v>
      </c>
      <c r="F1856" s="512" t="s">
        <v>7918</v>
      </c>
      <c r="G1856" s="512" t="s">
        <v>510</v>
      </c>
      <c r="H1856" s="512" t="s">
        <v>9017</v>
      </c>
      <c r="L1856" s="505" t="s">
        <v>1233</v>
      </c>
      <c r="M1856" s="516">
        <v>7.08</v>
      </c>
      <c r="N1856" s="505" t="s">
        <v>1233</v>
      </c>
    </row>
    <row r="1857" spans="1:14" x14ac:dyDescent="0.25">
      <c r="A1857" s="505" t="s">
        <v>4981</v>
      </c>
      <c r="B1857" s="505" t="s">
        <v>4982</v>
      </c>
      <c r="C1857" s="512" t="s">
        <v>7762</v>
      </c>
      <c r="D1857" s="512" t="s">
        <v>7744</v>
      </c>
      <c r="E1857" s="512" t="s">
        <v>7763</v>
      </c>
      <c r="F1857" s="512" t="s">
        <v>7918</v>
      </c>
      <c r="G1857" s="512" t="s">
        <v>9000</v>
      </c>
      <c r="H1857" s="512" t="s">
        <v>7766</v>
      </c>
      <c r="I1857" s="512" t="s">
        <v>9017</v>
      </c>
      <c r="L1857" s="505" t="s">
        <v>1233</v>
      </c>
      <c r="M1857" s="516">
        <v>7.08</v>
      </c>
      <c r="N1857" s="505" t="s">
        <v>1233</v>
      </c>
    </row>
    <row r="1858" spans="1:14" x14ac:dyDescent="0.25">
      <c r="A1858" s="505" t="s">
        <v>4983</v>
      </c>
      <c r="B1858" s="505" t="s">
        <v>4984</v>
      </c>
      <c r="C1858" s="512" t="s">
        <v>7762</v>
      </c>
      <c r="D1858" s="512" t="s">
        <v>7744</v>
      </c>
      <c r="E1858" s="512" t="s">
        <v>7763</v>
      </c>
      <c r="F1858" s="512" t="s">
        <v>7918</v>
      </c>
      <c r="G1858" s="512" t="s">
        <v>511</v>
      </c>
      <c r="H1858" s="512" t="s">
        <v>9017</v>
      </c>
      <c r="L1858" s="505" t="s">
        <v>1233</v>
      </c>
      <c r="M1858" s="516">
        <v>7.08</v>
      </c>
      <c r="N1858" s="505" t="s">
        <v>1233</v>
      </c>
    </row>
    <row r="1859" spans="1:14" x14ac:dyDescent="0.25">
      <c r="A1859" s="505" t="s">
        <v>4985</v>
      </c>
      <c r="B1859" s="505" t="s">
        <v>4986</v>
      </c>
      <c r="C1859" s="512" t="s">
        <v>7762</v>
      </c>
      <c r="D1859" s="512" t="s">
        <v>7744</v>
      </c>
      <c r="E1859" s="512" t="s">
        <v>7763</v>
      </c>
      <c r="F1859" s="512" t="s">
        <v>7918</v>
      </c>
      <c r="G1859" s="512" t="s">
        <v>137</v>
      </c>
      <c r="H1859" s="512" t="s">
        <v>9017</v>
      </c>
      <c r="L1859" s="505" t="s">
        <v>1233</v>
      </c>
      <c r="M1859" s="516">
        <v>7.08</v>
      </c>
      <c r="N1859" s="505" t="s">
        <v>1233</v>
      </c>
    </row>
    <row r="1860" spans="1:14" x14ac:dyDescent="0.25">
      <c r="A1860" s="505" t="s">
        <v>4987</v>
      </c>
      <c r="B1860" s="505" t="s">
        <v>4988</v>
      </c>
      <c r="C1860" s="512" t="s">
        <v>8732</v>
      </c>
      <c r="D1860" s="512" t="s">
        <v>8741</v>
      </c>
      <c r="E1860" s="512" t="s">
        <v>8768</v>
      </c>
      <c r="F1860" s="512" t="s">
        <v>7533</v>
      </c>
      <c r="G1860" s="512" t="s">
        <v>7784</v>
      </c>
      <c r="L1860" s="505" t="s">
        <v>1233</v>
      </c>
      <c r="M1860" s="516">
        <v>24.83</v>
      </c>
      <c r="N1860" s="505" t="s">
        <v>1233</v>
      </c>
    </row>
    <row r="1861" spans="1:14" x14ac:dyDescent="0.25">
      <c r="A1861" s="505" t="s">
        <v>4989</v>
      </c>
      <c r="B1861" s="505" t="s">
        <v>4990</v>
      </c>
      <c r="C1861" s="512" t="s">
        <v>8732</v>
      </c>
      <c r="D1861" s="512" t="s">
        <v>8741</v>
      </c>
      <c r="E1861" s="512" t="s">
        <v>8768</v>
      </c>
      <c r="F1861" s="512" t="s">
        <v>7533</v>
      </c>
      <c r="G1861" s="512" t="s">
        <v>8761</v>
      </c>
      <c r="L1861" s="505" t="s">
        <v>1233</v>
      </c>
      <c r="M1861" s="516">
        <v>35.950000000000003</v>
      </c>
      <c r="N1861" s="505" t="s">
        <v>1233</v>
      </c>
    </row>
    <row r="1862" spans="1:14" x14ac:dyDescent="0.25">
      <c r="A1862" s="505" t="s">
        <v>4991</v>
      </c>
      <c r="B1862" s="505" t="s">
        <v>4992</v>
      </c>
      <c r="C1862" s="512" t="s">
        <v>7796</v>
      </c>
      <c r="D1862" s="512" t="s">
        <v>9018</v>
      </c>
      <c r="E1862" s="512" t="s">
        <v>7437</v>
      </c>
      <c r="L1862" s="505" t="s">
        <v>1233</v>
      </c>
      <c r="M1862" s="516">
        <v>4.7300000000000004</v>
      </c>
      <c r="N1862" s="505" t="s">
        <v>1233</v>
      </c>
    </row>
    <row r="1863" spans="1:14" x14ac:dyDescent="0.25">
      <c r="A1863" s="505" t="s">
        <v>4993</v>
      </c>
      <c r="B1863" s="505" t="s">
        <v>4994</v>
      </c>
      <c r="C1863" s="512" t="s">
        <v>7796</v>
      </c>
      <c r="D1863" s="512" t="s">
        <v>9018</v>
      </c>
      <c r="E1863" s="512" t="s">
        <v>7801</v>
      </c>
      <c r="L1863" s="505" t="s">
        <v>1233</v>
      </c>
      <c r="M1863" s="516">
        <v>4.7300000000000004</v>
      </c>
      <c r="N1863" s="505" t="s">
        <v>1233</v>
      </c>
    </row>
    <row r="1864" spans="1:14" x14ac:dyDescent="0.25">
      <c r="A1864" s="505" t="s">
        <v>4995</v>
      </c>
      <c r="B1864" s="505" t="s">
        <v>4996</v>
      </c>
      <c r="C1864" s="512" t="s">
        <v>7796</v>
      </c>
      <c r="D1864" s="512" t="s">
        <v>9018</v>
      </c>
      <c r="E1864" s="512" t="s">
        <v>7804</v>
      </c>
      <c r="L1864" s="505" t="s">
        <v>1233</v>
      </c>
      <c r="M1864" s="516">
        <v>4.7300000000000004</v>
      </c>
      <c r="N1864" s="505" t="s">
        <v>1233</v>
      </c>
    </row>
    <row r="1865" spans="1:14" x14ac:dyDescent="0.25">
      <c r="A1865" s="505" t="s">
        <v>4997</v>
      </c>
      <c r="B1865" s="505" t="s">
        <v>4998</v>
      </c>
      <c r="C1865" s="512" t="s">
        <v>9019</v>
      </c>
      <c r="D1865" s="512" t="s">
        <v>9020</v>
      </c>
      <c r="E1865" s="512" t="s">
        <v>9021</v>
      </c>
      <c r="F1865" s="512" t="s">
        <v>9022</v>
      </c>
      <c r="G1865" s="512" t="s">
        <v>9023</v>
      </c>
      <c r="H1865" s="512" t="s">
        <v>9024</v>
      </c>
      <c r="L1865" s="505" t="s">
        <v>114</v>
      </c>
      <c r="M1865" s="516">
        <v>17.09</v>
      </c>
      <c r="N1865" s="505" t="s">
        <v>114</v>
      </c>
    </row>
    <row r="1866" spans="1:14" x14ac:dyDescent="0.25">
      <c r="A1866" s="505" t="s">
        <v>4999</v>
      </c>
      <c r="B1866" s="505" t="s">
        <v>5000</v>
      </c>
      <c r="C1866" s="512" t="s">
        <v>9019</v>
      </c>
      <c r="D1866" s="512" t="s">
        <v>9025</v>
      </c>
      <c r="E1866" s="512" t="s">
        <v>9026</v>
      </c>
      <c r="F1866" s="512" t="s">
        <v>9027</v>
      </c>
      <c r="G1866" s="512" t="s">
        <v>7476</v>
      </c>
      <c r="H1866" s="512" t="s">
        <v>9028</v>
      </c>
      <c r="L1866" s="505" t="s">
        <v>114</v>
      </c>
      <c r="M1866" s="516">
        <v>30.59</v>
      </c>
      <c r="N1866" s="505" t="s">
        <v>114</v>
      </c>
    </row>
    <row r="1867" spans="1:14" x14ac:dyDescent="0.25">
      <c r="A1867" s="505" t="s">
        <v>5001</v>
      </c>
      <c r="B1867" s="505" t="s">
        <v>5002</v>
      </c>
      <c r="C1867" s="512" t="s">
        <v>9019</v>
      </c>
      <c r="D1867" s="512" t="s">
        <v>9020</v>
      </c>
      <c r="E1867" s="512" t="s">
        <v>9029</v>
      </c>
      <c r="F1867" s="512" t="s">
        <v>9027</v>
      </c>
      <c r="G1867" s="512" t="s">
        <v>7476</v>
      </c>
      <c r="H1867" s="512" t="s">
        <v>9030</v>
      </c>
      <c r="L1867" s="505" t="s">
        <v>114</v>
      </c>
      <c r="M1867" s="516">
        <v>35.090000000000003</v>
      </c>
      <c r="N1867" s="505" t="s">
        <v>114</v>
      </c>
    </row>
    <row r="1868" spans="1:14" x14ac:dyDescent="0.25">
      <c r="A1868" s="505" t="s">
        <v>5003</v>
      </c>
      <c r="B1868" s="505" t="s">
        <v>5004</v>
      </c>
      <c r="C1868" s="512" t="s">
        <v>9019</v>
      </c>
      <c r="D1868" s="512" t="s">
        <v>9031</v>
      </c>
      <c r="E1868" s="512" t="s">
        <v>9029</v>
      </c>
      <c r="F1868" s="512" t="s">
        <v>9027</v>
      </c>
      <c r="G1868" s="512" t="s">
        <v>7476</v>
      </c>
      <c r="H1868" s="512" t="s">
        <v>9032</v>
      </c>
      <c r="L1868" s="505" t="s">
        <v>114</v>
      </c>
      <c r="M1868" s="516">
        <v>41.39</v>
      </c>
      <c r="N1868" s="505" t="s">
        <v>114</v>
      </c>
    </row>
    <row r="1869" spans="1:14" x14ac:dyDescent="0.25">
      <c r="A1869" s="505" t="s">
        <v>5005</v>
      </c>
      <c r="B1869" s="505" t="s">
        <v>5006</v>
      </c>
      <c r="C1869" s="512" t="s">
        <v>9019</v>
      </c>
      <c r="D1869" s="512" t="s">
        <v>7602</v>
      </c>
      <c r="E1869" s="512" t="s">
        <v>9033</v>
      </c>
      <c r="F1869" s="512" t="s">
        <v>9027</v>
      </c>
      <c r="G1869" s="512" t="s">
        <v>9034</v>
      </c>
      <c r="H1869" s="512" t="s">
        <v>9035</v>
      </c>
      <c r="L1869" s="505" t="s">
        <v>114</v>
      </c>
      <c r="M1869" s="516">
        <v>62.09</v>
      </c>
      <c r="N1869" s="505" t="s">
        <v>114</v>
      </c>
    </row>
    <row r="1870" spans="1:14" x14ac:dyDescent="0.25">
      <c r="A1870" s="505" t="s">
        <v>5007</v>
      </c>
      <c r="B1870" s="505" t="s">
        <v>5008</v>
      </c>
      <c r="C1870" s="512" t="s">
        <v>9019</v>
      </c>
      <c r="D1870" s="512" t="s">
        <v>7581</v>
      </c>
      <c r="E1870" s="512" t="s">
        <v>9036</v>
      </c>
      <c r="F1870" s="512" t="s">
        <v>9027</v>
      </c>
      <c r="G1870" s="512" t="s">
        <v>9034</v>
      </c>
      <c r="H1870" s="512" t="s">
        <v>9037</v>
      </c>
      <c r="L1870" s="505" t="s">
        <v>114</v>
      </c>
      <c r="M1870" s="516">
        <v>85.49</v>
      </c>
      <c r="N1870" s="505" t="s">
        <v>114</v>
      </c>
    </row>
    <row r="1871" spans="1:14" x14ac:dyDescent="0.25">
      <c r="A1871" s="505" t="s">
        <v>5009</v>
      </c>
      <c r="B1871" s="505" t="s">
        <v>5010</v>
      </c>
      <c r="C1871" s="512" t="s">
        <v>9019</v>
      </c>
      <c r="D1871" s="512">
        <v>7.25</v>
      </c>
      <c r="E1871" s="512" t="s">
        <v>9029</v>
      </c>
      <c r="F1871" s="512" t="s">
        <v>9038</v>
      </c>
      <c r="G1871" s="512" t="s">
        <v>9039</v>
      </c>
      <c r="H1871" s="512" t="s">
        <v>7476</v>
      </c>
      <c r="I1871" s="512" t="s">
        <v>9040</v>
      </c>
      <c r="L1871" s="505" t="s">
        <v>114</v>
      </c>
      <c r="M1871" s="516">
        <v>28.79</v>
      </c>
      <c r="N1871" s="505" t="s">
        <v>114</v>
      </c>
    </row>
    <row r="1872" spans="1:14" x14ac:dyDescent="0.25">
      <c r="A1872" s="505" t="s">
        <v>5011</v>
      </c>
      <c r="B1872" s="505" t="s">
        <v>5012</v>
      </c>
      <c r="C1872" s="512" t="s">
        <v>9019</v>
      </c>
      <c r="D1872" s="512" t="s">
        <v>7602</v>
      </c>
      <c r="E1872" s="512" t="s">
        <v>9041</v>
      </c>
      <c r="F1872" s="512" t="s">
        <v>9038</v>
      </c>
      <c r="G1872" s="512" t="s">
        <v>9039</v>
      </c>
      <c r="H1872" s="512" t="s">
        <v>7476</v>
      </c>
      <c r="I1872" s="512" t="s">
        <v>9042</v>
      </c>
      <c r="L1872" s="505" t="s">
        <v>114</v>
      </c>
      <c r="M1872" s="516">
        <v>69.290000000000006</v>
      </c>
      <c r="N1872" s="505" t="s">
        <v>114</v>
      </c>
    </row>
    <row r="1873" spans="1:14" x14ac:dyDescent="0.25">
      <c r="A1873" s="505" t="s">
        <v>5013</v>
      </c>
      <c r="B1873" s="505" t="s">
        <v>5014</v>
      </c>
      <c r="C1873" s="512" t="s">
        <v>9019</v>
      </c>
      <c r="D1873" s="514">
        <v>39086</v>
      </c>
      <c r="E1873" s="512" t="s">
        <v>9043</v>
      </c>
      <c r="F1873" s="512" t="s">
        <v>9044</v>
      </c>
      <c r="G1873" s="512" t="s">
        <v>7476</v>
      </c>
      <c r="H1873" s="512" t="s">
        <v>9045</v>
      </c>
      <c r="L1873" s="505" t="s">
        <v>114</v>
      </c>
      <c r="M1873" s="516">
        <v>37.79</v>
      </c>
      <c r="N1873" s="505" t="s">
        <v>114</v>
      </c>
    </row>
    <row r="1874" spans="1:14" x14ac:dyDescent="0.25">
      <c r="A1874" s="505" t="s">
        <v>5015</v>
      </c>
      <c r="B1874" s="505" t="s">
        <v>5016</v>
      </c>
      <c r="C1874" s="512" t="s">
        <v>9019</v>
      </c>
      <c r="D1874" s="512" t="s">
        <v>7602</v>
      </c>
      <c r="E1874" s="512" t="s">
        <v>9046</v>
      </c>
      <c r="F1874" s="512" t="s">
        <v>9047</v>
      </c>
      <c r="G1874" s="512" t="s">
        <v>7476</v>
      </c>
      <c r="H1874" s="512" t="s">
        <v>9048</v>
      </c>
      <c r="L1874" s="505" t="s">
        <v>114</v>
      </c>
      <c r="M1874" s="516">
        <v>78.290000000000006</v>
      </c>
      <c r="N1874" s="505" t="s">
        <v>114</v>
      </c>
    </row>
    <row r="1875" spans="1:14" x14ac:dyDescent="0.25">
      <c r="A1875" s="505" t="s">
        <v>5017</v>
      </c>
      <c r="B1875" s="505" t="s">
        <v>5018</v>
      </c>
      <c r="C1875" s="512" t="s">
        <v>9019</v>
      </c>
      <c r="D1875" s="512" t="s">
        <v>7581</v>
      </c>
      <c r="E1875" s="512" t="s">
        <v>9046</v>
      </c>
      <c r="F1875" s="512" t="s">
        <v>9047</v>
      </c>
      <c r="G1875" s="512" t="s">
        <v>7476</v>
      </c>
      <c r="H1875" s="512" t="s">
        <v>9049</v>
      </c>
      <c r="L1875" s="505" t="s">
        <v>114</v>
      </c>
      <c r="M1875" s="516">
        <v>89.09</v>
      </c>
      <c r="N1875" s="505" t="s">
        <v>114</v>
      </c>
    </row>
    <row r="1876" spans="1:14" x14ac:dyDescent="0.25">
      <c r="A1876" s="505" t="s">
        <v>5019</v>
      </c>
      <c r="B1876" s="505" t="s">
        <v>5020</v>
      </c>
      <c r="C1876" s="512" t="s">
        <v>9019</v>
      </c>
      <c r="D1876" s="512" t="s">
        <v>9025</v>
      </c>
      <c r="E1876" s="512" t="s">
        <v>9050</v>
      </c>
      <c r="F1876" s="512" t="s">
        <v>8849</v>
      </c>
      <c r="G1876" s="512" t="s">
        <v>9034</v>
      </c>
      <c r="L1876" s="505" t="s">
        <v>114</v>
      </c>
      <c r="M1876" s="516">
        <v>48.59</v>
      </c>
      <c r="N1876" s="505" t="s">
        <v>114</v>
      </c>
    </row>
    <row r="1877" spans="1:14" x14ac:dyDescent="0.25">
      <c r="A1877" s="505" t="s">
        <v>5021</v>
      </c>
      <c r="B1877" s="505" t="s">
        <v>5022</v>
      </c>
      <c r="C1877" s="512" t="s">
        <v>9019</v>
      </c>
      <c r="D1877" s="512" t="s">
        <v>9051</v>
      </c>
      <c r="E1877" s="512" t="s">
        <v>9050</v>
      </c>
      <c r="F1877" s="512" t="s">
        <v>8849</v>
      </c>
      <c r="G1877" s="512" t="s">
        <v>9034</v>
      </c>
      <c r="L1877" s="505" t="s">
        <v>114</v>
      </c>
      <c r="M1877" s="516">
        <v>48.59</v>
      </c>
      <c r="N1877" s="505" t="s">
        <v>114</v>
      </c>
    </row>
    <row r="1878" spans="1:14" x14ac:dyDescent="0.25">
      <c r="A1878" s="505" t="s">
        <v>5023</v>
      </c>
      <c r="B1878" s="505" t="s">
        <v>5024</v>
      </c>
      <c r="C1878" s="512" t="s">
        <v>9019</v>
      </c>
      <c r="D1878" s="512">
        <v>7.25</v>
      </c>
      <c r="E1878" s="512" t="s">
        <v>9052</v>
      </c>
      <c r="F1878" s="512" t="s">
        <v>9053</v>
      </c>
      <c r="G1878" s="512" t="s">
        <v>7476</v>
      </c>
      <c r="H1878" s="512" t="s">
        <v>9054</v>
      </c>
      <c r="L1878" s="505" t="s">
        <v>114</v>
      </c>
      <c r="M1878" s="516">
        <v>58.49</v>
      </c>
      <c r="N1878" s="505" t="s">
        <v>114</v>
      </c>
    </row>
    <row r="1879" spans="1:14" x14ac:dyDescent="0.25">
      <c r="A1879" s="505" t="s">
        <v>5025</v>
      </c>
      <c r="B1879" s="505" t="s">
        <v>5026</v>
      </c>
      <c r="C1879" s="512" t="s">
        <v>9019</v>
      </c>
      <c r="D1879" s="512" t="s">
        <v>7602</v>
      </c>
      <c r="E1879" s="512" t="s">
        <v>9052</v>
      </c>
      <c r="F1879" s="512" t="s">
        <v>9053</v>
      </c>
      <c r="G1879" s="512" t="s">
        <v>7476</v>
      </c>
      <c r="H1879" s="512" t="s">
        <v>9055</v>
      </c>
      <c r="L1879" s="505" t="s">
        <v>114</v>
      </c>
      <c r="M1879" s="516">
        <v>87.29</v>
      </c>
      <c r="N1879" s="505" t="s">
        <v>114</v>
      </c>
    </row>
    <row r="1880" spans="1:14" x14ac:dyDescent="0.25">
      <c r="A1880" s="505" t="s">
        <v>5027</v>
      </c>
      <c r="B1880" s="505" t="s">
        <v>5028</v>
      </c>
      <c r="C1880" s="512" t="s">
        <v>9019</v>
      </c>
      <c r="D1880" s="512" t="s">
        <v>7581</v>
      </c>
      <c r="E1880" s="512" t="s">
        <v>9052</v>
      </c>
      <c r="F1880" s="512" t="s">
        <v>9053</v>
      </c>
      <c r="G1880" s="512" t="s">
        <v>7476</v>
      </c>
      <c r="H1880" s="512" t="s">
        <v>9056</v>
      </c>
      <c r="L1880" s="505" t="s">
        <v>114</v>
      </c>
      <c r="M1880" s="516">
        <v>101.69</v>
      </c>
      <c r="N1880" s="505" t="s">
        <v>114</v>
      </c>
    </row>
    <row r="1881" spans="1:14" x14ac:dyDescent="0.25">
      <c r="A1881" s="505" t="s">
        <v>5029</v>
      </c>
      <c r="B1881" s="505" t="s">
        <v>5030</v>
      </c>
      <c r="C1881" s="512" t="s">
        <v>9019</v>
      </c>
      <c r="D1881" s="512" t="s">
        <v>7602</v>
      </c>
      <c r="E1881" s="512" t="s">
        <v>9021</v>
      </c>
      <c r="F1881" s="512" t="s">
        <v>9057</v>
      </c>
      <c r="G1881" s="512" t="s">
        <v>9058</v>
      </c>
      <c r="L1881" s="505" t="s">
        <v>114</v>
      </c>
      <c r="M1881" s="516">
        <v>44.99</v>
      </c>
      <c r="N1881" s="505" t="s">
        <v>114</v>
      </c>
    </row>
    <row r="1882" spans="1:14" x14ac:dyDescent="0.25">
      <c r="A1882" s="505" t="s">
        <v>5031</v>
      </c>
      <c r="B1882" s="505" t="s">
        <v>5032</v>
      </c>
      <c r="C1882" s="512" t="s">
        <v>9019</v>
      </c>
      <c r="D1882" s="512" t="s">
        <v>9031</v>
      </c>
      <c r="E1882" s="512" t="s">
        <v>9059</v>
      </c>
      <c r="F1882" s="512" t="s">
        <v>9022</v>
      </c>
      <c r="G1882" s="512" t="s">
        <v>9060</v>
      </c>
      <c r="L1882" s="505" t="s">
        <v>114</v>
      </c>
      <c r="M1882" s="516">
        <v>16.190000000000001</v>
      </c>
      <c r="N1882" s="505" t="s">
        <v>114</v>
      </c>
    </row>
    <row r="1883" spans="1:14" x14ac:dyDescent="0.25">
      <c r="A1883" s="505" t="s">
        <v>5033</v>
      </c>
      <c r="B1883" s="505" t="s">
        <v>5034</v>
      </c>
      <c r="C1883" s="512" t="s">
        <v>9019</v>
      </c>
      <c r="D1883" s="512" t="s">
        <v>8036</v>
      </c>
      <c r="E1883" s="512" t="s">
        <v>9061</v>
      </c>
      <c r="F1883" s="512" t="s">
        <v>9034</v>
      </c>
      <c r="G1883" s="512" t="s">
        <v>9062</v>
      </c>
      <c r="L1883" s="505" t="s">
        <v>114</v>
      </c>
      <c r="M1883" s="516">
        <v>39.590000000000003</v>
      </c>
      <c r="N1883" s="505" t="s">
        <v>114</v>
      </c>
    </row>
    <row r="1884" spans="1:14" x14ac:dyDescent="0.25">
      <c r="A1884" s="505" t="s">
        <v>5035</v>
      </c>
      <c r="B1884" s="505" t="s">
        <v>5036</v>
      </c>
      <c r="C1884" s="512" t="s">
        <v>9019</v>
      </c>
      <c r="D1884" s="512" t="s">
        <v>7602</v>
      </c>
      <c r="E1884" s="512" t="s">
        <v>9061</v>
      </c>
      <c r="F1884" s="512" t="s">
        <v>9034</v>
      </c>
      <c r="G1884" s="512" t="s">
        <v>9063</v>
      </c>
      <c r="L1884" s="505" t="s">
        <v>114</v>
      </c>
      <c r="M1884" s="516">
        <v>71.989999999999995</v>
      </c>
      <c r="N1884" s="505" t="s">
        <v>114</v>
      </c>
    </row>
    <row r="1885" spans="1:14" x14ac:dyDescent="0.25">
      <c r="A1885" s="505" t="s">
        <v>5037</v>
      </c>
      <c r="B1885" s="505" t="s">
        <v>5038</v>
      </c>
      <c r="C1885" s="512" t="s">
        <v>9019</v>
      </c>
      <c r="D1885" s="512" t="s">
        <v>7581</v>
      </c>
      <c r="E1885" s="512" t="s">
        <v>9061</v>
      </c>
      <c r="F1885" s="512" t="s">
        <v>9034</v>
      </c>
      <c r="G1885" s="512" t="s">
        <v>9064</v>
      </c>
      <c r="L1885" s="505" t="s">
        <v>114</v>
      </c>
      <c r="M1885" s="516">
        <v>92.69</v>
      </c>
      <c r="N1885" s="505" t="s">
        <v>114</v>
      </c>
    </row>
    <row r="1886" spans="1:14" x14ac:dyDescent="0.25">
      <c r="A1886" s="505" t="s">
        <v>5039</v>
      </c>
      <c r="B1886" s="505" t="s">
        <v>5040</v>
      </c>
      <c r="C1886" s="512" t="s">
        <v>9019</v>
      </c>
      <c r="D1886" s="512" t="s">
        <v>7736</v>
      </c>
      <c r="E1886" s="512" t="s">
        <v>9065</v>
      </c>
      <c r="F1886" s="512" t="s">
        <v>9066</v>
      </c>
      <c r="G1886" s="512" t="s">
        <v>9067</v>
      </c>
      <c r="H1886" s="512" t="s">
        <v>9068</v>
      </c>
      <c r="L1886" s="505" t="s">
        <v>114</v>
      </c>
      <c r="M1886" s="516">
        <v>16.190000000000001</v>
      </c>
      <c r="N1886" s="505" t="s">
        <v>114</v>
      </c>
    </row>
    <row r="1887" spans="1:14" x14ac:dyDescent="0.25">
      <c r="A1887" s="505" t="s">
        <v>5041</v>
      </c>
      <c r="B1887" s="505" t="s">
        <v>5042</v>
      </c>
      <c r="C1887" s="512" t="s">
        <v>9019</v>
      </c>
      <c r="D1887" s="512" t="s">
        <v>9069</v>
      </c>
      <c r="E1887" s="512" t="s">
        <v>9065</v>
      </c>
      <c r="F1887" s="512" t="s">
        <v>9070</v>
      </c>
      <c r="G1887" s="512" t="s">
        <v>9071</v>
      </c>
      <c r="H1887" s="512" t="s">
        <v>9072</v>
      </c>
      <c r="L1887" s="505" t="s">
        <v>114</v>
      </c>
      <c r="M1887" s="516">
        <v>17.989999999999998</v>
      </c>
      <c r="N1887" s="505" t="s">
        <v>114</v>
      </c>
    </row>
    <row r="1888" spans="1:14" x14ac:dyDescent="0.25">
      <c r="A1888" s="505" t="s">
        <v>5043</v>
      </c>
      <c r="B1888" s="505" t="s">
        <v>5044</v>
      </c>
      <c r="C1888" s="512" t="s">
        <v>9019</v>
      </c>
      <c r="D1888" s="512" t="s">
        <v>8036</v>
      </c>
      <c r="E1888" s="512" t="s">
        <v>9065</v>
      </c>
      <c r="F1888" s="512" t="s">
        <v>9070</v>
      </c>
      <c r="G1888" s="512" t="s">
        <v>9071</v>
      </c>
      <c r="H1888" s="512" t="s">
        <v>9073</v>
      </c>
      <c r="L1888" s="505" t="s">
        <v>114</v>
      </c>
      <c r="M1888" s="516">
        <v>40.49</v>
      </c>
      <c r="N1888" s="505" t="s">
        <v>114</v>
      </c>
    </row>
    <row r="1889" spans="1:14" x14ac:dyDescent="0.25">
      <c r="A1889" s="505" t="s">
        <v>5045</v>
      </c>
      <c r="B1889" s="505" t="s">
        <v>5046</v>
      </c>
      <c r="C1889" s="512" t="s">
        <v>9019</v>
      </c>
      <c r="D1889" s="512" t="s">
        <v>7735</v>
      </c>
      <c r="E1889" s="512" t="s">
        <v>9074</v>
      </c>
      <c r="F1889" s="512" t="s">
        <v>9075</v>
      </c>
      <c r="G1889" s="512" t="s">
        <v>7507</v>
      </c>
      <c r="H1889" s="512" t="s">
        <v>9076</v>
      </c>
      <c r="L1889" s="505" t="s">
        <v>114</v>
      </c>
      <c r="M1889" s="516">
        <v>11.25</v>
      </c>
      <c r="N1889" s="505" t="s">
        <v>114</v>
      </c>
    </row>
    <row r="1890" spans="1:14" x14ac:dyDescent="0.25">
      <c r="A1890" s="505" t="s">
        <v>5047</v>
      </c>
      <c r="B1890" s="505" t="s">
        <v>5048</v>
      </c>
      <c r="C1890" s="512" t="s">
        <v>9019</v>
      </c>
      <c r="D1890" s="512" t="s">
        <v>8035</v>
      </c>
      <c r="E1890" s="512" t="s">
        <v>9074</v>
      </c>
      <c r="F1890" s="512" t="s">
        <v>9075</v>
      </c>
      <c r="G1890" s="512" t="s">
        <v>7507</v>
      </c>
      <c r="H1890" s="512" t="s">
        <v>9077</v>
      </c>
      <c r="L1890" s="505" t="s">
        <v>114</v>
      </c>
      <c r="M1890" s="516">
        <v>12.75</v>
      </c>
      <c r="N1890" s="505" t="s">
        <v>114</v>
      </c>
    </row>
    <row r="1891" spans="1:14" x14ac:dyDescent="0.25">
      <c r="A1891" s="505" t="s">
        <v>5049</v>
      </c>
      <c r="B1891" s="505" t="s">
        <v>5050</v>
      </c>
      <c r="C1891" s="512" t="s">
        <v>9019</v>
      </c>
      <c r="D1891" s="512" t="s">
        <v>7734</v>
      </c>
      <c r="E1891" s="512" t="s">
        <v>8074</v>
      </c>
      <c r="F1891" s="512" t="s">
        <v>9075</v>
      </c>
      <c r="G1891" s="512" t="s">
        <v>9078</v>
      </c>
      <c r="H1891" s="512" t="s">
        <v>8930</v>
      </c>
      <c r="I1891" s="512" t="s">
        <v>9079</v>
      </c>
      <c r="L1891" s="505" t="s">
        <v>114</v>
      </c>
      <c r="M1891" s="516">
        <v>4.3499999999999996</v>
      </c>
      <c r="N1891" s="505" t="s">
        <v>114</v>
      </c>
    </row>
    <row r="1892" spans="1:14" x14ac:dyDescent="0.25">
      <c r="A1892" s="505" t="s">
        <v>5051</v>
      </c>
      <c r="B1892" s="505" t="s">
        <v>5052</v>
      </c>
      <c r="C1892" s="512" t="s">
        <v>9019</v>
      </c>
      <c r="D1892" s="512" t="s">
        <v>7734</v>
      </c>
      <c r="E1892" s="512" t="s">
        <v>8074</v>
      </c>
      <c r="F1892" s="512" t="s">
        <v>9075</v>
      </c>
      <c r="G1892" s="512" t="s">
        <v>9078</v>
      </c>
      <c r="H1892" s="512" t="s">
        <v>8930</v>
      </c>
      <c r="I1892" s="512" t="s">
        <v>9080</v>
      </c>
      <c r="L1892" s="505" t="s">
        <v>114</v>
      </c>
      <c r="M1892" s="516">
        <v>5.25</v>
      </c>
      <c r="N1892" s="505" t="s">
        <v>114</v>
      </c>
    </row>
    <row r="1893" spans="1:14" x14ac:dyDescent="0.25">
      <c r="A1893" s="505" t="s">
        <v>5053</v>
      </c>
      <c r="B1893" s="505" t="s">
        <v>5054</v>
      </c>
      <c r="C1893" s="512" t="s">
        <v>9019</v>
      </c>
      <c r="D1893" s="512" t="s">
        <v>9081</v>
      </c>
      <c r="E1893" s="512" t="s">
        <v>8074</v>
      </c>
      <c r="F1893" s="512" t="s">
        <v>9078</v>
      </c>
      <c r="G1893" s="512" t="s">
        <v>9075</v>
      </c>
      <c r="H1893" s="512" t="s">
        <v>9082</v>
      </c>
      <c r="L1893" s="505" t="s">
        <v>114</v>
      </c>
      <c r="M1893" s="516">
        <v>4.75</v>
      </c>
      <c r="N1893" s="505" t="s">
        <v>114</v>
      </c>
    </row>
    <row r="1894" spans="1:14" x14ac:dyDescent="0.25">
      <c r="A1894" s="505" t="s">
        <v>5055</v>
      </c>
      <c r="B1894" s="505" t="s">
        <v>5056</v>
      </c>
      <c r="C1894" s="512" t="s">
        <v>9019</v>
      </c>
      <c r="D1894" s="512" t="s">
        <v>8035</v>
      </c>
      <c r="E1894" s="512" t="s">
        <v>8074</v>
      </c>
      <c r="F1894" s="512" t="s">
        <v>9083</v>
      </c>
      <c r="G1894" s="512" t="s">
        <v>9078</v>
      </c>
      <c r="H1894" s="512" t="s">
        <v>9075</v>
      </c>
      <c r="I1894" s="512" t="s">
        <v>9084</v>
      </c>
      <c r="L1894" s="505" t="s">
        <v>114</v>
      </c>
      <c r="M1894" s="516">
        <v>6.75</v>
      </c>
      <c r="N1894" s="505" t="s">
        <v>114</v>
      </c>
    </row>
    <row r="1895" spans="1:14" x14ac:dyDescent="0.25">
      <c r="A1895" s="505" t="s">
        <v>5057</v>
      </c>
      <c r="B1895" s="505" t="s">
        <v>5058</v>
      </c>
      <c r="C1895" s="512" t="s">
        <v>9019</v>
      </c>
      <c r="D1895" s="512" t="s">
        <v>7734</v>
      </c>
      <c r="E1895" s="512" t="s">
        <v>9085</v>
      </c>
      <c r="F1895" s="512" t="s">
        <v>9075</v>
      </c>
      <c r="G1895" s="512" t="s">
        <v>9078</v>
      </c>
      <c r="H1895" s="512" t="s">
        <v>9086</v>
      </c>
      <c r="L1895" s="505" t="s">
        <v>114</v>
      </c>
      <c r="M1895" s="516">
        <v>5.25</v>
      </c>
      <c r="N1895" s="505" t="s">
        <v>114</v>
      </c>
    </row>
    <row r="1896" spans="1:14" x14ac:dyDescent="0.25">
      <c r="A1896" s="505" t="s">
        <v>5059</v>
      </c>
      <c r="B1896" s="505" t="s">
        <v>5060</v>
      </c>
      <c r="C1896" s="512" t="s">
        <v>9019</v>
      </c>
      <c r="D1896" s="512" t="s">
        <v>9081</v>
      </c>
      <c r="E1896" s="512" t="s">
        <v>9087</v>
      </c>
      <c r="F1896" s="512" t="s">
        <v>9078</v>
      </c>
      <c r="G1896" s="512" t="s">
        <v>9075</v>
      </c>
      <c r="H1896" s="512" t="s">
        <v>9088</v>
      </c>
      <c r="L1896" s="505" t="s">
        <v>114</v>
      </c>
      <c r="M1896" s="516">
        <v>4.28</v>
      </c>
      <c r="N1896" s="505" t="s">
        <v>114</v>
      </c>
    </row>
    <row r="1897" spans="1:14" x14ac:dyDescent="0.25">
      <c r="A1897" s="505" t="s">
        <v>5061</v>
      </c>
      <c r="B1897" s="505" t="s">
        <v>5062</v>
      </c>
      <c r="C1897" s="512" t="s">
        <v>9019</v>
      </c>
      <c r="D1897" s="512" t="s">
        <v>8035</v>
      </c>
      <c r="E1897" s="512" t="s">
        <v>9087</v>
      </c>
      <c r="F1897" s="512" t="s">
        <v>9078</v>
      </c>
      <c r="G1897" s="512" t="s">
        <v>9075</v>
      </c>
      <c r="H1897" s="512" t="s">
        <v>9089</v>
      </c>
      <c r="L1897" s="505" t="s">
        <v>114</v>
      </c>
      <c r="M1897" s="516">
        <v>6</v>
      </c>
      <c r="N1897" s="505" t="s">
        <v>114</v>
      </c>
    </row>
    <row r="1898" spans="1:14" x14ac:dyDescent="0.25">
      <c r="A1898" s="505" t="s">
        <v>5063</v>
      </c>
      <c r="B1898" s="505" t="s">
        <v>5064</v>
      </c>
      <c r="C1898" s="512" t="s">
        <v>9019</v>
      </c>
      <c r="D1898" s="512" t="s">
        <v>7734</v>
      </c>
      <c r="E1898" s="512" t="s">
        <v>9090</v>
      </c>
      <c r="F1898" s="512" t="s">
        <v>9075</v>
      </c>
      <c r="G1898" s="512" t="s">
        <v>9091</v>
      </c>
      <c r="H1898" s="512" t="s">
        <v>9092</v>
      </c>
      <c r="L1898" s="505" t="s">
        <v>114</v>
      </c>
      <c r="M1898" s="516">
        <v>4.7300000000000004</v>
      </c>
      <c r="N1898" s="505" t="s">
        <v>114</v>
      </c>
    </row>
    <row r="1899" spans="1:14" x14ac:dyDescent="0.25">
      <c r="A1899" s="505" t="s">
        <v>5065</v>
      </c>
      <c r="B1899" s="505" t="s">
        <v>5066</v>
      </c>
      <c r="C1899" s="512" t="s">
        <v>9019</v>
      </c>
      <c r="D1899" s="512" t="s">
        <v>7734</v>
      </c>
      <c r="E1899" s="512" t="s">
        <v>9093</v>
      </c>
      <c r="F1899" s="512" t="s">
        <v>9075</v>
      </c>
      <c r="G1899" s="512" t="s">
        <v>9091</v>
      </c>
      <c r="H1899" s="512" t="s">
        <v>9094</v>
      </c>
      <c r="L1899" s="505" t="s">
        <v>114</v>
      </c>
      <c r="M1899" s="516">
        <v>4.7300000000000004</v>
      </c>
      <c r="N1899" s="505" t="s">
        <v>114</v>
      </c>
    </row>
    <row r="1900" spans="1:14" x14ac:dyDescent="0.25">
      <c r="A1900" s="505" t="s">
        <v>5067</v>
      </c>
      <c r="B1900" s="505" t="s">
        <v>5068</v>
      </c>
      <c r="C1900" s="512" t="s">
        <v>9019</v>
      </c>
      <c r="D1900" s="512" t="s">
        <v>7734</v>
      </c>
      <c r="E1900" s="512" t="s">
        <v>9095</v>
      </c>
      <c r="F1900" s="512" t="s">
        <v>9075</v>
      </c>
      <c r="G1900" s="512" t="s">
        <v>9091</v>
      </c>
      <c r="H1900" s="512" t="s">
        <v>9096</v>
      </c>
      <c r="L1900" s="505" t="s">
        <v>114</v>
      </c>
      <c r="M1900" s="516">
        <v>4.7300000000000004</v>
      </c>
      <c r="N1900" s="505" t="s">
        <v>114</v>
      </c>
    </row>
    <row r="1901" spans="1:14" x14ac:dyDescent="0.25">
      <c r="A1901" s="505" t="s">
        <v>5069</v>
      </c>
      <c r="B1901" s="505" t="s">
        <v>5070</v>
      </c>
      <c r="C1901" s="512" t="s">
        <v>9019</v>
      </c>
      <c r="D1901" s="512" t="s">
        <v>7734</v>
      </c>
      <c r="E1901" s="512" t="s">
        <v>9097</v>
      </c>
      <c r="F1901" s="512" t="s">
        <v>9075</v>
      </c>
      <c r="G1901" s="512" t="s">
        <v>9098</v>
      </c>
      <c r="H1901" s="512" t="s">
        <v>8930</v>
      </c>
      <c r="I1901" s="512" t="s">
        <v>9099</v>
      </c>
      <c r="L1901" s="505" t="s">
        <v>114</v>
      </c>
      <c r="M1901" s="516">
        <v>4.7300000000000004</v>
      </c>
      <c r="N1901" s="505" t="s">
        <v>114</v>
      </c>
    </row>
    <row r="1902" spans="1:14" x14ac:dyDescent="0.25">
      <c r="A1902" s="505" t="s">
        <v>5071</v>
      </c>
      <c r="B1902" s="505" t="s">
        <v>5072</v>
      </c>
      <c r="C1902" s="512" t="s">
        <v>9019</v>
      </c>
      <c r="D1902" s="512" t="s">
        <v>7734</v>
      </c>
      <c r="E1902" s="512" t="s">
        <v>9100</v>
      </c>
      <c r="F1902" s="512" t="s">
        <v>9075</v>
      </c>
      <c r="G1902" s="512" t="s">
        <v>9091</v>
      </c>
      <c r="H1902" s="512" t="s">
        <v>9101</v>
      </c>
      <c r="L1902" s="505" t="s">
        <v>114</v>
      </c>
      <c r="M1902" s="516">
        <v>4.7300000000000004</v>
      </c>
      <c r="N1902" s="505" t="s">
        <v>114</v>
      </c>
    </row>
    <row r="1903" spans="1:14" x14ac:dyDescent="0.25">
      <c r="A1903" s="505" t="s">
        <v>5073</v>
      </c>
      <c r="B1903" s="505" t="s">
        <v>5074</v>
      </c>
      <c r="C1903" s="512" t="s">
        <v>9019</v>
      </c>
      <c r="D1903" s="512" t="s">
        <v>7734</v>
      </c>
      <c r="E1903" s="512" t="s">
        <v>9102</v>
      </c>
      <c r="F1903" s="512" t="s">
        <v>9075</v>
      </c>
      <c r="G1903" s="512" t="s">
        <v>9091</v>
      </c>
      <c r="H1903" s="512" t="s">
        <v>9103</v>
      </c>
      <c r="L1903" s="505" t="s">
        <v>114</v>
      </c>
      <c r="M1903" s="516">
        <v>4.7300000000000004</v>
      </c>
      <c r="N1903" s="505" t="s">
        <v>114</v>
      </c>
    </row>
    <row r="1904" spans="1:14" x14ac:dyDescent="0.25">
      <c r="A1904" s="505" t="s">
        <v>5075</v>
      </c>
      <c r="B1904" s="505" t="s">
        <v>5076</v>
      </c>
      <c r="C1904" s="512" t="s">
        <v>9019</v>
      </c>
      <c r="D1904" s="512" t="s">
        <v>9104</v>
      </c>
      <c r="E1904" s="512" t="s">
        <v>9105</v>
      </c>
      <c r="F1904" s="512" t="s">
        <v>9106</v>
      </c>
      <c r="G1904" s="512" t="s">
        <v>9107</v>
      </c>
      <c r="L1904" s="505" t="s">
        <v>114</v>
      </c>
      <c r="M1904" s="516">
        <v>5.55</v>
      </c>
      <c r="N1904" s="505" t="s">
        <v>114</v>
      </c>
    </row>
    <row r="1905" spans="1:14" x14ac:dyDescent="0.25">
      <c r="A1905" s="505" t="s">
        <v>5077</v>
      </c>
      <c r="B1905" s="505" t="s">
        <v>5078</v>
      </c>
      <c r="C1905" s="512" t="s">
        <v>9019</v>
      </c>
      <c r="D1905" s="512" t="s">
        <v>9108</v>
      </c>
      <c r="E1905" s="512" t="s">
        <v>9109</v>
      </c>
      <c r="F1905" s="512" t="s">
        <v>9110</v>
      </c>
      <c r="L1905" s="505" t="s">
        <v>114</v>
      </c>
      <c r="M1905" s="516">
        <v>6</v>
      </c>
      <c r="N1905" s="505" t="s">
        <v>114</v>
      </c>
    </row>
    <row r="1906" spans="1:14" x14ac:dyDescent="0.25">
      <c r="A1906" s="505" t="s">
        <v>5079</v>
      </c>
      <c r="B1906" s="505" t="s">
        <v>5080</v>
      </c>
      <c r="C1906" s="512" t="s">
        <v>9019</v>
      </c>
      <c r="D1906" s="512" t="s">
        <v>9111</v>
      </c>
      <c r="E1906" s="512" t="s">
        <v>9105</v>
      </c>
      <c r="F1906" s="512" t="s">
        <v>9106</v>
      </c>
      <c r="G1906" s="512" t="s">
        <v>9112</v>
      </c>
      <c r="L1906" s="505" t="s">
        <v>114</v>
      </c>
      <c r="M1906" s="516">
        <v>6</v>
      </c>
      <c r="N1906" s="505" t="s">
        <v>114</v>
      </c>
    </row>
    <row r="1907" spans="1:14" x14ac:dyDescent="0.25">
      <c r="A1907" s="505" t="s">
        <v>5081</v>
      </c>
      <c r="B1907" s="505" t="s">
        <v>5082</v>
      </c>
      <c r="C1907" s="512" t="s">
        <v>9019</v>
      </c>
      <c r="D1907" s="512" t="s">
        <v>9113</v>
      </c>
      <c r="E1907" s="512" t="s">
        <v>9109</v>
      </c>
      <c r="F1907" s="512" t="s">
        <v>9114</v>
      </c>
      <c r="L1907" s="505" t="s">
        <v>114</v>
      </c>
      <c r="M1907" s="516">
        <v>6.45</v>
      </c>
      <c r="N1907" s="505" t="s">
        <v>114</v>
      </c>
    </row>
    <row r="1908" spans="1:14" x14ac:dyDescent="0.25">
      <c r="A1908" s="505" t="s">
        <v>5083</v>
      </c>
      <c r="B1908" s="505" t="s">
        <v>5084</v>
      </c>
      <c r="C1908" s="512" t="s">
        <v>9019</v>
      </c>
      <c r="D1908" s="512" t="s">
        <v>9115</v>
      </c>
      <c r="E1908" s="512" t="s">
        <v>9105</v>
      </c>
      <c r="F1908" s="512" t="s">
        <v>9106</v>
      </c>
      <c r="G1908" s="512" t="s">
        <v>9116</v>
      </c>
      <c r="L1908" s="505" t="s">
        <v>114</v>
      </c>
      <c r="M1908" s="516">
        <v>6.75</v>
      </c>
      <c r="N1908" s="505" t="s">
        <v>114</v>
      </c>
    </row>
    <row r="1909" spans="1:14" x14ac:dyDescent="0.25">
      <c r="A1909" s="505" t="s">
        <v>5085</v>
      </c>
      <c r="B1909" s="505" t="s">
        <v>5086</v>
      </c>
      <c r="C1909" s="512" t="s">
        <v>9019</v>
      </c>
      <c r="D1909" s="512" t="s">
        <v>7734</v>
      </c>
      <c r="E1909" s="512" t="s">
        <v>8074</v>
      </c>
      <c r="F1909" s="512" t="s">
        <v>9075</v>
      </c>
      <c r="G1909" s="512" t="s">
        <v>9117</v>
      </c>
      <c r="H1909" s="512" t="s">
        <v>9078</v>
      </c>
      <c r="I1909" s="512" t="s">
        <v>9118</v>
      </c>
      <c r="L1909" s="505" t="s">
        <v>114</v>
      </c>
      <c r="M1909" s="516">
        <v>9.75</v>
      </c>
      <c r="N1909" s="505" t="s">
        <v>114</v>
      </c>
    </row>
    <row r="1910" spans="1:14" x14ac:dyDescent="0.25">
      <c r="A1910" s="505" t="s">
        <v>5087</v>
      </c>
      <c r="B1910" s="505" t="s">
        <v>5088</v>
      </c>
      <c r="C1910" s="512" t="s">
        <v>9019</v>
      </c>
      <c r="D1910" s="512" t="s">
        <v>7734</v>
      </c>
      <c r="E1910" s="512" t="s">
        <v>8074</v>
      </c>
      <c r="F1910" s="512" t="s">
        <v>9075</v>
      </c>
      <c r="G1910" s="512" t="s">
        <v>9117</v>
      </c>
      <c r="H1910" s="512" t="s">
        <v>9078</v>
      </c>
      <c r="I1910" s="512" t="s">
        <v>9119</v>
      </c>
      <c r="L1910" s="505" t="s">
        <v>114</v>
      </c>
      <c r="M1910" s="516">
        <v>12.08</v>
      </c>
      <c r="N1910" s="505" t="s">
        <v>114</v>
      </c>
    </row>
    <row r="1911" spans="1:14" x14ac:dyDescent="0.25">
      <c r="A1911" s="505" t="s">
        <v>5089</v>
      </c>
      <c r="B1911" s="505" t="s">
        <v>5090</v>
      </c>
      <c r="C1911" s="512" t="s">
        <v>9019</v>
      </c>
      <c r="D1911" s="512" t="s">
        <v>7734</v>
      </c>
      <c r="E1911" s="512" t="s">
        <v>8074</v>
      </c>
      <c r="F1911" s="512" t="s">
        <v>9075</v>
      </c>
      <c r="G1911" s="512" t="s">
        <v>9117</v>
      </c>
      <c r="H1911" s="512" t="s">
        <v>9078</v>
      </c>
      <c r="I1911" s="512" t="s">
        <v>9120</v>
      </c>
      <c r="L1911" s="505" t="s">
        <v>114</v>
      </c>
      <c r="M1911" s="516">
        <v>17.25</v>
      </c>
      <c r="N1911" s="505" t="s">
        <v>114</v>
      </c>
    </row>
    <row r="1912" spans="1:14" x14ac:dyDescent="0.25">
      <c r="A1912" s="505" t="s">
        <v>5091</v>
      </c>
      <c r="B1912" s="505" t="s">
        <v>5092</v>
      </c>
      <c r="C1912" s="512" t="s">
        <v>9019</v>
      </c>
      <c r="D1912" s="512" t="s">
        <v>7734</v>
      </c>
      <c r="E1912" s="512" t="s">
        <v>9121</v>
      </c>
      <c r="F1912" s="512" t="s">
        <v>9075</v>
      </c>
      <c r="G1912" s="512" t="s">
        <v>9117</v>
      </c>
      <c r="H1912" s="512" t="s">
        <v>9078</v>
      </c>
      <c r="I1912" s="512" t="s">
        <v>9122</v>
      </c>
      <c r="L1912" s="505" t="s">
        <v>114</v>
      </c>
      <c r="M1912" s="516">
        <v>17.25</v>
      </c>
      <c r="N1912" s="505" t="s">
        <v>114</v>
      </c>
    </row>
    <row r="1913" spans="1:14" x14ac:dyDescent="0.25">
      <c r="A1913" s="505" t="s">
        <v>5093</v>
      </c>
      <c r="B1913" s="505" t="s">
        <v>5094</v>
      </c>
      <c r="C1913" s="512" t="s">
        <v>9019</v>
      </c>
      <c r="D1913" s="512" t="s">
        <v>9123</v>
      </c>
      <c r="E1913" s="512" t="s">
        <v>9075</v>
      </c>
      <c r="F1913" s="512" t="s">
        <v>9124</v>
      </c>
      <c r="G1913" s="512" t="s">
        <v>9078</v>
      </c>
      <c r="H1913" s="512" t="s">
        <v>9125</v>
      </c>
      <c r="L1913" s="505" t="s">
        <v>114</v>
      </c>
      <c r="M1913" s="516">
        <v>20.81</v>
      </c>
      <c r="N1913" s="505" t="s">
        <v>114</v>
      </c>
    </row>
    <row r="1914" spans="1:14" x14ac:dyDescent="0.25">
      <c r="A1914" s="505" t="s">
        <v>5095</v>
      </c>
      <c r="B1914" s="505" t="s">
        <v>5096</v>
      </c>
      <c r="C1914" s="512" t="s">
        <v>9019</v>
      </c>
      <c r="D1914" s="512" t="s">
        <v>9126</v>
      </c>
      <c r="E1914" s="512" t="s">
        <v>9127</v>
      </c>
      <c r="F1914" s="512" t="s">
        <v>9075</v>
      </c>
      <c r="G1914" s="512" t="s">
        <v>9106</v>
      </c>
      <c r="H1914" s="512" t="s">
        <v>9128</v>
      </c>
      <c r="L1914" s="505" t="s">
        <v>114</v>
      </c>
      <c r="M1914" s="516">
        <v>33.76</v>
      </c>
      <c r="N1914" s="505" t="s">
        <v>114</v>
      </c>
    </row>
    <row r="1915" spans="1:14" x14ac:dyDescent="0.25">
      <c r="A1915" s="505" t="s">
        <v>5097</v>
      </c>
      <c r="B1915" s="505" t="s">
        <v>5098</v>
      </c>
      <c r="C1915" s="512" t="s">
        <v>9019</v>
      </c>
      <c r="D1915" s="512" t="s">
        <v>9129</v>
      </c>
      <c r="E1915" s="512" t="s">
        <v>9127</v>
      </c>
      <c r="F1915" s="512" t="s">
        <v>9106</v>
      </c>
      <c r="G1915" s="512" t="s">
        <v>9130</v>
      </c>
      <c r="L1915" s="505" t="s">
        <v>114</v>
      </c>
      <c r="M1915" s="516">
        <v>38.840000000000003</v>
      </c>
      <c r="N1915" s="505" t="s">
        <v>114</v>
      </c>
    </row>
    <row r="1916" spans="1:14" x14ac:dyDescent="0.25">
      <c r="A1916" s="505" t="s">
        <v>5099</v>
      </c>
      <c r="B1916" s="505" t="s">
        <v>5100</v>
      </c>
      <c r="C1916" s="512" t="s">
        <v>9019</v>
      </c>
      <c r="D1916" s="515">
        <v>45307</v>
      </c>
      <c r="E1916" s="512" t="s">
        <v>8751</v>
      </c>
      <c r="F1916" s="512" t="s">
        <v>9075</v>
      </c>
      <c r="G1916" s="512" t="s">
        <v>9131</v>
      </c>
      <c r="H1916" s="512" t="s">
        <v>9132</v>
      </c>
      <c r="L1916" s="505" t="s">
        <v>114</v>
      </c>
      <c r="M1916" s="516">
        <v>7.19</v>
      </c>
      <c r="N1916" s="505" t="s">
        <v>114</v>
      </c>
    </row>
    <row r="1917" spans="1:14" x14ac:dyDescent="0.25">
      <c r="A1917" s="505" t="s">
        <v>5101</v>
      </c>
      <c r="B1917" s="505" t="s">
        <v>5102</v>
      </c>
      <c r="C1917" s="512" t="s">
        <v>9019</v>
      </c>
      <c r="D1917" s="512" t="s">
        <v>9133</v>
      </c>
      <c r="E1917" s="512" t="s">
        <v>9134</v>
      </c>
      <c r="F1917" s="512" t="s">
        <v>9075</v>
      </c>
      <c r="G1917" s="512" t="s">
        <v>9135</v>
      </c>
      <c r="L1917" s="505" t="s">
        <v>114</v>
      </c>
      <c r="M1917" s="516">
        <v>7.19</v>
      </c>
      <c r="N1917" s="505" t="s">
        <v>114</v>
      </c>
    </row>
    <row r="1918" spans="1:14" x14ac:dyDescent="0.25">
      <c r="A1918" s="505" t="s">
        <v>5103</v>
      </c>
      <c r="B1918" s="505" t="s">
        <v>5104</v>
      </c>
      <c r="C1918" s="512" t="s">
        <v>9019</v>
      </c>
      <c r="D1918" s="512" t="s">
        <v>9136</v>
      </c>
      <c r="E1918" s="512" t="s">
        <v>8751</v>
      </c>
      <c r="F1918" s="512" t="s">
        <v>9075</v>
      </c>
      <c r="G1918" s="512" t="s">
        <v>9137</v>
      </c>
      <c r="L1918" s="505" t="s">
        <v>114</v>
      </c>
      <c r="M1918" s="516">
        <v>6.2</v>
      </c>
      <c r="N1918" s="505" t="s">
        <v>114</v>
      </c>
    </row>
    <row r="1919" spans="1:14" x14ac:dyDescent="0.25">
      <c r="A1919" s="505" t="s">
        <v>5105</v>
      </c>
      <c r="B1919" s="505" t="s">
        <v>5106</v>
      </c>
      <c r="C1919" s="512" t="s">
        <v>9019</v>
      </c>
      <c r="D1919" s="512" t="s">
        <v>9138</v>
      </c>
      <c r="E1919" s="512" t="s">
        <v>9134</v>
      </c>
      <c r="F1919" s="512" t="s">
        <v>9075</v>
      </c>
      <c r="G1919" s="512" t="s">
        <v>9139</v>
      </c>
      <c r="L1919" s="505" t="s">
        <v>114</v>
      </c>
      <c r="M1919" s="516">
        <v>6.2</v>
      </c>
      <c r="N1919" s="505" t="s">
        <v>114</v>
      </c>
    </row>
    <row r="1920" spans="1:14" x14ac:dyDescent="0.25">
      <c r="A1920" s="505" t="s">
        <v>5107</v>
      </c>
      <c r="B1920" s="505" t="s">
        <v>5108</v>
      </c>
      <c r="C1920" s="512" t="s">
        <v>9019</v>
      </c>
      <c r="D1920" s="512" t="s">
        <v>9140</v>
      </c>
      <c r="E1920" s="512" t="s">
        <v>9134</v>
      </c>
      <c r="F1920" s="512" t="s">
        <v>9075</v>
      </c>
      <c r="G1920" s="512" t="s">
        <v>9141</v>
      </c>
      <c r="L1920" s="505" t="s">
        <v>114</v>
      </c>
      <c r="M1920" s="516">
        <v>7.19</v>
      </c>
      <c r="N1920" s="505" t="s">
        <v>114</v>
      </c>
    </row>
    <row r="1921" spans="1:14" x14ac:dyDescent="0.25">
      <c r="A1921" s="505" t="s">
        <v>5109</v>
      </c>
      <c r="B1921" s="505" t="s">
        <v>5110</v>
      </c>
      <c r="C1921" s="512" t="s">
        <v>9019</v>
      </c>
      <c r="D1921" s="512" t="s">
        <v>9142</v>
      </c>
      <c r="E1921" s="512" t="s">
        <v>9134</v>
      </c>
      <c r="F1921" s="512" t="s">
        <v>9075</v>
      </c>
      <c r="G1921" s="512" t="s">
        <v>9143</v>
      </c>
      <c r="L1921" s="505" t="s">
        <v>114</v>
      </c>
      <c r="M1921" s="516">
        <v>8.27</v>
      </c>
      <c r="N1921" s="505" t="s">
        <v>114</v>
      </c>
    </row>
    <row r="1922" spans="1:14" x14ac:dyDescent="0.25">
      <c r="A1922" s="505" t="s">
        <v>5111</v>
      </c>
      <c r="B1922" s="505" t="s">
        <v>5112</v>
      </c>
      <c r="C1922" s="512" t="s">
        <v>9019</v>
      </c>
      <c r="D1922" s="512" t="s">
        <v>7814</v>
      </c>
      <c r="E1922" s="512" t="s">
        <v>8751</v>
      </c>
      <c r="F1922" s="512" t="s">
        <v>9075</v>
      </c>
      <c r="G1922" s="512" t="s">
        <v>9144</v>
      </c>
      <c r="L1922" s="505" t="s">
        <v>114</v>
      </c>
      <c r="M1922" s="516">
        <v>8.27</v>
      </c>
      <c r="N1922" s="505" t="s">
        <v>114</v>
      </c>
    </row>
    <row r="1923" spans="1:14" x14ac:dyDescent="0.25">
      <c r="A1923" s="505" t="s">
        <v>5113</v>
      </c>
      <c r="B1923" s="505" t="s">
        <v>5114</v>
      </c>
      <c r="C1923" s="512" t="s">
        <v>9019</v>
      </c>
      <c r="D1923" s="512" t="s">
        <v>9145</v>
      </c>
      <c r="E1923" s="512" t="s">
        <v>8751</v>
      </c>
      <c r="F1923" s="512" t="s">
        <v>9075</v>
      </c>
      <c r="G1923" s="512" t="s">
        <v>9146</v>
      </c>
      <c r="L1923" s="505" t="s">
        <v>114</v>
      </c>
      <c r="M1923" s="516">
        <v>10.34</v>
      </c>
      <c r="N1923" s="505" t="s">
        <v>114</v>
      </c>
    </row>
    <row r="1924" spans="1:14" x14ac:dyDescent="0.25">
      <c r="A1924" s="505" t="s">
        <v>5115</v>
      </c>
      <c r="B1924" s="505" t="s">
        <v>5116</v>
      </c>
      <c r="C1924" s="512" t="s">
        <v>9019</v>
      </c>
      <c r="D1924" s="512" t="s">
        <v>7818</v>
      </c>
      <c r="E1924" s="512" t="s">
        <v>9134</v>
      </c>
      <c r="F1924" s="512" t="s">
        <v>9075</v>
      </c>
      <c r="G1924" s="512" t="s">
        <v>9147</v>
      </c>
      <c r="L1924" s="505" t="s">
        <v>114</v>
      </c>
      <c r="M1924" s="516">
        <v>13.49</v>
      </c>
      <c r="N1924" s="505" t="s">
        <v>114</v>
      </c>
    </row>
    <row r="1925" spans="1:14" x14ac:dyDescent="0.25">
      <c r="A1925" s="505" t="s">
        <v>5117</v>
      </c>
      <c r="B1925" s="505" t="s">
        <v>5118</v>
      </c>
      <c r="C1925" s="512" t="s">
        <v>9019</v>
      </c>
      <c r="D1925" s="512" t="s">
        <v>7808</v>
      </c>
      <c r="E1925" s="512" t="s">
        <v>8751</v>
      </c>
      <c r="F1925" s="512" t="s">
        <v>9075</v>
      </c>
      <c r="G1925" s="512" t="s">
        <v>9148</v>
      </c>
      <c r="L1925" s="505" t="s">
        <v>114</v>
      </c>
      <c r="M1925" s="516">
        <v>17.09</v>
      </c>
      <c r="N1925" s="505" t="s">
        <v>114</v>
      </c>
    </row>
    <row r="1926" spans="1:14" x14ac:dyDescent="0.25">
      <c r="A1926" s="505" t="s">
        <v>5119</v>
      </c>
      <c r="B1926" s="505" t="s">
        <v>5120</v>
      </c>
      <c r="C1926" s="512" t="s">
        <v>9019</v>
      </c>
      <c r="D1926" s="512" t="s">
        <v>9149</v>
      </c>
      <c r="E1926" s="512" t="s">
        <v>8751</v>
      </c>
      <c r="F1926" s="512" t="s">
        <v>9075</v>
      </c>
      <c r="G1926" s="512" t="s">
        <v>9106</v>
      </c>
      <c r="H1926" s="512" t="s">
        <v>9150</v>
      </c>
      <c r="L1926" s="505" t="s">
        <v>114</v>
      </c>
      <c r="M1926" s="516">
        <v>38.99</v>
      </c>
      <c r="N1926" s="505" t="s">
        <v>114</v>
      </c>
    </row>
    <row r="1927" spans="1:14" x14ac:dyDescent="0.25">
      <c r="A1927" s="505" t="s">
        <v>5121</v>
      </c>
      <c r="B1927" s="505" t="s">
        <v>5122</v>
      </c>
      <c r="C1927" s="512" t="s">
        <v>9019</v>
      </c>
      <c r="D1927" s="512" t="s">
        <v>9151</v>
      </c>
      <c r="E1927" s="512" t="s">
        <v>9152</v>
      </c>
      <c r="F1927" s="512" t="s">
        <v>9153</v>
      </c>
      <c r="G1927" s="512" t="s">
        <v>9034</v>
      </c>
      <c r="H1927" s="512" t="s">
        <v>9154</v>
      </c>
      <c r="L1927" s="505" t="s">
        <v>114</v>
      </c>
      <c r="M1927" s="516">
        <v>37.79</v>
      </c>
      <c r="N1927" s="505" t="s">
        <v>114</v>
      </c>
    </row>
    <row r="1928" spans="1:14" x14ac:dyDescent="0.25">
      <c r="A1928" s="505" t="s">
        <v>5123</v>
      </c>
      <c r="B1928" s="505" t="s">
        <v>5124</v>
      </c>
      <c r="C1928" s="512" t="s">
        <v>9019</v>
      </c>
      <c r="D1928" s="512" t="s">
        <v>9151</v>
      </c>
      <c r="E1928" s="512" t="s">
        <v>9152</v>
      </c>
      <c r="F1928" s="512" t="s">
        <v>9155</v>
      </c>
      <c r="G1928" s="512" t="s">
        <v>9156</v>
      </c>
      <c r="H1928" s="512" t="s">
        <v>9157</v>
      </c>
      <c r="L1928" s="505" t="s">
        <v>114</v>
      </c>
      <c r="M1928" s="516">
        <v>219.45</v>
      </c>
      <c r="N1928" s="505" t="s">
        <v>114</v>
      </c>
    </row>
    <row r="1929" spans="1:14" x14ac:dyDescent="0.25">
      <c r="A1929" s="505" t="s">
        <v>5125</v>
      </c>
      <c r="B1929" s="505" t="s">
        <v>5126</v>
      </c>
      <c r="C1929" s="512" t="s">
        <v>9019</v>
      </c>
      <c r="D1929" s="512" t="s">
        <v>9158</v>
      </c>
      <c r="E1929" s="512" t="s">
        <v>9159</v>
      </c>
      <c r="F1929" s="512" t="s">
        <v>9160</v>
      </c>
      <c r="G1929" s="512" t="s">
        <v>9161</v>
      </c>
      <c r="L1929" s="505" t="s">
        <v>114</v>
      </c>
      <c r="M1929" s="516">
        <v>17.989999999999998</v>
      </c>
      <c r="N1929" s="505" t="s">
        <v>114</v>
      </c>
    </row>
    <row r="1930" spans="1:14" x14ac:dyDescent="0.25">
      <c r="A1930" s="505" t="s">
        <v>5127</v>
      </c>
      <c r="B1930" s="505" t="s">
        <v>5128</v>
      </c>
      <c r="C1930" s="512" t="s">
        <v>9019</v>
      </c>
      <c r="D1930" s="512" t="s">
        <v>9162</v>
      </c>
      <c r="E1930" s="512" t="s">
        <v>7476</v>
      </c>
      <c r="F1930" s="512" t="s">
        <v>9163</v>
      </c>
      <c r="G1930" s="512" t="s">
        <v>9164</v>
      </c>
      <c r="L1930" s="505" t="s">
        <v>114</v>
      </c>
      <c r="M1930" s="516">
        <v>15.29</v>
      </c>
      <c r="N1930" s="505" t="s">
        <v>114</v>
      </c>
    </row>
    <row r="1931" spans="1:14" x14ac:dyDescent="0.25">
      <c r="A1931" s="505" t="s">
        <v>5129</v>
      </c>
      <c r="B1931" s="505" t="s">
        <v>5130</v>
      </c>
      <c r="C1931" s="512" t="s">
        <v>9019</v>
      </c>
      <c r="D1931" s="512" t="s">
        <v>9165</v>
      </c>
      <c r="E1931" s="512" t="s">
        <v>9166</v>
      </c>
      <c r="F1931" s="512" t="s">
        <v>9167</v>
      </c>
      <c r="G1931" s="512" t="s">
        <v>9168</v>
      </c>
      <c r="H1931" s="512" t="s">
        <v>9169</v>
      </c>
      <c r="L1931" s="505" t="s">
        <v>114</v>
      </c>
      <c r="M1931" s="516">
        <v>26.99</v>
      </c>
      <c r="N1931" s="505" t="s">
        <v>114</v>
      </c>
    </row>
    <row r="1932" spans="1:14" s="518" customFormat="1" x14ac:dyDescent="0.25">
      <c r="A1932" s="518" t="s">
        <v>5131</v>
      </c>
      <c r="B1932" s="518" t="s">
        <v>5132</v>
      </c>
      <c r="C1932" s="519" t="s">
        <v>9170</v>
      </c>
      <c r="D1932" s="519" t="s">
        <v>9171</v>
      </c>
      <c r="E1932" s="519" t="s">
        <v>9172</v>
      </c>
      <c r="F1932" s="519" t="s">
        <v>9173</v>
      </c>
      <c r="G1932" s="519" t="s">
        <v>7436</v>
      </c>
      <c r="H1932" s="519" t="s">
        <v>9174</v>
      </c>
      <c r="I1932" s="519"/>
      <c r="L1932" s="518" t="s">
        <v>4394</v>
      </c>
      <c r="M1932" s="520">
        <v>9.8800000000000008</v>
      </c>
      <c r="N1932" s="518" t="s">
        <v>4394</v>
      </c>
    </row>
    <row r="1933" spans="1:14" x14ac:dyDescent="0.25">
      <c r="A1933" s="505" t="s">
        <v>5133</v>
      </c>
      <c r="B1933" s="505" t="s">
        <v>5134</v>
      </c>
      <c r="C1933" s="512" t="s">
        <v>9175</v>
      </c>
      <c r="D1933" s="512" t="s">
        <v>9176</v>
      </c>
      <c r="E1933" s="512" t="s">
        <v>8098</v>
      </c>
      <c r="F1933" s="512" t="s">
        <v>9177</v>
      </c>
      <c r="G1933" s="512" t="s">
        <v>9178</v>
      </c>
      <c r="H1933" s="512" t="s">
        <v>361</v>
      </c>
      <c r="L1933" s="505" t="s">
        <v>4394</v>
      </c>
      <c r="M1933" s="516">
        <v>10.210000000000001</v>
      </c>
      <c r="N1933" s="505" t="s">
        <v>4394</v>
      </c>
    </row>
    <row r="1934" spans="1:14" x14ac:dyDescent="0.25">
      <c r="A1934" s="505" t="s">
        <v>5135</v>
      </c>
      <c r="B1934" s="505" t="s">
        <v>5136</v>
      </c>
      <c r="C1934" s="512" t="s">
        <v>9175</v>
      </c>
      <c r="D1934" s="512" t="s">
        <v>9176</v>
      </c>
      <c r="E1934" s="512" t="s">
        <v>9179</v>
      </c>
      <c r="F1934" s="512" t="s">
        <v>9180</v>
      </c>
      <c r="G1934" s="512" t="s">
        <v>9181</v>
      </c>
      <c r="H1934" s="512" t="s">
        <v>9182</v>
      </c>
      <c r="L1934" s="505" t="s">
        <v>2854</v>
      </c>
      <c r="M1934" s="516">
        <v>14.38</v>
      </c>
      <c r="N1934" s="505" t="s">
        <v>2854</v>
      </c>
    </row>
    <row r="1935" spans="1:14" x14ac:dyDescent="0.25">
      <c r="A1935" s="505" t="s">
        <v>5137</v>
      </c>
      <c r="B1935" s="505" t="s">
        <v>5138</v>
      </c>
      <c r="C1935" s="512" t="s">
        <v>9175</v>
      </c>
      <c r="D1935" s="512" t="s">
        <v>9176</v>
      </c>
      <c r="E1935" s="512" t="s">
        <v>8098</v>
      </c>
      <c r="F1935" s="512" t="s">
        <v>9183</v>
      </c>
      <c r="G1935" s="512" t="s">
        <v>9184</v>
      </c>
      <c r="H1935" s="512" t="s">
        <v>7426</v>
      </c>
      <c r="L1935" s="505" t="s">
        <v>4394</v>
      </c>
      <c r="M1935" s="516">
        <v>10.210000000000001</v>
      </c>
      <c r="N1935" s="505" t="s">
        <v>4394</v>
      </c>
    </row>
    <row r="1936" spans="1:14" s="530" customFormat="1" x14ac:dyDescent="0.25">
      <c r="A1936" s="530" t="s">
        <v>5139</v>
      </c>
      <c r="B1936" s="530" t="s">
        <v>5140</v>
      </c>
      <c r="C1936" s="531" t="s">
        <v>9175</v>
      </c>
      <c r="D1936" s="531" t="s">
        <v>9176</v>
      </c>
      <c r="E1936" s="531" t="s">
        <v>8098</v>
      </c>
      <c r="F1936" s="531" t="s">
        <v>9183</v>
      </c>
      <c r="G1936" s="531" t="s">
        <v>9185</v>
      </c>
      <c r="H1936" s="531" t="s">
        <v>7960</v>
      </c>
      <c r="I1936" s="531"/>
      <c r="L1936" s="530" t="s">
        <v>4394</v>
      </c>
      <c r="M1936" s="532">
        <v>0</v>
      </c>
      <c r="N1936" s="530" t="s">
        <v>1544</v>
      </c>
    </row>
    <row r="1937" spans="1:14" x14ac:dyDescent="0.25">
      <c r="A1937" s="505" t="s">
        <v>5141</v>
      </c>
      <c r="B1937" s="505" t="s">
        <v>5142</v>
      </c>
      <c r="C1937" s="512" t="s">
        <v>9186</v>
      </c>
      <c r="D1937" s="512" t="s">
        <v>9172</v>
      </c>
      <c r="E1937" s="512" t="s">
        <v>8119</v>
      </c>
      <c r="F1937" s="512" t="s">
        <v>9177</v>
      </c>
      <c r="G1937" s="512" t="s">
        <v>9187</v>
      </c>
      <c r="H1937" s="512" t="s">
        <v>7437</v>
      </c>
      <c r="L1937" s="505" t="s">
        <v>4394</v>
      </c>
      <c r="M1937" s="516">
        <v>10.210000000000001</v>
      </c>
      <c r="N1937" s="505" t="s">
        <v>4394</v>
      </c>
    </row>
    <row r="1938" spans="1:14" x14ac:dyDescent="0.25">
      <c r="A1938" s="505" t="s">
        <v>5143</v>
      </c>
      <c r="B1938" s="505" t="s">
        <v>5144</v>
      </c>
      <c r="C1938" s="512" t="s">
        <v>9175</v>
      </c>
      <c r="D1938" s="512" t="s">
        <v>9176</v>
      </c>
      <c r="E1938" s="512" t="s">
        <v>8098</v>
      </c>
      <c r="F1938" s="512" t="s">
        <v>9177</v>
      </c>
      <c r="G1938" s="512" t="s">
        <v>9188</v>
      </c>
      <c r="H1938" s="512" t="s">
        <v>7557</v>
      </c>
      <c r="L1938" s="505" t="s">
        <v>4394</v>
      </c>
      <c r="M1938" s="516">
        <v>10.210000000000001</v>
      </c>
      <c r="N1938" s="505" t="s">
        <v>4394</v>
      </c>
    </row>
    <row r="1939" spans="1:14" x14ac:dyDescent="0.25">
      <c r="A1939" s="505" t="s">
        <v>5145</v>
      </c>
      <c r="B1939" s="505" t="s">
        <v>5146</v>
      </c>
      <c r="C1939" s="512" t="s">
        <v>9175</v>
      </c>
      <c r="D1939" s="512" t="s">
        <v>9176</v>
      </c>
      <c r="E1939" s="512" t="s">
        <v>8098</v>
      </c>
      <c r="F1939" s="512" t="s">
        <v>9177</v>
      </c>
      <c r="G1939" s="512" t="s">
        <v>9189</v>
      </c>
      <c r="H1939" s="512" t="s">
        <v>7426</v>
      </c>
      <c r="L1939" s="505" t="s">
        <v>4394</v>
      </c>
      <c r="M1939" s="516">
        <v>10.210000000000001</v>
      </c>
      <c r="N1939" s="505" t="s">
        <v>4394</v>
      </c>
    </row>
    <row r="1940" spans="1:14" x14ac:dyDescent="0.25">
      <c r="A1940" s="505" t="s">
        <v>5147</v>
      </c>
      <c r="B1940" s="505" t="s">
        <v>5148</v>
      </c>
      <c r="C1940" s="512" t="s">
        <v>9186</v>
      </c>
      <c r="D1940" s="512" t="s">
        <v>9172</v>
      </c>
      <c r="E1940" s="512" t="s">
        <v>8119</v>
      </c>
      <c r="F1940" s="512">
        <v>9.5</v>
      </c>
      <c r="G1940" s="512" t="s">
        <v>9190</v>
      </c>
      <c r="H1940" s="512" t="s">
        <v>9191</v>
      </c>
      <c r="I1940" s="512" t="s">
        <v>9192</v>
      </c>
      <c r="L1940" s="505" t="s">
        <v>4394</v>
      </c>
      <c r="M1940" s="516">
        <v>10.210000000000001</v>
      </c>
      <c r="N1940" s="505" t="s">
        <v>4394</v>
      </c>
    </row>
    <row r="1941" spans="1:14" s="530" customFormat="1" x14ac:dyDescent="0.25">
      <c r="A1941" s="530" t="s">
        <v>5149</v>
      </c>
      <c r="B1941" s="530" t="s">
        <v>5150</v>
      </c>
      <c r="C1941" s="531" t="s">
        <v>9186</v>
      </c>
      <c r="D1941" s="531" t="s">
        <v>9176</v>
      </c>
      <c r="E1941" s="531" t="s">
        <v>8098</v>
      </c>
      <c r="F1941" s="531" t="s">
        <v>9193</v>
      </c>
      <c r="G1941" s="531" t="s">
        <v>7426</v>
      </c>
      <c r="H1941" s="531" t="s">
        <v>9194</v>
      </c>
      <c r="I1941" s="531"/>
      <c r="L1941" s="530" t="s">
        <v>4394</v>
      </c>
      <c r="M1941" s="532">
        <v>0</v>
      </c>
      <c r="N1941" s="530" t="s">
        <v>1544</v>
      </c>
    </row>
    <row r="1942" spans="1:14" x14ac:dyDescent="0.25">
      <c r="A1942" s="505" t="s">
        <v>5151</v>
      </c>
      <c r="B1942" s="505" t="s">
        <v>5152</v>
      </c>
      <c r="C1942" s="512" t="s">
        <v>9175</v>
      </c>
      <c r="D1942" s="512" t="s">
        <v>9176</v>
      </c>
      <c r="E1942" s="512" t="s">
        <v>8098</v>
      </c>
      <c r="F1942" s="512" t="s">
        <v>9177</v>
      </c>
      <c r="G1942" s="512" t="s">
        <v>9195</v>
      </c>
      <c r="H1942" s="512" t="s">
        <v>7426</v>
      </c>
      <c r="L1942" s="505" t="s">
        <v>4394</v>
      </c>
      <c r="M1942" s="516">
        <v>10.210000000000001</v>
      </c>
      <c r="N1942" s="505" t="s">
        <v>4394</v>
      </c>
    </row>
    <row r="1943" spans="1:14" x14ac:dyDescent="0.25">
      <c r="A1943" s="505" t="s">
        <v>5153</v>
      </c>
      <c r="B1943" s="505" t="s">
        <v>5154</v>
      </c>
      <c r="C1943" s="512" t="s">
        <v>9175</v>
      </c>
      <c r="D1943" s="512" t="s">
        <v>9176</v>
      </c>
      <c r="E1943" s="512" t="s">
        <v>9196</v>
      </c>
      <c r="F1943" s="512" t="s">
        <v>9179</v>
      </c>
      <c r="G1943" s="512" t="s">
        <v>9197</v>
      </c>
      <c r="H1943" s="512" t="s">
        <v>9198</v>
      </c>
      <c r="L1943" s="505" t="s">
        <v>2854</v>
      </c>
      <c r="M1943" s="516">
        <v>17.37</v>
      </c>
      <c r="N1943" s="505" t="s">
        <v>2854</v>
      </c>
    </row>
    <row r="1944" spans="1:14" x14ac:dyDescent="0.25">
      <c r="A1944" s="505" t="s">
        <v>5155</v>
      </c>
      <c r="B1944" s="505" t="s">
        <v>5156</v>
      </c>
      <c r="C1944" s="512" t="s">
        <v>9186</v>
      </c>
      <c r="D1944" s="512" t="s">
        <v>9172</v>
      </c>
      <c r="E1944" s="512" t="s">
        <v>8119</v>
      </c>
      <c r="F1944" s="512" t="s">
        <v>9177</v>
      </c>
      <c r="G1944" s="512" t="s">
        <v>9199</v>
      </c>
      <c r="H1944" s="512" t="s">
        <v>7489</v>
      </c>
      <c r="L1944" s="505" t="s">
        <v>4394</v>
      </c>
      <c r="M1944" s="516">
        <v>10.210000000000001</v>
      </c>
      <c r="N1944" s="505" t="s">
        <v>4394</v>
      </c>
    </row>
    <row r="1945" spans="1:14" x14ac:dyDescent="0.25">
      <c r="A1945" s="505" t="s">
        <v>5157</v>
      </c>
      <c r="B1945" s="505" t="s">
        <v>5158</v>
      </c>
      <c r="C1945" s="512" t="s">
        <v>9186</v>
      </c>
      <c r="D1945" s="512" t="s">
        <v>9172</v>
      </c>
      <c r="E1945" s="512" t="s">
        <v>8119</v>
      </c>
      <c r="F1945" s="512" t="s">
        <v>9177</v>
      </c>
      <c r="G1945" s="512" t="s">
        <v>9200</v>
      </c>
      <c r="H1945" s="512" t="s">
        <v>7489</v>
      </c>
      <c r="L1945" s="505" t="s">
        <v>4394</v>
      </c>
      <c r="M1945" s="516">
        <v>10.210000000000001</v>
      </c>
      <c r="N1945" s="505" t="s">
        <v>4394</v>
      </c>
    </row>
    <row r="1946" spans="1:14" x14ac:dyDescent="0.25">
      <c r="A1946" s="505" t="s">
        <v>5159</v>
      </c>
      <c r="B1946" s="505" t="s">
        <v>5160</v>
      </c>
      <c r="C1946" s="512" t="s">
        <v>9186</v>
      </c>
      <c r="D1946" s="512" t="s">
        <v>9172</v>
      </c>
      <c r="E1946" s="512" t="s">
        <v>8119</v>
      </c>
      <c r="F1946" s="512" t="s">
        <v>9177</v>
      </c>
      <c r="G1946" s="512" t="s">
        <v>9201</v>
      </c>
      <c r="H1946" s="512" t="s">
        <v>7436</v>
      </c>
      <c r="L1946" s="505" t="s">
        <v>4394</v>
      </c>
      <c r="M1946" s="516">
        <v>10.210000000000001</v>
      </c>
      <c r="N1946" s="505" t="s">
        <v>4394</v>
      </c>
    </row>
    <row r="1947" spans="1:14" x14ac:dyDescent="0.25">
      <c r="A1947" s="505" t="s">
        <v>5161</v>
      </c>
      <c r="B1947" s="505" t="s">
        <v>5162</v>
      </c>
      <c r="C1947" s="512" t="s">
        <v>9186</v>
      </c>
      <c r="D1947" s="512" t="s">
        <v>9172</v>
      </c>
      <c r="E1947" s="512" t="s">
        <v>8119</v>
      </c>
      <c r="F1947" s="512" t="s">
        <v>9177</v>
      </c>
      <c r="G1947" s="512" t="s">
        <v>9202</v>
      </c>
      <c r="H1947" s="512" t="s">
        <v>7445</v>
      </c>
      <c r="L1947" s="505" t="s">
        <v>4394</v>
      </c>
      <c r="M1947" s="516">
        <v>10.210000000000001</v>
      </c>
      <c r="N1947" s="505" t="s">
        <v>4394</v>
      </c>
    </row>
    <row r="1948" spans="1:14" s="518" customFormat="1" x14ac:dyDescent="0.25">
      <c r="A1948" s="518" t="s">
        <v>5163</v>
      </c>
      <c r="B1948" s="518" t="s">
        <v>5164</v>
      </c>
      <c r="C1948" s="519" t="s">
        <v>9170</v>
      </c>
      <c r="D1948" s="519" t="s">
        <v>9171</v>
      </c>
      <c r="E1948" s="519" t="s">
        <v>9172</v>
      </c>
      <c r="F1948" s="519" t="s">
        <v>9199</v>
      </c>
      <c r="G1948" s="519" t="s">
        <v>7489</v>
      </c>
      <c r="H1948" s="519" t="s">
        <v>9174</v>
      </c>
      <c r="I1948" s="519"/>
      <c r="L1948" s="518" t="s">
        <v>4394</v>
      </c>
      <c r="M1948" s="520">
        <v>9.8800000000000008</v>
      </c>
      <c r="N1948" s="518" t="s">
        <v>4394</v>
      </c>
    </row>
    <row r="1949" spans="1:14" s="518" customFormat="1" x14ac:dyDescent="0.25">
      <c r="A1949" s="518" t="s">
        <v>5165</v>
      </c>
      <c r="B1949" s="518" t="s">
        <v>5166</v>
      </c>
      <c r="C1949" s="519" t="s">
        <v>9170</v>
      </c>
      <c r="D1949" s="519" t="s">
        <v>9171</v>
      </c>
      <c r="E1949" s="519" t="s">
        <v>9172</v>
      </c>
      <c r="F1949" s="519" t="s">
        <v>9200</v>
      </c>
      <c r="G1949" s="519" t="s">
        <v>7489</v>
      </c>
      <c r="H1949" s="519" t="s">
        <v>9174</v>
      </c>
      <c r="I1949" s="519"/>
      <c r="L1949" s="518" t="s">
        <v>4394</v>
      </c>
      <c r="M1949" s="520">
        <v>9.8800000000000008</v>
      </c>
      <c r="N1949" s="518" t="s">
        <v>4394</v>
      </c>
    </row>
    <row r="1950" spans="1:14" x14ac:dyDescent="0.25">
      <c r="A1950" s="505" t="s">
        <v>5167</v>
      </c>
      <c r="B1950" s="505" t="s">
        <v>5168</v>
      </c>
      <c r="C1950" s="512" t="s">
        <v>9175</v>
      </c>
      <c r="D1950" s="512" t="s">
        <v>9176</v>
      </c>
      <c r="E1950" s="512" t="s">
        <v>8835</v>
      </c>
      <c r="F1950" s="512" t="s">
        <v>7641</v>
      </c>
      <c r="G1950" s="512" t="s">
        <v>9203</v>
      </c>
      <c r="H1950" s="512" t="s">
        <v>9179</v>
      </c>
      <c r="I1950" s="512">
        <v>21.2</v>
      </c>
      <c r="J1950" s="505" t="s">
        <v>9190</v>
      </c>
      <c r="L1950" s="505" t="s">
        <v>2854</v>
      </c>
      <c r="M1950" s="516">
        <v>17.21</v>
      </c>
      <c r="N1950" s="505" t="s">
        <v>2854</v>
      </c>
    </row>
    <row r="1951" spans="1:14" x14ac:dyDescent="0.25">
      <c r="A1951" s="505" t="s">
        <v>5169</v>
      </c>
      <c r="B1951" s="505" t="s">
        <v>5170</v>
      </c>
      <c r="C1951" s="512" t="s">
        <v>9186</v>
      </c>
      <c r="D1951" s="512" t="s">
        <v>9172</v>
      </c>
      <c r="E1951" s="512" t="s">
        <v>8119</v>
      </c>
      <c r="F1951" s="512" t="s">
        <v>9177</v>
      </c>
      <c r="G1951" s="512" t="s">
        <v>9204</v>
      </c>
      <c r="H1951" s="512" t="s">
        <v>7457</v>
      </c>
      <c r="L1951" s="505" t="s">
        <v>4394</v>
      </c>
      <c r="M1951" s="516">
        <v>10.210000000000001</v>
      </c>
      <c r="N1951" s="505" t="s">
        <v>4394</v>
      </c>
    </row>
    <row r="1952" spans="1:14" x14ac:dyDescent="0.25">
      <c r="A1952" s="505" t="s">
        <v>5171</v>
      </c>
      <c r="B1952" s="505" t="s">
        <v>5172</v>
      </c>
      <c r="C1952" s="512" t="s">
        <v>9186</v>
      </c>
      <c r="D1952" s="512" t="s">
        <v>9172</v>
      </c>
      <c r="E1952" s="512" t="s">
        <v>8119</v>
      </c>
      <c r="F1952" s="512" t="s">
        <v>9177</v>
      </c>
      <c r="G1952" s="512" t="s">
        <v>9205</v>
      </c>
      <c r="H1952" s="512" t="s">
        <v>7445</v>
      </c>
      <c r="L1952" s="505" t="s">
        <v>4394</v>
      </c>
      <c r="M1952" s="516">
        <v>10.210000000000001</v>
      </c>
      <c r="N1952" s="505" t="s">
        <v>4394</v>
      </c>
    </row>
    <row r="1953" spans="1:14" x14ac:dyDescent="0.25">
      <c r="A1953" s="505" t="s">
        <v>5173</v>
      </c>
      <c r="B1953" s="505" t="s">
        <v>5174</v>
      </c>
      <c r="C1953" s="512" t="s">
        <v>9186</v>
      </c>
      <c r="D1953" s="512" t="s">
        <v>9172</v>
      </c>
      <c r="E1953" s="512" t="s">
        <v>8119</v>
      </c>
      <c r="F1953" s="512" t="s">
        <v>9177</v>
      </c>
      <c r="G1953" s="512" t="s">
        <v>8618</v>
      </c>
      <c r="H1953" s="512" t="s">
        <v>7445</v>
      </c>
      <c r="L1953" s="505" t="s">
        <v>4394</v>
      </c>
      <c r="M1953" s="516">
        <v>10.210000000000001</v>
      </c>
      <c r="N1953" s="505" t="s">
        <v>4394</v>
      </c>
    </row>
    <row r="1954" spans="1:14" x14ac:dyDescent="0.25">
      <c r="A1954" s="505" t="s">
        <v>5175</v>
      </c>
      <c r="B1954" s="505" t="s">
        <v>5176</v>
      </c>
      <c r="C1954" s="512" t="s">
        <v>9186</v>
      </c>
      <c r="D1954" s="512" t="s">
        <v>9172</v>
      </c>
      <c r="E1954" s="512" t="s">
        <v>8119</v>
      </c>
      <c r="F1954" s="512" t="s">
        <v>9177</v>
      </c>
      <c r="G1954" s="512" t="s">
        <v>9206</v>
      </c>
      <c r="H1954" s="512" t="s">
        <v>7452</v>
      </c>
      <c r="L1954" s="505" t="s">
        <v>4394</v>
      </c>
      <c r="M1954" s="516">
        <v>10.210000000000001</v>
      </c>
      <c r="N1954" s="505" t="s">
        <v>4394</v>
      </c>
    </row>
    <row r="1955" spans="1:14" x14ac:dyDescent="0.25">
      <c r="A1955" s="505" t="s">
        <v>5177</v>
      </c>
      <c r="B1955" s="505" t="s">
        <v>5178</v>
      </c>
      <c r="C1955" s="512" t="s">
        <v>9186</v>
      </c>
      <c r="D1955" s="512" t="s">
        <v>9172</v>
      </c>
      <c r="E1955" s="512" t="s">
        <v>8119</v>
      </c>
      <c r="F1955" s="512" t="s">
        <v>9177</v>
      </c>
      <c r="G1955" s="512" t="s">
        <v>9207</v>
      </c>
      <c r="H1955" s="512" t="s">
        <v>7452</v>
      </c>
      <c r="L1955" s="505" t="s">
        <v>4394</v>
      </c>
      <c r="M1955" s="516">
        <v>10.210000000000001</v>
      </c>
      <c r="N1955" s="505" t="s">
        <v>4394</v>
      </c>
    </row>
    <row r="1956" spans="1:14" x14ac:dyDescent="0.25">
      <c r="A1956" s="505" t="s">
        <v>5179</v>
      </c>
      <c r="B1956" s="505" t="s">
        <v>5180</v>
      </c>
      <c r="C1956" s="512" t="s">
        <v>9186</v>
      </c>
      <c r="D1956" s="512" t="s">
        <v>9172</v>
      </c>
      <c r="E1956" s="512" t="s">
        <v>8119</v>
      </c>
      <c r="F1956" s="512" t="s">
        <v>9177</v>
      </c>
      <c r="G1956" s="512" t="s">
        <v>9208</v>
      </c>
      <c r="H1956" s="512" t="s">
        <v>7452</v>
      </c>
      <c r="L1956" s="505" t="s">
        <v>4394</v>
      </c>
      <c r="M1956" s="516">
        <v>10.210000000000001</v>
      </c>
      <c r="N1956" s="505" t="s">
        <v>4394</v>
      </c>
    </row>
    <row r="1957" spans="1:14" x14ac:dyDescent="0.25">
      <c r="A1957" s="505" t="s">
        <v>5181</v>
      </c>
      <c r="B1957" s="505" t="s">
        <v>5182</v>
      </c>
      <c r="C1957" s="512" t="s">
        <v>9175</v>
      </c>
      <c r="D1957" s="512" t="s">
        <v>9176</v>
      </c>
      <c r="E1957" s="512" t="s">
        <v>8098</v>
      </c>
      <c r="F1957" s="512" t="s">
        <v>9177</v>
      </c>
      <c r="G1957" s="512" t="s">
        <v>9209</v>
      </c>
      <c r="H1957" s="512" t="s">
        <v>9210</v>
      </c>
      <c r="L1957" s="505" t="s">
        <v>4394</v>
      </c>
      <c r="M1957" s="516">
        <v>10.210000000000001</v>
      </c>
      <c r="N1957" s="505" t="s">
        <v>4394</v>
      </c>
    </row>
    <row r="1958" spans="1:14" x14ac:dyDescent="0.25">
      <c r="A1958" s="505" t="s">
        <v>5183</v>
      </c>
      <c r="B1958" s="505" t="s">
        <v>5184</v>
      </c>
      <c r="C1958" s="512" t="s">
        <v>9186</v>
      </c>
      <c r="D1958" s="512" t="s">
        <v>9172</v>
      </c>
      <c r="E1958" s="512" t="s">
        <v>8119</v>
      </c>
      <c r="F1958" s="512" t="s">
        <v>9177</v>
      </c>
      <c r="G1958" s="512" t="s">
        <v>9211</v>
      </c>
      <c r="H1958" s="512" t="s">
        <v>7489</v>
      </c>
      <c r="L1958" s="505" t="s">
        <v>4394</v>
      </c>
      <c r="M1958" s="516">
        <v>10.210000000000001</v>
      </c>
      <c r="N1958" s="505" t="s">
        <v>4394</v>
      </c>
    </row>
    <row r="1959" spans="1:14" x14ac:dyDescent="0.25">
      <c r="A1959" s="505" t="s">
        <v>5185</v>
      </c>
      <c r="B1959" s="505" t="s">
        <v>5186</v>
      </c>
      <c r="C1959" s="512" t="s">
        <v>9186</v>
      </c>
      <c r="D1959" s="512" t="s">
        <v>9172</v>
      </c>
      <c r="E1959" s="512" t="s">
        <v>8119</v>
      </c>
      <c r="F1959" s="512" t="s">
        <v>9177</v>
      </c>
      <c r="G1959" s="512" t="s">
        <v>9212</v>
      </c>
      <c r="H1959" s="512" t="s">
        <v>7489</v>
      </c>
      <c r="L1959" s="505" t="s">
        <v>4394</v>
      </c>
      <c r="M1959" s="516">
        <v>10.210000000000001</v>
      </c>
      <c r="N1959" s="505" t="s">
        <v>4394</v>
      </c>
    </row>
    <row r="1960" spans="1:14" x14ac:dyDescent="0.25">
      <c r="A1960" s="505" t="s">
        <v>5187</v>
      </c>
      <c r="B1960" s="505" t="s">
        <v>5188</v>
      </c>
      <c r="C1960" s="512" t="s">
        <v>9175</v>
      </c>
      <c r="D1960" s="512" t="s">
        <v>9176</v>
      </c>
      <c r="E1960" s="512" t="s">
        <v>8098</v>
      </c>
      <c r="F1960" s="512" t="s">
        <v>9177</v>
      </c>
      <c r="G1960" s="512" t="s">
        <v>9213</v>
      </c>
      <c r="H1960" s="512" t="s">
        <v>7426</v>
      </c>
      <c r="L1960" s="505" t="s">
        <v>4394</v>
      </c>
      <c r="M1960" s="516">
        <v>10.210000000000001</v>
      </c>
      <c r="N1960" s="505" t="s">
        <v>4394</v>
      </c>
    </row>
    <row r="1961" spans="1:14" x14ac:dyDescent="0.25">
      <c r="A1961" s="505" t="s">
        <v>5189</v>
      </c>
      <c r="B1961" s="505" t="s">
        <v>5190</v>
      </c>
      <c r="C1961" s="512" t="s">
        <v>9186</v>
      </c>
      <c r="D1961" s="512" t="s">
        <v>9172</v>
      </c>
      <c r="E1961" s="512" t="s">
        <v>8119</v>
      </c>
      <c r="F1961" s="512" t="s">
        <v>9177</v>
      </c>
      <c r="G1961" s="512" t="s">
        <v>9214</v>
      </c>
      <c r="H1961" s="512" t="s">
        <v>7489</v>
      </c>
      <c r="L1961" s="505" t="s">
        <v>4394</v>
      </c>
      <c r="M1961" s="516">
        <v>10.210000000000001</v>
      </c>
      <c r="N1961" s="505" t="s">
        <v>4394</v>
      </c>
    </row>
    <row r="1962" spans="1:14" x14ac:dyDescent="0.25">
      <c r="A1962" s="505" t="s">
        <v>5191</v>
      </c>
      <c r="B1962" s="505" t="s">
        <v>5192</v>
      </c>
      <c r="C1962" s="512" t="s">
        <v>9186</v>
      </c>
      <c r="D1962" s="512" t="s">
        <v>9172</v>
      </c>
      <c r="E1962" s="512" t="s">
        <v>8119</v>
      </c>
      <c r="F1962" s="512" t="s">
        <v>9177</v>
      </c>
      <c r="G1962" s="512" t="s">
        <v>9215</v>
      </c>
      <c r="H1962" s="512" t="s">
        <v>7489</v>
      </c>
      <c r="L1962" s="505" t="s">
        <v>4394</v>
      </c>
      <c r="M1962" s="516">
        <v>10.210000000000001</v>
      </c>
      <c r="N1962" s="505" t="s">
        <v>4394</v>
      </c>
    </row>
    <row r="1963" spans="1:14" x14ac:dyDescent="0.25">
      <c r="A1963" s="505" t="s">
        <v>5193</v>
      </c>
      <c r="B1963" s="505" t="s">
        <v>5194</v>
      </c>
      <c r="C1963" s="512" t="s">
        <v>9175</v>
      </c>
      <c r="D1963" s="512" t="s">
        <v>9176</v>
      </c>
      <c r="E1963" s="512" t="s">
        <v>8098</v>
      </c>
      <c r="F1963" s="512" t="s">
        <v>9177</v>
      </c>
      <c r="G1963" s="512" t="s">
        <v>9216</v>
      </c>
      <c r="H1963" s="512" t="s">
        <v>7426</v>
      </c>
      <c r="L1963" s="505" t="s">
        <v>4394</v>
      </c>
      <c r="M1963" s="516">
        <v>10.210000000000001</v>
      </c>
      <c r="N1963" s="505" t="s">
        <v>4394</v>
      </c>
    </row>
    <row r="1964" spans="1:14" x14ac:dyDescent="0.25">
      <c r="A1964" s="505" t="s">
        <v>5195</v>
      </c>
      <c r="B1964" s="505" t="s">
        <v>5196</v>
      </c>
      <c r="C1964" s="512" t="s">
        <v>9186</v>
      </c>
      <c r="D1964" s="512" t="s">
        <v>9172</v>
      </c>
      <c r="E1964" s="512" t="s">
        <v>8119</v>
      </c>
      <c r="F1964" s="512" t="s">
        <v>9177</v>
      </c>
      <c r="G1964" s="512" t="s">
        <v>9217</v>
      </c>
      <c r="H1964" s="512" t="s">
        <v>7489</v>
      </c>
      <c r="L1964" s="505" t="s">
        <v>4394</v>
      </c>
      <c r="M1964" s="516">
        <v>10.210000000000001</v>
      </c>
      <c r="N1964" s="505" t="s">
        <v>4394</v>
      </c>
    </row>
    <row r="1965" spans="1:14" x14ac:dyDescent="0.25">
      <c r="A1965" s="505" t="s">
        <v>5197</v>
      </c>
      <c r="B1965" s="505" t="s">
        <v>5198</v>
      </c>
      <c r="C1965" s="512" t="s">
        <v>9186</v>
      </c>
      <c r="D1965" s="512" t="s">
        <v>9172</v>
      </c>
      <c r="E1965" s="512" t="s">
        <v>8119</v>
      </c>
      <c r="F1965" s="512" t="s">
        <v>9177</v>
      </c>
      <c r="G1965" s="512" t="s">
        <v>9218</v>
      </c>
      <c r="H1965" s="512" t="s">
        <v>7878</v>
      </c>
      <c r="L1965" s="505" t="s">
        <v>4394</v>
      </c>
      <c r="M1965" s="516">
        <v>10.210000000000001</v>
      </c>
      <c r="N1965" s="505" t="s">
        <v>4394</v>
      </c>
    </row>
    <row r="1966" spans="1:14" x14ac:dyDescent="0.25">
      <c r="A1966" s="505" t="s">
        <v>5199</v>
      </c>
      <c r="B1966" s="505" t="s">
        <v>5200</v>
      </c>
      <c r="C1966" s="512" t="s">
        <v>9186</v>
      </c>
      <c r="D1966" s="512" t="s">
        <v>9172</v>
      </c>
      <c r="E1966" s="512" t="s">
        <v>8119</v>
      </c>
      <c r="F1966" s="512" t="s">
        <v>9177</v>
      </c>
      <c r="G1966" s="512" t="s">
        <v>9219</v>
      </c>
      <c r="H1966" s="512" t="s">
        <v>7878</v>
      </c>
      <c r="L1966" s="505" t="s">
        <v>4394</v>
      </c>
      <c r="M1966" s="516">
        <v>10.210000000000001</v>
      </c>
      <c r="N1966" s="505" t="s">
        <v>4394</v>
      </c>
    </row>
    <row r="1967" spans="1:14" x14ac:dyDescent="0.25">
      <c r="A1967" s="505" t="s">
        <v>5201</v>
      </c>
      <c r="B1967" s="505" t="s">
        <v>5202</v>
      </c>
      <c r="C1967" s="512" t="s">
        <v>9186</v>
      </c>
      <c r="D1967" s="512" t="s">
        <v>9172</v>
      </c>
      <c r="E1967" s="512" t="s">
        <v>8119</v>
      </c>
      <c r="F1967" s="512" t="s">
        <v>9177</v>
      </c>
      <c r="G1967" s="512" t="s">
        <v>9220</v>
      </c>
      <c r="H1967" s="512" t="s">
        <v>7878</v>
      </c>
      <c r="L1967" s="505" t="s">
        <v>4394</v>
      </c>
      <c r="M1967" s="516">
        <v>10.210000000000001</v>
      </c>
      <c r="N1967" s="505" t="s">
        <v>4394</v>
      </c>
    </row>
    <row r="1968" spans="1:14" x14ac:dyDescent="0.25">
      <c r="A1968" s="505" t="s">
        <v>5203</v>
      </c>
      <c r="B1968" s="505" t="s">
        <v>5204</v>
      </c>
      <c r="C1968" s="512" t="s">
        <v>9186</v>
      </c>
      <c r="D1968" s="512" t="s">
        <v>9172</v>
      </c>
      <c r="E1968" s="512" t="s">
        <v>8119</v>
      </c>
      <c r="F1968" s="512" t="s">
        <v>9177</v>
      </c>
      <c r="G1968" s="512" t="s">
        <v>9221</v>
      </c>
      <c r="H1968" s="512" t="s">
        <v>7878</v>
      </c>
      <c r="L1968" s="505" t="s">
        <v>4394</v>
      </c>
      <c r="M1968" s="516">
        <v>10.210000000000001</v>
      </c>
      <c r="N1968" s="505" t="s">
        <v>4394</v>
      </c>
    </row>
    <row r="1969" spans="1:14" x14ac:dyDescent="0.25">
      <c r="A1969" s="505" t="s">
        <v>5205</v>
      </c>
      <c r="B1969" s="505" t="s">
        <v>5206</v>
      </c>
      <c r="C1969" s="512" t="s">
        <v>9186</v>
      </c>
      <c r="D1969" s="512" t="s">
        <v>9172</v>
      </c>
      <c r="E1969" s="512" t="s">
        <v>8119</v>
      </c>
      <c r="F1969" s="512" t="s">
        <v>9177</v>
      </c>
      <c r="G1969" s="512" t="s">
        <v>9222</v>
      </c>
      <c r="H1969" s="512" t="s">
        <v>7878</v>
      </c>
      <c r="L1969" s="505" t="s">
        <v>4394</v>
      </c>
      <c r="M1969" s="516">
        <v>10.210000000000001</v>
      </c>
      <c r="N1969" s="505" t="s">
        <v>4394</v>
      </c>
    </row>
    <row r="1970" spans="1:14" x14ac:dyDescent="0.25">
      <c r="A1970" s="505" t="s">
        <v>5207</v>
      </c>
      <c r="B1970" s="505" t="s">
        <v>5208</v>
      </c>
      <c r="C1970" s="512" t="s">
        <v>9186</v>
      </c>
      <c r="D1970" s="512" t="s">
        <v>9172</v>
      </c>
      <c r="E1970" s="512" t="s">
        <v>8119</v>
      </c>
      <c r="F1970" s="512" t="s">
        <v>9177</v>
      </c>
      <c r="G1970" s="512" t="s">
        <v>9223</v>
      </c>
      <c r="H1970" s="512" t="s">
        <v>7881</v>
      </c>
      <c r="L1970" s="505" t="s">
        <v>4394</v>
      </c>
      <c r="M1970" s="516">
        <v>10.210000000000001</v>
      </c>
      <c r="N1970" s="505" t="s">
        <v>4394</v>
      </c>
    </row>
    <row r="1971" spans="1:14" x14ac:dyDescent="0.25">
      <c r="A1971" s="505" t="s">
        <v>5209</v>
      </c>
      <c r="B1971" s="505" t="s">
        <v>5210</v>
      </c>
      <c r="C1971" s="512" t="s">
        <v>9186</v>
      </c>
      <c r="D1971" s="512" t="s">
        <v>9172</v>
      </c>
      <c r="E1971" s="512" t="s">
        <v>8119</v>
      </c>
      <c r="F1971" s="512" t="s">
        <v>9177</v>
      </c>
      <c r="G1971" s="512" t="s">
        <v>9224</v>
      </c>
      <c r="H1971" s="512" t="s">
        <v>7436</v>
      </c>
      <c r="L1971" s="505" t="s">
        <v>4394</v>
      </c>
      <c r="M1971" s="516">
        <v>10.210000000000001</v>
      </c>
      <c r="N1971" s="505" t="s">
        <v>4394</v>
      </c>
    </row>
    <row r="1972" spans="1:14" x14ac:dyDescent="0.25">
      <c r="A1972" s="505" t="s">
        <v>5211</v>
      </c>
      <c r="B1972" s="505" t="s">
        <v>5212</v>
      </c>
      <c r="C1972" s="512" t="s">
        <v>9186</v>
      </c>
      <c r="D1972" s="512" t="s">
        <v>9172</v>
      </c>
      <c r="E1972" s="512" t="s">
        <v>8119</v>
      </c>
      <c r="F1972" s="512" t="s">
        <v>9177</v>
      </c>
      <c r="G1972" s="512" t="s">
        <v>9225</v>
      </c>
      <c r="H1972" s="512" t="s">
        <v>7436</v>
      </c>
      <c r="L1972" s="505" t="s">
        <v>4394</v>
      </c>
      <c r="M1972" s="516">
        <v>10.210000000000001</v>
      </c>
      <c r="N1972" s="505" t="s">
        <v>4394</v>
      </c>
    </row>
    <row r="1973" spans="1:14" x14ac:dyDescent="0.25">
      <c r="A1973" s="505" t="s">
        <v>5213</v>
      </c>
      <c r="B1973" s="505" t="s">
        <v>5214</v>
      </c>
      <c r="C1973" s="512" t="s">
        <v>9186</v>
      </c>
      <c r="D1973" s="512" t="s">
        <v>9172</v>
      </c>
      <c r="E1973" s="512" t="s">
        <v>8119</v>
      </c>
      <c r="F1973" s="512" t="s">
        <v>9177</v>
      </c>
      <c r="G1973" s="512" t="s">
        <v>9226</v>
      </c>
      <c r="H1973" s="512" t="s">
        <v>7436</v>
      </c>
      <c r="L1973" s="505" t="s">
        <v>4394</v>
      </c>
      <c r="M1973" s="516">
        <v>10.210000000000001</v>
      </c>
      <c r="N1973" s="505" t="s">
        <v>4394</v>
      </c>
    </row>
    <row r="1974" spans="1:14" x14ac:dyDescent="0.25">
      <c r="A1974" s="505" t="s">
        <v>5215</v>
      </c>
      <c r="B1974" s="505" t="s">
        <v>5216</v>
      </c>
      <c r="C1974" s="512" t="s">
        <v>9186</v>
      </c>
      <c r="D1974" s="512" t="s">
        <v>9172</v>
      </c>
      <c r="E1974" s="512" t="s">
        <v>8119</v>
      </c>
      <c r="F1974" s="512" t="s">
        <v>9177</v>
      </c>
      <c r="G1974" s="512" t="s">
        <v>9227</v>
      </c>
      <c r="H1974" s="512" t="s">
        <v>7436</v>
      </c>
      <c r="L1974" s="505" t="s">
        <v>4394</v>
      </c>
      <c r="M1974" s="516">
        <v>10.210000000000001</v>
      </c>
      <c r="N1974" s="505" t="s">
        <v>4394</v>
      </c>
    </row>
    <row r="1975" spans="1:14" x14ac:dyDescent="0.25">
      <c r="A1975" s="505" t="s">
        <v>5217</v>
      </c>
      <c r="B1975" s="505" t="s">
        <v>5218</v>
      </c>
      <c r="C1975" s="512" t="s">
        <v>9186</v>
      </c>
      <c r="D1975" s="512" t="s">
        <v>9172</v>
      </c>
      <c r="E1975" s="512" t="s">
        <v>8119</v>
      </c>
      <c r="F1975" s="512" t="s">
        <v>9177</v>
      </c>
      <c r="G1975" s="512" t="s">
        <v>9228</v>
      </c>
      <c r="H1975" s="512" t="s">
        <v>7436</v>
      </c>
      <c r="L1975" s="505" t="s">
        <v>4394</v>
      </c>
      <c r="M1975" s="516">
        <v>10.210000000000001</v>
      </c>
      <c r="N1975" s="505" t="s">
        <v>4394</v>
      </c>
    </row>
    <row r="1976" spans="1:14" s="530" customFormat="1" x14ac:dyDescent="0.25">
      <c r="A1976" s="530" t="s">
        <v>5219</v>
      </c>
      <c r="B1976" s="530" t="s">
        <v>5220</v>
      </c>
      <c r="C1976" s="531" t="s">
        <v>9175</v>
      </c>
      <c r="D1976" s="531" t="s">
        <v>9176</v>
      </c>
      <c r="E1976" s="531" t="s">
        <v>8098</v>
      </c>
      <c r="F1976" s="531" t="s">
        <v>9177</v>
      </c>
      <c r="G1976" s="531" t="s">
        <v>9229</v>
      </c>
      <c r="H1976" s="531" t="s">
        <v>361</v>
      </c>
      <c r="I1976" s="531"/>
      <c r="L1976" s="530" t="s">
        <v>4394</v>
      </c>
      <c r="M1976" s="532">
        <v>0</v>
      </c>
      <c r="N1976" s="530" t="s">
        <v>1544</v>
      </c>
    </row>
    <row r="1977" spans="1:14" x14ac:dyDescent="0.25">
      <c r="A1977" s="505" t="s">
        <v>5221</v>
      </c>
      <c r="B1977" s="505" t="s">
        <v>5222</v>
      </c>
      <c r="C1977" s="512" t="s">
        <v>9175</v>
      </c>
      <c r="D1977" s="512" t="s">
        <v>9176</v>
      </c>
      <c r="E1977" s="512" t="s">
        <v>8098</v>
      </c>
      <c r="F1977" s="512" t="s">
        <v>9177</v>
      </c>
      <c r="G1977" s="512" t="s">
        <v>9230</v>
      </c>
      <c r="H1977" s="512" t="s">
        <v>361</v>
      </c>
      <c r="L1977" s="505" t="s">
        <v>4394</v>
      </c>
      <c r="M1977" s="516">
        <v>10.210000000000001</v>
      </c>
      <c r="N1977" s="505" t="s">
        <v>4394</v>
      </c>
    </row>
    <row r="1978" spans="1:14" x14ac:dyDescent="0.25">
      <c r="A1978" s="505" t="s">
        <v>5223</v>
      </c>
      <c r="B1978" s="505" t="s">
        <v>5224</v>
      </c>
      <c r="C1978" s="512" t="s">
        <v>9175</v>
      </c>
      <c r="D1978" s="512" t="s">
        <v>9176</v>
      </c>
      <c r="E1978" s="512" t="s">
        <v>8098</v>
      </c>
      <c r="F1978" s="512" t="s">
        <v>9177</v>
      </c>
      <c r="G1978" s="512" t="s">
        <v>9231</v>
      </c>
      <c r="H1978" s="512" t="s">
        <v>361</v>
      </c>
      <c r="L1978" s="505" t="s">
        <v>4394</v>
      </c>
      <c r="M1978" s="516">
        <v>10.210000000000001</v>
      </c>
      <c r="N1978" s="505" t="s">
        <v>4394</v>
      </c>
    </row>
    <row r="1979" spans="1:14" s="530" customFormat="1" x14ac:dyDescent="0.25">
      <c r="A1979" s="530" t="s">
        <v>5225</v>
      </c>
      <c r="B1979" s="530" t="s">
        <v>5226</v>
      </c>
      <c r="C1979" s="531" t="s">
        <v>9175</v>
      </c>
      <c r="D1979" s="531" t="s">
        <v>9176</v>
      </c>
      <c r="E1979" s="531" t="s">
        <v>8098</v>
      </c>
      <c r="F1979" s="531" t="s">
        <v>9177</v>
      </c>
      <c r="G1979" s="531" t="s">
        <v>9232</v>
      </c>
      <c r="H1979" s="531"/>
      <c r="I1979" s="531"/>
      <c r="L1979" s="530" t="s">
        <v>4394</v>
      </c>
      <c r="M1979" s="532">
        <v>0</v>
      </c>
      <c r="N1979" s="530" t="s">
        <v>1544</v>
      </c>
    </row>
    <row r="1980" spans="1:14" x14ac:dyDescent="0.25">
      <c r="A1980" s="505" t="s">
        <v>5227</v>
      </c>
      <c r="B1980" s="505" t="s">
        <v>5228</v>
      </c>
      <c r="C1980" s="512" t="s">
        <v>9175</v>
      </c>
      <c r="D1980" s="512" t="s">
        <v>9176</v>
      </c>
      <c r="E1980" s="512" t="s">
        <v>8098</v>
      </c>
      <c r="F1980" s="512" t="s">
        <v>9177</v>
      </c>
      <c r="G1980" s="512" t="s">
        <v>8101</v>
      </c>
      <c r="H1980" s="512" t="s">
        <v>8339</v>
      </c>
      <c r="L1980" s="505" t="s">
        <v>4394</v>
      </c>
      <c r="M1980" s="516">
        <v>10.210000000000001</v>
      </c>
      <c r="N1980" s="505" t="s">
        <v>4394</v>
      </c>
    </row>
    <row r="1981" spans="1:14" x14ac:dyDescent="0.25">
      <c r="A1981" s="505" t="s">
        <v>5229</v>
      </c>
      <c r="B1981" s="505" t="s">
        <v>5230</v>
      </c>
      <c r="C1981" s="512" t="s">
        <v>9186</v>
      </c>
      <c r="D1981" s="512" t="s">
        <v>9172</v>
      </c>
      <c r="E1981" s="512" t="s">
        <v>8119</v>
      </c>
      <c r="F1981" s="512" t="s">
        <v>9177</v>
      </c>
      <c r="G1981" s="512" t="s">
        <v>9233</v>
      </c>
      <c r="H1981" s="512" t="s">
        <v>7549</v>
      </c>
      <c r="I1981" s="512" t="s">
        <v>9234</v>
      </c>
      <c r="J1981" s="505" t="s">
        <v>7986</v>
      </c>
      <c r="L1981" s="505" t="s">
        <v>4394</v>
      </c>
      <c r="M1981" s="516">
        <v>10.210000000000001</v>
      </c>
      <c r="N1981" s="505" t="s">
        <v>4394</v>
      </c>
    </row>
    <row r="1982" spans="1:14" x14ac:dyDescent="0.25">
      <c r="A1982" s="505" t="s">
        <v>5231</v>
      </c>
      <c r="B1982" s="505" t="s">
        <v>5232</v>
      </c>
      <c r="C1982" s="512" t="s">
        <v>9186</v>
      </c>
      <c r="D1982" s="512" t="s">
        <v>9172</v>
      </c>
      <c r="E1982" s="512" t="s">
        <v>8119</v>
      </c>
      <c r="F1982" s="512" t="s">
        <v>9177</v>
      </c>
      <c r="G1982" s="512" t="s">
        <v>9235</v>
      </c>
      <c r="H1982" s="512" t="s">
        <v>7437</v>
      </c>
      <c r="L1982" s="505" t="s">
        <v>4394</v>
      </c>
      <c r="M1982" s="516">
        <v>10.210000000000001</v>
      </c>
      <c r="N1982" s="505" t="s">
        <v>4394</v>
      </c>
    </row>
    <row r="1983" spans="1:14" s="518" customFormat="1" x14ac:dyDescent="0.25">
      <c r="A1983" s="518" t="s">
        <v>5233</v>
      </c>
      <c r="B1983" s="518" t="s">
        <v>5234</v>
      </c>
      <c r="C1983" s="519" t="s">
        <v>9170</v>
      </c>
      <c r="D1983" s="519" t="s">
        <v>9171</v>
      </c>
      <c r="E1983" s="519" t="s">
        <v>9172</v>
      </c>
      <c r="F1983" s="519" t="s">
        <v>9236</v>
      </c>
      <c r="G1983" s="519" t="s">
        <v>7457</v>
      </c>
      <c r="H1983" s="519" t="s">
        <v>9174</v>
      </c>
      <c r="I1983" s="519"/>
      <c r="L1983" s="518" t="s">
        <v>4394</v>
      </c>
      <c r="M1983" s="520">
        <v>9.8800000000000008</v>
      </c>
      <c r="N1983" s="518" t="s">
        <v>4394</v>
      </c>
    </row>
    <row r="1984" spans="1:14" s="518" customFormat="1" x14ac:dyDescent="0.25">
      <c r="A1984" s="518" t="s">
        <v>5235</v>
      </c>
      <c r="B1984" s="518" t="s">
        <v>5236</v>
      </c>
      <c r="C1984" s="519" t="s">
        <v>9170</v>
      </c>
      <c r="D1984" s="519" t="s">
        <v>9171</v>
      </c>
      <c r="E1984" s="519" t="s">
        <v>9172</v>
      </c>
      <c r="F1984" s="519" t="s">
        <v>9204</v>
      </c>
      <c r="G1984" s="519" t="s">
        <v>7457</v>
      </c>
      <c r="H1984" s="519" t="s">
        <v>9174</v>
      </c>
      <c r="I1984" s="519"/>
      <c r="L1984" s="518" t="s">
        <v>4394</v>
      </c>
      <c r="M1984" s="520">
        <v>9.8800000000000008</v>
      </c>
      <c r="N1984" s="518" t="s">
        <v>4394</v>
      </c>
    </row>
    <row r="1985" spans="1:14" s="518" customFormat="1" x14ac:dyDescent="0.25">
      <c r="A1985" s="518" t="s">
        <v>5237</v>
      </c>
      <c r="B1985" s="518" t="s">
        <v>5238</v>
      </c>
      <c r="C1985" s="519" t="s">
        <v>9170</v>
      </c>
      <c r="D1985" s="519" t="s">
        <v>9171</v>
      </c>
      <c r="E1985" s="519" t="s">
        <v>9172</v>
      </c>
      <c r="F1985" s="519" t="s">
        <v>9237</v>
      </c>
      <c r="G1985" s="519" t="s">
        <v>7881</v>
      </c>
      <c r="H1985" s="519" t="s">
        <v>9174</v>
      </c>
      <c r="I1985" s="519"/>
      <c r="L1985" s="518" t="s">
        <v>4394</v>
      </c>
      <c r="M1985" s="520">
        <v>9.8800000000000008</v>
      </c>
      <c r="N1985" s="518" t="s">
        <v>4394</v>
      </c>
    </row>
    <row r="1986" spans="1:14" s="518" customFormat="1" x14ac:dyDescent="0.25">
      <c r="A1986" s="518" t="s">
        <v>5239</v>
      </c>
      <c r="B1986" s="518" t="s">
        <v>5240</v>
      </c>
      <c r="C1986" s="519" t="s">
        <v>9170</v>
      </c>
      <c r="D1986" s="519" t="s">
        <v>9171</v>
      </c>
      <c r="E1986" s="519" t="s">
        <v>9172</v>
      </c>
      <c r="F1986" s="519" t="s">
        <v>9205</v>
      </c>
      <c r="G1986" s="519" t="s">
        <v>7445</v>
      </c>
      <c r="H1986" s="519" t="s">
        <v>9174</v>
      </c>
      <c r="I1986" s="519"/>
      <c r="L1986" s="518" t="s">
        <v>4394</v>
      </c>
      <c r="M1986" s="520">
        <v>9.8800000000000008</v>
      </c>
      <c r="N1986" s="518" t="s">
        <v>4394</v>
      </c>
    </row>
    <row r="1987" spans="1:14" s="518" customFormat="1" x14ac:dyDescent="0.25">
      <c r="A1987" s="518" t="s">
        <v>5241</v>
      </c>
      <c r="B1987" s="518" t="s">
        <v>5242</v>
      </c>
      <c r="C1987" s="519" t="s">
        <v>9170</v>
      </c>
      <c r="D1987" s="519" t="s">
        <v>9171</v>
      </c>
      <c r="E1987" s="519" t="s">
        <v>9172</v>
      </c>
      <c r="F1987" s="519" t="s">
        <v>8618</v>
      </c>
      <c r="G1987" s="519" t="s">
        <v>7445</v>
      </c>
      <c r="H1987" s="519" t="s">
        <v>9174</v>
      </c>
      <c r="I1987" s="519"/>
      <c r="L1987" s="518" t="s">
        <v>4394</v>
      </c>
      <c r="M1987" s="520">
        <v>9.8800000000000008</v>
      </c>
      <c r="N1987" s="518" t="s">
        <v>4394</v>
      </c>
    </row>
    <row r="1988" spans="1:14" s="518" customFormat="1" x14ac:dyDescent="0.25">
      <c r="A1988" s="518" t="s">
        <v>5243</v>
      </c>
      <c r="B1988" s="518" t="s">
        <v>5244</v>
      </c>
      <c r="C1988" s="519" t="s">
        <v>9170</v>
      </c>
      <c r="D1988" s="519" t="s">
        <v>9171</v>
      </c>
      <c r="E1988" s="519" t="s">
        <v>9172</v>
      </c>
      <c r="F1988" s="519" t="s">
        <v>9212</v>
      </c>
      <c r="G1988" s="519" t="s">
        <v>7489</v>
      </c>
      <c r="H1988" s="519" t="s">
        <v>9174</v>
      </c>
      <c r="I1988" s="519"/>
      <c r="L1988" s="518" t="s">
        <v>4394</v>
      </c>
      <c r="M1988" s="520">
        <v>9.8800000000000008</v>
      </c>
      <c r="N1988" s="518" t="s">
        <v>4394</v>
      </c>
    </row>
    <row r="1989" spans="1:14" s="518" customFormat="1" x14ac:dyDescent="0.25">
      <c r="A1989" s="518" t="s">
        <v>5245</v>
      </c>
      <c r="B1989" s="518" t="s">
        <v>5246</v>
      </c>
      <c r="C1989" s="519" t="s">
        <v>9170</v>
      </c>
      <c r="D1989" s="519" t="s">
        <v>9171</v>
      </c>
      <c r="E1989" s="519" t="s">
        <v>9172</v>
      </c>
      <c r="F1989" s="519" t="s">
        <v>9238</v>
      </c>
      <c r="G1989" s="519" t="s">
        <v>7452</v>
      </c>
      <c r="H1989" s="519" t="s">
        <v>9174</v>
      </c>
      <c r="I1989" s="519"/>
      <c r="L1989" s="518" t="s">
        <v>4394</v>
      </c>
      <c r="M1989" s="520">
        <v>9.8800000000000008</v>
      </c>
      <c r="N1989" s="518" t="s">
        <v>4394</v>
      </c>
    </row>
    <row r="1990" spans="1:14" s="518" customFormat="1" x14ac:dyDescent="0.25">
      <c r="A1990" s="518" t="s">
        <v>5247</v>
      </c>
      <c r="B1990" s="518" t="s">
        <v>5248</v>
      </c>
      <c r="C1990" s="519" t="s">
        <v>9170</v>
      </c>
      <c r="D1990" s="519" t="s">
        <v>9171</v>
      </c>
      <c r="E1990" s="519" t="s">
        <v>9172</v>
      </c>
      <c r="F1990" s="519" t="s">
        <v>9239</v>
      </c>
      <c r="G1990" s="519" t="s">
        <v>7878</v>
      </c>
      <c r="H1990" s="519" t="s">
        <v>9174</v>
      </c>
      <c r="I1990" s="519"/>
      <c r="L1990" s="518" t="s">
        <v>4394</v>
      </c>
      <c r="M1990" s="520">
        <v>9.8800000000000008</v>
      </c>
      <c r="N1990" s="518" t="s">
        <v>4394</v>
      </c>
    </row>
    <row r="1991" spans="1:14" s="518" customFormat="1" x14ac:dyDescent="0.25">
      <c r="A1991" s="518" t="s">
        <v>5249</v>
      </c>
      <c r="B1991" s="518" t="s">
        <v>5250</v>
      </c>
      <c r="C1991" s="519" t="s">
        <v>9170</v>
      </c>
      <c r="D1991" s="519" t="s">
        <v>9171</v>
      </c>
      <c r="E1991" s="519" t="s">
        <v>9172</v>
      </c>
      <c r="F1991" s="519" t="s">
        <v>9219</v>
      </c>
      <c r="G1991" s="519" t="s">
        <v>7878</v>
      </c>
      <c r="H1991" s="519" t="s">
        <v>9174</v>
      </c>
      <c r="I1991" s="519"/>
      <c r="L1991" s="518" t="s">
        <v>4394</v>
      </c>
      <c r="M1991" s="520">
        <v>9.8800000000000008</v>
      </c>
      <c r="N1991" s="518" t="s">
        <v>4394</v>
      </c>
    </row>
    <row r="1992" spans="1:14" s="518" customFormat="1" x14ac:dyDescent="0.25">
      <c r="A1992" s="518" t="s">
        <v>5251</v>
      </c>
      <c r="B1992" s="518" t="s">
        <v>5252</v>
      </c>
      <c r="C1992" s="519" t="s">
        <v>9170</v>
      </c>
      <c r="D1992" s="519" t="s">
        <v>9171</v>
      </c>
      <c r="E1992" s="519" t="s">
        <v>9172</v>
      </c>
      <c r="F1992" s="519" t="s">
        <v>9240</v>
      </c>
      <c r="G1992" s="519" t="s">
        <v>7878</v>
      </c>
      <c r="H1992" s="519" t="s">
        <v>9174</v>
      </c>
      <c r="I1992" s="519"/>
      <c r="L1992" s="518" t="s">
        <v>4394</v>
      </c>
      <c r="M1992" s="520">
        <v>9.8800000000000008</v>
      </c>
      <c r="N1992" s="518" t="s">
        <v>4394</v>
      </c>
    </row>
    <row r="1993" spans="1:14" s="518" customFormat="1" x14ac:dyDescent="0.25">
      <c r="A1993" s="518" t="s">
        <v>5253</v>
      </c>
      <c r="B1993" s="518" t="s">
        <v>5254</v>
      </c>
      <c r="C1993" s="519" t="s">
        <v>9170</v>
      </c>
      <c r="D1993" s="519" t="s">
        <v>9171</v>
      </c>
      <c r="E1993" s="519" t="s">
        <v>9172</v>
      </c>
      <c r="F1993" s="519" t="s">
        <v>9220</v>
      </c>
      <c r="G1993" s="519" t="s">
        <v>7878</v>
      </c>
      <c r="H1993" s="519" t="s">
        <v>9174</v>
      </c>
      <c r="I1993" s="519"/>
      <c r="L1993" s="518" t="s">
        <v>4394</v>
      </c>
      <c r="M1993" s="520">
        <v>9.8800000000000008</v>
      </c>
      <c r="N1993" s="518" t="s">
        <v>4394</v>
      </c>
    </row>
    <row r="1994" spans="1:14" s="518" customFormat="1" x14ac:dyDescent="0.25">
      <c r="A1994" s="518" t="s">
        <v>5255</v>
      </c>
      <c r="B1994" s="518" t="s">
        <v>5256</v>
      </c>
      <c r="C1994" s="519" t="s">
        <v>9170</v>
      </c>
      <c r="D1994" s="519" t="s">
        <v>9171</v>
      </c>
      <c r="E1994" s="519" t="s">
        <v>9172</v>
      </c>
      <c r="F1994" s="519" t="s">
        <v>9241</v>
      </c>
      <c r="G1994" s="519" t="s">
        <v>7878</v>
      </c>
      <c r="H1994" s="519" t="s">
        <v>9174</v>
      </c>
      <c r="I1994" s="519"/>
      <c r="L1994" s="518" t="s">
        <v>4394</v>
      </c>
      <c r="M1994" s="520">
        <v>9.8800000000000008</v>
      </c>
      <c r="N1994" s="518" t="s">
        <v>4394</v>
      </c>
    </row>
    <row r="1995" spans="1:14" s="518" customFormat="1" x14ac:dyDescent="0.25">
      <c r="A1995" s="518" t="s">
        <v>5257</v>
      </c>
      <c r="B1995" s="518" t="s">
        <v>5258</v>
      </c>
      <c r="C1995" s="519" t="s">
        <v>9170</v>
      </c>
      <c r="D1995" s="519" t="s">
        <v>9171</v>
      </c>
      <c r="E1995" s="519" t="s">
        <v>9172</v>
      </c>
      <c r="F1995" s="519" t="s">
        <v>9222</v>
      </c>
      <c r="G1995" s="519" t="s">
        <v>7878</v>
      </c>
      <c r="H1995" s="519" t="s">
        <v>9174</v>
      </c>
      <c r="I1995" s="519"/>
      <c r="L1995" s="518" t="s">
        <v>4394</v>
      </c>
      <c r="M1995" s="520">
        <v>9.8800000000000008</v>
      </c>
      <c r="N1995" s="518" t="s">
        <v>4394</v>
      </c>
    </row>
    <row r="1996" spans="1:14" s="518" customFormat="1" x14ac:dyDescent="0.25">
      <c r="A1996" s="518" t="s">
        <v>5259</v>
      </c>
      <c r="B1996" s="518" t="s">
        <v>5260</v>
      </c>
      <c r="C1996" s="519" t="s">
        <v>9170</v>
      </c>
      <c r="D1996" s="519" t="s">
        <v>9171</v>
      </c>
      <c r="E1996" s="519" t="s">
        <v>9172</v>
      </c>
      <c r="F1996" s="519" t="s">
        <v>8104</v>
      </c>
      <c r="G1996" s="519" t="s">
        <v>7881</v>
      </c>
      <c r="H1996" s="519" t="s">
        <v>9174</v>
      </c>
      <c r="I1996" s="519"/>
      <c r="L1996" s="518" t="s">
        <v>4394</v>
      </c>
      <c r="M1996" s="520">
        <v>9.8800000000000008</v>
      </c>
      <c r="N1996" s="518" t="s">
        <v>4394</v>
      </c>
    </row>
    <row r="1997" spans="1:14" s="518" customFormat="1" x14ac:dyDescent="0.25">
      <c r="A1997" s="518" t="s">
        <v>5261</v>
      </c>
      <c r="B1997" s="518" t="s">
        <v>5262</v>
      </c>
      <c r="C1997" s="519" t="s">
        <v>9170</v>
      </c>
      <c r="D1997" s="519" t="s">
        <v>9171</v>
      </c>
      <c r="E1997" s="519" t="s">
        <v>9172</v>
      </c>
      <c r="F1997" s="519" t="s">
        <v>9226</v>
      </c>
      <c r="G1997" s="519" t="s">
        <v>7436</v>
      </c>
      <c r="H1997" s="519" t="s">
        <v>9174</v>
      </c>
      <c r="I1997" s="519"/>
      <c r="L1997" s="518" t="s">
        <v>4394</v>
      </c>
      <c r="M1997" s="520">
        <v>9.8800000000000008</v>
      </c>
      <c r="N1997" s="518" t="s">
        <v>4394</v>
      </c>
    </row>
    <row r="1998" spans="1:14" s="518" customFormat="1" x14ac:dyDescent="0.25">
      <c r="A1998" s="518" t="s">
        <v>5263</v>
      </c>
      <c r="B1998" s="518" t="s">
        <v>5264</v>
      </c>
      <c r="C1998" s="519" t="s">
        <v>9170</v>
      </c>
      <c r="D1998" s="519" t="s">
        <v>9171</v>
      </c>
      <c r="E1998" s="519" t="s">
        <v>9172</v>
      </c>
      <c r="F1998" s="519" t="s">
        <v>9225</v>
      </c>
      <c r="G1998" s="519" t="s">
        <v>7436</v>
      </c>
      <c r="H1998" s="519" t="s">
        <v>9174</v>
      </c>
      <c r="I1998" s="519"/>
      <c r="L1998" s="518" t="s">
        <v>4394</v>
      </c>
      <c r="M1998" s="520">
        <v>9.8800000000000008</v>
      </c>
      <c r="N1998" s="518" t="s">
        <v>4394</v>
      </c>
    </row>
    <row r="1999" spans="1:14" s="518" customFormat="1" x14ac:dyDescent="0.25">
      <c r="A1999" s="518" t="s">
        <v>5265</v>
      </c>
      <c r="B1999" s="518" t="s">
        <v>5266</v>
      </c>
      <c r="C1999" s="519" t="s">
        <v>9170</v>
      </c>
      <c r="D1999" s="519" t="s">
        <v>9171</v>
      </c>
      <c r="E1999" s="519" t="s">
        <v>9172</v>
      </c>
      <c r="F1999" s="519" t="s">
        <v>9242</v>
      </c>
      <c r="G1999" s="519" t="s">
        <v>7881</v>
      </c>
      <c r="H1999" s="519" t="s">
        <v>9174</v>
      </c>
      <c r="I1999" s="519"/>
      <c r="L1999" s="518" t="s">
        <v>4394</v>
      </c>
      <c r="M1999" s="520">
        <v>9.8800000000000008</v>
      </c>
      <c r="N1999" s="518" t="s">
        <v>4394</v>
      </c>
    </row>
    <row r="2000" spans="1:14" s="518" customFormat="1" x14ac:dyDescent="0.25">
      <c r="A2000" s="518" t="s">
        <v>5267</v>
      </c>
      <c r="B2000" s="518" t="s">
        <v>5268</v>
      </c>
      <c r="C2000" s="519" t="s">
        <v>9170</v>
      </c>
      <c r="D2000" s="519" t="s">
        <v>9171</v>
      </c>
      <c r="E2000" s="519" t="s">
        <v>9172</v>
      </c>
      <c r="F2000" s="519" t="s">
        <v>9223</v>
      </c>
      <c r="G2000" s="519" t="s">
        <v>7881</v>
      </c>
      <c r="H2000" s="519" t="s">
        <v>9174</v>
      </c>
      <c r="I2000" s="519"/>
      <c r="L2000" s="518" t="s">
        <v>4394</v>
      </c>
      <c r="M2000" s="520">
        <v>9.8800000000000008</v>
      </c>
      <c r="N2000" s="518" t="s">
        <v>4394</v>
      </c>
    </row>
    <row r="2001" spans="1:14" s="518" customFormat="1" x14ac:dyDescent="0.25">
      <c r="A2001" s="518" t="s">
        <v>5269</v>
      </c>
      <c r="B2001" s="518" t="s">
        <v>5270</v>
      </c>
      <c r="C2001" s="519" t="s">
        <v>9170</v>
      </c>
      <c r="D2001" s="519" t="s">
        <v>9171</v>
      </c>
      <c r="E2001" s="519" t="s">
        <v>9172</v>
      </c>
      <c r="F2001" s="519" t="s">
        <v>9232</v>
      </c>
      <c r="G2001" s="519" t="s">
        <v>7436</v>
      </c>
      <c r="H2001" s="519" t="s">
        <v>9174</v>
      </c>
      <c r="I2001" s="519"/>
      <c r="L2001" s="518" t="s">
        <v>4394</v>
      </c>
      <c r="M2001" s="520">
        <v>9.8800000000000008</v>
      </c>
      <c r="N2001" s="518" t="s">
        <v>4394</v>
      </c>
    </row>
    <row r="2002" spans="1:14" s="518" customFormat="1" x14ac:dyDescent="0.25">
      <c r="A2002" s="518" t="s">
        <v>5271</v>
      </c>
      <c r="B2002" s="518" t="s">
        <v>5272</v>
      </c>
      <c r="C2002" s="519" t="s">
        <v>9170</v>
      </c>
      <c r="D2002" s="519" t="s">
        <v>9171</v>
      </c>
      <c r="E2002" s="519" t="s">
        <v>9172</v>
      </c>
      <c r="F2002" s="519" t="s">
        <v>8101</v>
      </c>
      <c r="G2002" s="519" t="s">
        <v>8168</v>
      </c>
      <c r="H2002" s="519" t="s">
        <v>9174</v>
      </c>
      <c r="I2002" s="519"/>
      <c r="L2002" s="518" t="s">
        <v>4394</v>
      </c>
      <c r="M2002" s="520">
        <v>9.8800000000000008</v>
      </c>
      <c r="N2002" s="518" t="s">
        <v>4394</v>
      </c>
    </row>
    <row r="2003" spans="1:14" s="518" customFormat="1" x14ac:dyDescent="0.25">
      <c r="A2003" s="518" t="s">
        <v>5273</v>
      </c>
      <c r="B2003" s="518" t="s">
        <v>5274</v>
      </c>
      <c r="C2003" s="519" t="s">
        <v>9170</v>
      </c>
      <c r="D2003" s="519" t="s">
        <v>9171</v>
      </c>
      <c r="E2003" s="519" t="s">
        <v>9172</v>
      </c>
      <c r="F2003" s="519" t="s">
        <v>9235</v>
      </c>
      <c r="G2003" s="519" t="s">
        <v>7437</v>
      </c>
      <c r="H2003" s="519" t="s">
        <v>9174</v>
      </c>
      <c r="I2003" s="519"/>
      <c r="L2003" s="518" t="s">
        <v>4394</v>
      </c>
      <c r="M2003" s="520">
        <v>9.8800000000000008</v>
      </c>
      <c r="N2003" s="518" t="s">
        <v>4394</v>
      </c>
    </row>
    <row r="2004" spans="1:14" s="518" customFormat="1" x14ac:dyDescent="0.25">
      <c r="A2004" s="518" t="s">
        <v>5275</v>
      </c>
      <c r="B2004" s="518" t="s">
        <v>5276</v>
      </c>
      <c r="C2004" s="519" t="s">
        <v>9170</v>
      </c>
      <c r="D2004" s="519" t="s">
        <v>9171</v>
      </c>
      <c r="E2004" s="519" t="s">
        <v>9172</v>
      </c>
      <c r="F2004" s="519" t="s">
        <v>9243</v>
      </c>
      <c r="G2004" s="519" t="s">
        <v>7878</v>
      </c>
      <c r="H2004" s="519" t="s">
        <v>9174</v>
      </c>
      <c r="I2004" s="519"/>
      <c r="L2004" s="518" t="s">
        <v>4394</v>
      </c>
      <c r="M2004" s="520">
        <v>9.8800000000000008</v>
      </c>
      <c r="N2004" s="518" t="s">
        <v>4394</v>
      </c>
    </row>
    <row r="2005" spans="1:14" s="518" customFormat="1" x14ac:dyDescent="0.25">
      <c r="A2005" s="518" t="s">
        <v>5277</v>
      </c>
      <c r="B2005" s="518" t="s">
        <v>5278</v>
      </c>
      <c r="C2005" s="519" t="s">
        <v>9170</v>
      </c>
      <c r="D2005" s="519" t="s">
        <v>9171</v>
      </c>
      <c r="E2005" s="519" t="s">
        <v>9172</v>
      </c>
      <c r="F2005" s="519" t="s">
        <v>9213</v>
      </c>
      <c r="G2005" s="519" t="s">
        <v>7489</v>
      </c>
      <c r="H2005" s="519" t="s">
        <v>9174</v>
      </c>
      <c r="I2005" s="519"/>
      <c r="L2005" s="518" t="s">
        <v>4394</v>
      </c>
      <c r="M2005" s="520">
        <v>9.8800000000000008</v>
      </c>
      <c r="N2005" s="518" t="s">
        <v>4394</v>
      </c>
    </row>
    <row r="2006" spans="1:14" s="518" customFormat="1" x14ac:dyDescent="0.25">
      <c r="A2006" s="518" t="s">
        <v>5279</v>
      </c>
      <c r="B2006" s="518" t="s">
        <v>5280</v>
      </c>
      <c r="C2006" s="519" t="s">
        <v>9170</v>
      </c>
      <c r="D2006" s="519" t="s">
        <v>9171</v>
      </c>
      <c r="E2006" s="519" t="s">
        <v>9172</v>
      </c>
      <c r="F2006" s="519" t="s">
        <v>9244</v>
      </c>
      <c r="G2006" s="519" t="s">
        <v>7445</v>
      </c>
      <c r="H2006" s="519" t="s">
        <v>9174</v>
      </c>
      <c r="I2006" s="519"/>
      <c r="L2006" s="518" t="s">
        <v>4394</v>
      </c>
      <c r="M2006" s="520">
        <v>9.8800000000000008</v>
      </c>
      <c r="N2006" s="518" t="s">
        <v>4394</v>
      </c>
    </row>
    <row r="2007" spans="1:14" s="518" customFormat="1" x14ac:dyDescent="0.25">
      <c r="A2007" s="518" t="s">
        <v>5281</v>
      </c>
      <c r="B2007" s="518" t="s">
        <v>5282</v>
      </c>
      <c r="C2007" s="519" t="s">
        <v>9170</v>
      </c>
      <c r="D2007" s="519" t="s">
        <v>9171</v>
      </c>
      <c r="E2007" s="519" t="s">
        <v>9172</v>
      </c>
      <c r="F2007" s="519" t="s">
        <v>9245</v>
      </c>
      <c r="G2007" s="519" t="s">
        <v>7436</v>
      </c>
      <c r="H2007" s="519" t="s">
        <v>9174</v>
      </c>
      <c r="I2007" s="519"/>
      <c r="L2007" s="518" t="s">
        <v>4394</v>
      </c>
      <c r="M2007" s="520">
        <v>9.8800000000000008</v>
      </c>
      <c r="N2007" s="518" t="s">
        <v>4394</v>
      </c>
    </row>
    <row r="2008" spans="1:14" s="518" customFormat="1" x14ac:dyDescent="0.25">
      <c r="A2008" s="518" t="s">
        <v>5283</v>
      </c>
      <c r="B2008" s="518" t="s">
        <v>5284</v>
      </c>
      <c r="C2008" s="519" t="s">
        <v>9170</v>
      </c>
      <c r="D2008" s="519" t="s">
        <v>9171</v>
      </c>
      <c r="E2008" s="519" t="s">
        <v>9172</v>
      </c>
      <c r="F2008" s="519" t="s">
        <v>9246</v>
      </c>
      <c r="G2008" s="519" t="s">
        <v>7881</v>
      </c>
      <c r="H2008" s="519" t="s">
        <v>9174</v>
      </c>
      <c r="I2008" s="519"/>
      <c r="L2008" s="518" t="s">
        <v>4394</v>
      </c>
      <c r="M2008" s="520">
        <v>9.8800000000000008</v>
      </c>
      <c r="N2008" s="518" t="s">
        <v>4394</v>
      </c>
    </row>
    <row r="2009" spans="1:14" s="518" customFormat="1" x14ac:dyDescent="0.25">
      <c r="A2009" s="518" t="s">
        <v>5285</v>
      </c>
      <c r="B2009" s="518" t="s">
        <v>5286</v>
      </c>
      <c r="C2009" s="519" t="s">
        <v>9170</v>
      </c>
      <c r="D2009" s="519" t="s">
        <v>9171</v>
      </c>
      <c r="E2009" s="519" t="s">
        <v>9172</v>
      </c>
      <c r="F2009" s="519" t="s">
        <v>9247</v>
      </c>
      <c r="G2009" s="519" t="s">
        <v>7489</v>
      </c>
      <c r="H2009" s="519" t="s">
        <v>9174</v>
      </c>
      <c r="I2009" s="519"/>
      <c r="L2009" s="518" t="s">
        <v>4394</v>
      </c>
      <c r="M2009" s="520">
        <v>9.8800000000000008</v>
      </c>
      <c r="N2009" s="518" t="s">
        <v>4394</v>
      </c>
    </row>
    <row r="2010" spans="1:14" s="518" customFormat="1" x14ac:dyDescent="0.25">
      <c r="A2010" s="518" t="s">
        <v>5287</v>
      </c>
      <c r="B2010" s="518" t="s">
        <v>5288</v>
      </c>
      <c r="C2010" s="519" t="s">
        <v>9170</v>
      </c>
      <c r="D2010" s="519" t="s">
        <v>9171</v>
      </c>
      <c r="E2010" s="519" t="s">
        <v>9172</v>
      </c>
      <c r="F2010" s="519" t="s">
        <v>9211</v>
      </c>
      <c r="G2010" s="519" t="s">
        <v>7489</v>
      </c>
      <c r="H2010" s="519" t="s">
        <v>9174</v>
      </c>
      <c r="I2010" s="519"/>
      <c r="L2010" s="518" t="s">
        <v>4394</v>
      </c>
      <c r="M2010" s="520">
        <v>9.8800000000000008</v>
      </c>
      <c r="N2010" s="518" t="s">
        <v>4394</v>
      </c>
    </row>
    <row r="2011" spans="1:14" s="518" customFormat="1" x14ac:dyDescent="0.25">
      <c r="A2011" s="518" t="s">
        <v>5289</v>
      </c>
      <c r="B2011" s="518" t="s">
        <v>5290</v>
      </c>
      <c r="C2011" s="519" t="s">
        <v>9170</v>
      </c>
      <c r="D2011" s="519" t="s">
        <v>9171</v>
      </c>
      <c r="E2011" s="519" t="s">
        <v>9172</v>
      </c>
      <c r="F2011" s="519" t="s">
        <v>9214</v>
      </c>
      <c r="G2011" s="519" t="s">
        <v>7489</v>
      </c>
      <c r="H2011" s="519" t="s">
        <v>9174</v>
      </c>
      <c r="I2011" s="519"/>
      <c r="L2011" s="518" t="s">
        <v>4394</v>
      </c>
      <c r="M2011" s="520">
        <v>9.8800000000000008</v>
      </c>
      <c r="N2011" s="518" t="s">
        <v>4394</v>
      </c>
    </row>
    <row r="2012" spans="1:14" s="518" customFormat="1" x14ac:dyDescent="0.25">
      <c r="A2012" s="518" t="s">
        <v>5291</v>
      </c>
      <c r="B2012" s="518" t="s">
        <v>5292</v>
      </c>
      <c r="C2012" s="519" t="s">
        <v>9170</v>
      </c>
      <c r="D2012" s="519" t="s">
        <v>9171</v>
      </c>
      <c r="E2012" s="519" t="s">
        <v>9172</v>
      </c>
      <c r="F2012" s="519" t="s">
        <v>9248</v>
      </c>
      <c r="G2012" s="519" t="s">
        <v>7445</v>
      </c>
      <c r="H2012" s="519" t="s">
        <v>9174</v>
      </c>
      <c r="I2012" s="519"/>
      <c r="L2012" s="518" t="s">
        <v>4394</v>
      </c>
      <c r="M2012" s="520">
        <v>9.8800000000000008</v>
      </c>
      <c r="N2012" s="518" t="s">
        <v>4394</v>
      </c>
    </row>
    <row r="2013" spans="1:14" s="518" customFormat="1" x14ac:dyDescent="0.25">
      <c r="A2013" s="518" t="s">
        <v>5293</v>
      </c>
      <c r="B2013" s="518" t="s">
        <v>5294</v>
      </c>
      <c r="C2013" s="519" t="s">
        <v>9170</v>
      </c>
      <c r="D2013" s="519" t="s">
        <v>9171</v>
      </c>
      <c r="E2013" s="519" t="s">
        <v>9172</v>
      </c>
      <c r="F2013" s="519" t="s">
        <v>9178</v>
      </c>
      <c r="G2013" s="519" t="s">
        <v>7436</v>
      </c>
      <c r="H2013" s="519" t="s">
        <v>9174</v>
      </c>
      <c r="I2013" s="519"/>
      <c r="L2013" s="518" t="s">
        <v>4394</v>
      </c>
      <c r="M2013" s="520">
        <v>9.8800000000000008</v>
      </c>
      <c r="N2013" s="518" t="s">
        <v>4394</v>
      </c>
    </row>
    <row r="2014" spans="1:14" s="518" customFormat="1" x14ac:dyDescent="0.25">
      <c r="A2014" s="518" t="s">
        <v>5295</v>
      </c>
      <c r="B2014" s="518" t="s">
        <v>5296</v>
      </c>
      <c r="C2014" s="519" t="s">
        <v>9170</v>
      </c>
      <c r="D2014" s="519" t="s">
        <v>9171</v>
      </c>
      <c r="E2014" s="519" t="s">
        <v>9172</v>
      </c>
      <c r="F2014" s="519" t="s">
        <v>9249</v>
      </c>
      <c r="G2014" s="519" t="s">
        <v>7436</v>
      </c>
      <c r="H2014" s="519" t="s">
        <v>9174</v>
      </c>
      <c r="I2014" s="519"/>
      <c r="L2014" s="518" t="s">
        <v>4394</v>
      </c>
      <c r="M2014" s="520">
        <v>9.8800000000000008</v>
      </c>
      <c r="N2014" s="518" t="s">
        <v>4394</v>
      </c>
    </row>
    <row r="2015" spans="1:14" s="518" customFormat="1" x14ac:dyDescent="0.25">
      <c r="A2015" s="518" t="s">
        <v>5297</v>
      </c>
      <c r="B2015" s="518" t="s">
        <v>5298</v>
      </c>
      <c r="C2015" s="519" t="s">
        <v>9170</v>
      </c>
      <c r="D2015" s="519" t="s">
        <v>9171</v>
      </c>
      <c r="E2015" s="519" t="s">
        <v>9172</v>
      </c>
      <c r="F2015" s="519" t="s">
        <v>9250</v>
      </c>
      <c r="G2015" s="519" t="s">
        <v>7436</v>
      </c>
      <c r="H2015" s="519" t="s">
        <v>9174</v>
      </c>
      <c r="I2015" s="519"/>
      <c r="L2015" s="518" t="s">
        <v>4394</v>
      </c>
      <c r="M2015" s="520">
        <v>9.8800000000000008</v>
      </c>
      <c r="N2015" s="518" t="s">
        <v>4394</v>
      </c>
    </row>
    <row r="2016" spans="1:14" s="518" customFormat="1" x14ac:dyDescent="0.25">
      <c r="A2016" s="518" t="s">
        <v>5299</v>
      </c>
      <c r="B2016" s="518" t="s">
        <v>5300</v>
      </c>
      <c r="C2016" s="519" t="s">
        <v>9170</v>
      </c>
      <c r="D2016" s="519" t="s">
        <v>9171</v>
      </c>
      <c r="E2016" s="519" t="s">
        <v>9172</v>
      </c>
      <c r="F2016" s="519" t="s">
        <v>9215</v>
      </c>
      <c r="G2016" s="519" t="s">
        <v>7489</v>
      </c>
      <c r="H2016" s="519" t="s">
        <v>9174</v>
      </c>
      <c r="I2016" s="519"/>
      <c r="L2016" s="518" t="s">
        <v>4394</v>
      </c>
      <c r="M2016" s="520">
        <v>9.8800000000000008</v>
      </c>
      <c r="N2016" s="518" t="s">
        <v>4394</v>
      </c>
    </row>
    <row r="2017" spans="1:14" s="518" customFormat="1" x14ac:dyDescent="0.25">
      <c r="A2017" s="518" t="s">
        <v>5301</v>
      </c>
      <c r="B2017" s="518" t="s">
        <v>5302</v>
      </c>
      <c r="C2017" s="519" t="s">
        <v>9170</v>
      </c>
      <c r="D2017" s="519" t="s">
        <v>9171</v>
      </c>
      <c r="E2017" s="519" t="s">
        <v>9172</v>
      </c>
      <c r="F2017" s="519" t="s">
        <v>9251</v>
      </c>
      <c r="G2017" s="519" t="s">
        <v>7489</v>
      </c>
      <c r="H2017" s="519" t="s">
        <v>9174</v>
      </c>
      <c r="I2017" s="519"/>
      <c r="L2017" s="518" t="s">
        <v>4394</v>
      </c>
      <c r="M2017" s="520">
        <v>9.8800000000000008</v>
      </c>
      <c r="N2017" s="518" t="s">
        <v>4394</v>
      </c>
    </row>
    <row r="2018" spans="1:14" s="518" customFormat="1" x14ac:dyDescent="0.25">
      <c r="A2018" s="518" t="s">
        <v>5303</v>
      </c>
      <c r="B2018" s="518" t="s">
        <v>5304</v>
      </c>
      <c r="C2018" s="519" t="s">
        <v>9170</v>
      </c>
      <c r="D2018" s="519" t="s">
        <v>9171</v>
      </c>
      <c r="E2018" s="519" t="s">
        <v>9172</v>
      </c>
      <c r="F2018" s="519" t="s">
        <v>9252</v>
      </c>
      <c r="G2018" s="519" t="s">
        <v>7489</v>
      </c>
      <c r="H2018" s="519" t="s">
        <v>9174</v>
      </c>
      <c r="I2018" s="519"/>
      <c r="L2018" s="518" t="s">
        <v>4394</v>
      </c>
      <c r="M2018" s="520">
        <v>9.8800000000000008</v>
      </c>
      <c r="N2018" s="518" t="s">
        <v>4394</v>
      </c>
    </row>
    <row r="2019" spans="1:14" s="518" customFormat="1" x14ac:dyDescent="0.25">
      <c r="A2019" s="518" t="s">
        <v>5305</v>
      </c>
      <c r="B2019" s="518" t="s">
        <v>5306</v>
      </c>
      <c r="C2019" s="519" t="s">
        <v>9170</v>
      </c>
      <c r="D2019" s="519" t="s">
        <v>9171</v>
      </c>
      <c r="E2019" s="519" t="s">
        <v>9172</v>
      </c>
      <c r="F2019" s="519" t="s">
        <v>9253</v>
      </c>
      <c r="G2019" s="519" t="s">
        <v>7445</v>
      </c>
      <c r="H2019" s="519" t="s">
        <v>9174</v>
      </c>
      <c r="I2019" s="519"/>
      <c r="L2019" s="518" t="s">
        <v>4394</v>
      </c>
      <c r="M2019" s="520">
        <v>9.8800000000000008</v>
      </c>
      <c r="N2019" s="518" t="s">
        <v>4394</v>
      </c>
    </row>
    <row r="2020" spans="1:14" s="518" customFormat="1" x14ac:dyDescent="0.25">
      <c r="A2020" s="518" t="s">
        <v>5307</v>
      </c>
      <c r="B2020" s="518" t="s">
        <v>5308</v>
      </c>
      <c r="C2020" s="519" t="s">
        <v>9254</v>
      </c>
      <c r="D2020" s="519" t="s">
        <v>9255</v>
      </c>
      <c r="E2020" s="519" t="s">
        <v>9176</v>
      </c>
      <c r="F2020" s="519" t="s">
        <v>9256</v>
      </c>
      <c r="G2020" s="519" t="s">
        <v>361</v>
      </c>
      <c r="H2020" s="519" t="s">
        <v>9174</v>
      </c>
      <c r="I2020" s="519"/>
      <c r="L2020" s="518" t="s">
        <v>4394</v>
      </c>
      <c r="M2020" s="520">
        <v>9.8800000000000008</v>
      </c>
      <c r="N2020" s="518" t="s">
        <v>4394</v>
      </c>
    </row>
    <row r="2021" spans="1:14" s="518" customFormat="1" x14ac:dyDescent="0.25">
      <c r="A2021" s="518" t="s">
        <v>5309</v>
      </c>
      <c r="B2021" s="518" t="s">
        <v>5310</v>
      </c>
      <c r="C2021" s="519" t="s">
        <v>9170</v>
      </c>
      <c r="D2021" s="519" t="s">
        <v>9171</v>
      </c>
      <c r="E2021" s="519" t="s">
        <v>9172</v>
      </c>
      <c r="F2021" s="519" t="s">
        <v>9257</v>
      </c>
      <c r="G2021" s="519" t="s">
        <v>7489</v>
      </c>
      <c r="H2021" s="519" t="s">
        <v>9174</v>
      </c>
      <c r="I2021" s="519"/>
      <c r="L2021" s="518" t="s">
        <v>4394</v>
      </c>
      <c r="M2021" s="520">
        <v>9.8800000000000008</v>
      </c>
      <c r="N2021" s="518" t="s">
        <v>4394</v>
      </c>
    </row>
    <row r="2022" spans="1:14" s="518" customFormat="1" x14ac:dyDescent="0.25">
      <c r="A2022" s="518" t="s">
        <v>5311</v>
      </c>
      <c r="B2022" s="518" t="s">
        <v>5312</v>
      </c>
      <c r="C2022" s="519" t="s">
        <v>9170</v>
      </c>
      <c r="D2022" s="519" t="s">
        <v>9171</v>
      </c>
      <c r="E2022" s="519" t="s">
        <v>9172</v>
      </c>
      <c r="F2022" s="519" t="s">
        <v>9258</v>
      </c>
      <c r="G2022" s="519" t="s">
        <v>7878</v>
      </c>
      <c r="H2022" s="519" t="s">
        <v>9174</v>
      </c>
      <c r="I2022" s="519"/>
      <c r="L2022" s="518" t="s">
        <v>4394</v>
      </c>
      <c r="M2022" s="520">
        <v>9.8800000000000008</v>
      </c>
      <c r="N2022" s="518" t="s">
        <v>4394</v>
      </c>
    </row>
    <row r="2023" spans="1:14" s="518" customFormat="1" x14ac:dyDescent="0.25">
      <c r="A2023" s="518" t="s">
        <v>5313</v>
      </c>
      <c r="B2023" s="518" t="s">
        <v>5314</v>
      </c>
      <c r="C2023" s="519" t="s">
        <v>9254</v>
      </c>
      <c r="D2023" s="519" t="s">
        <v>9255</v>
      </c>
      <c r="E2023" s="519" t="s">
        <v>9176</v>
      </c>
      <c r="F2023" s="519" t="s">
        <v>9259</v>
      </c>
      <c r="G2023" s="519" t="s">
        <v>7426</v>
      </c>
      <c r="H2023" s="519" t="s">
        <v>9174</v>
      </c>
      <c r="I2023" s="519"/>
      <c r="L2023" s="518" t="s">
        <v>4394</v>
      </c>
      <c r="M2023" s="520">
        <v>9.8800000000000008</v>
      </c>
      <c r="N2023" s="518" t="s">
        <v>4394</v>
      </c>
    </row>
    <row r="2024" spans="1:14" s="518" customFormat="1" x14ac:dyDescent="0.25">
      <c r="A2024" s="518" t="s">
        <v>5315</v>
      </c>
      <c r="B2024" s="518" t="s">
        <v>5316</v>
      </c>
      <c r="C2024" s="519" t="s">
        <v>9170</v>
      </c>
      <c r="D2024" s="519" t="s">
        <v>9171</v>
      </c>
      <c r="E2024" s="519" t="s">
        <v>9172</v>
      </c>
      <c r="F2024" s="519" t="s">
        <v>9260</v>
      </c>
      <c r="G2024" s="519" t="s">
        <v>7436</v>
      </c>
      <c r="H2024" s="519" t="s">
        <v>9174</v>
      </c>
      <c r="I2024" s="519"/>
      <c r="L2024" s="518" t="s">
        <v>4394</v>
      </c>
      <c r="M2024" s="520">
        <v>9.8800000000000008</v>
      </c>
      <c r="N2024" s="518" t="s">
        <v>4394</v>
      </c>
    </row>
    <row r="2025" spans="1:14" x14ac:dyDescent="0.25">
      <c r="A2025" s="505" t="s">
        <v>5317</v>
      </c>
      <c r="B2025" s="505" t="s">
        <v>5318</v>
      </c>
      <c r="C2025" s="512" t="s">
        <v>9175</v>
      </c>
      <c r="D2025" s="512" t="s">
        <v>9179</v>
      </c>
      <c r="E2025" s="512" t="s">
        <v>9261</v>
      </c>
      <c r="F2025" s="512" t="s">
        <v>9262</v>
      </c>
      <c r="L2025" s="505" t="s">
        <v>114</v>
      </c>
      <c r="M2025" s="516">
        <v>105.5</v>
      </c>
      <c r="N2025" s="505" t="s">
        <v>114</v>
      </c>
    </row>
    <row r="2026" spans="1:14" s="518" customFormat="1" x14ac:dyDescent="0.25">
      <c r="A2026" s="518" t="s">
        <v>5319</v>
      </c>
      <c r="B2026" s="518" t="s">
        <v>5320</v>
      </c>
      <c r="C2026" s="519" t="s">
        <v>9170</v>
      </c>
      <c r="D2026" s="519" t="s">
        <v>9171</v>
      </c>
      <c r="E2026" s="519" t="s">
        <v>9172</v>
      </c>
      <c r="F2026" s="519" t="s">
        <v>9221</v>
      </c>
      <c r="G2026" s="519" t="s">
        <v>7878</v>
      </c>
      <c r="H2026" s="519" t="s">
        <v>9174</v>
      </c>
      <c r="I2026" s="519"/>
      <c r="L2026" s="518" t="s">
        <v>4394</v>
      </c>
      <c r="M2026" s="520">
        <v>9.8800000000000008</v>
      </c>
      <c r="N2026" s="518" t="s">
        <v>4394</v>
      </c>
    </row>
    <row r="2027" spans="1:14" x14ac:dyDescent="0.25">
      <c r="A2027" s="505" t="s">
        <v>5321</v>
      </c>
      <c r="B2027" s="505" t="s">
        <v>5322</v>
      </c>
      <c r="C2027" s="512" t="s">
        <v>9170</v>
      </c>
      <c r="D2027" s="512" t="s">
        <v>9171</v>
      </c>
      <c r="E2027" s="512" t="s">
        <v>9172</v>
      </c>
      <c r="F2027" s="512" t="s">
        <v>9227</v>
      </c>
      <c r="G2027" s="512" t="s">
        <v>7436</v>
      </c>
      <c r="H2027" s="512" t="s">
        <v>9174</v>
      </c>
      <c r="L2027" s="505" t="s">
        <v>4394</v>
      </c>
      <c r="M2027" s="516">
        <v>9.0299999999999994</v>
      </c>
      <c r="N2027" s="505" t="s">
        <v>4394</v>
      </c>
    </row>
    <row r="2028" spans="1:14" s="518" customFormat="1" x14ac:dyDescent="0.25">
      <c r="A2028" s="518" t="s">
        <v>5323</v>
      </c>
      <c r="B2028" s="518" t="s">
        <v>5324</v>
      </c>
      <c r="C2028" s="519" t="s">
        <v>9170</v>
      </c>
      <c r="D2028" s="519" t="s">
        <v>9171</v>
      </c>
      <c r="E2028" s="519" t="s">
        <v>9172</v>
      </c>
      <c r="F2028" s="519" t="s">
        <v>9233</v>
      </c>
      <c r="G2028" s="519" t="s">
        <v>7489</v>
      </c>
      <c r="H2028" s="519" t="s">
        <v>7986</v>
      </c>
      <c r="I2028" s="519" t="s">
        <v>9174</v>
      </c>
      <c r="L2028" s="518" t="s">
        <v>4394</v>
      </c>
      <c r="M2028" s="520">
        <v>9.8800000000000008</v>
      </c>
      <c r="N2028" s="518" t="s">
        <v>4394</v>
      </c>
    </row>
    <row r="2029" spans="1:14" s="518" customFormat="1" x14ac:dyDescent="0.25">
      <c r="A2029" s="518" t="s">
        <v>5325</v>
      </c>
      <c r="B2029" s="518" t="s">
        <v>5326</v>
      </c>
      <c r="C2029" s="519" t="s">
        <v>9170</v>
      </c>
      <c r="D2029" s="519" t="s">
        <v>9171</v>
      </c>
      <c r="E2029" s="519" t="s">
        <v>9172</v>
      </c>
      <c r="F2029" s="519" t="s">
        <v>9208</v>
      </c>
      <c r="G2029" s="519" t="s">
        <v>7452</v>
      </c>
      <c r="H2029" s="519" t="s">
        <v>9174</v>
      </c>
      <c r="I2029" s="519"/>
      <c r="L2029" s="518" t="s">
        <v>4394</v>
      </c>
      <c r="M2029" s="520">
        <v>9.8800000000000008</v>
      </c>
      <c r="N2029" s="518" t="s">
        <v>4394</v>
      </c>
    </row>
    <row r="2030" spans="1:14" s="518" customFormat="1" x14ac:dyDescent="0.25">
      <c r="A2030" s="518" t="s">
        <v>5327</v>
      </c>
      <c r="B2030" s="518" t="s">
        <v>5328</v>
      </c>
      <c r="C2030" s="519" t="s">
        <v>9170</v>
      </c>
      <c r="D2030" s="519" t="s">
        <v>9171</v>
      </c>
      <c r="E2030" s="519" t="s">
        <v>9172</v>
      </c>
      <c r="F2030" s="519" t="s">
        <v>9231</v>
      </c>
      <c r="G2030" s="519" t="s">
        <v>9263</v>
      </c>
      <c r="H2030" s="519" t="s">
        <v>8168</v>
      </c>
      <c r="I2030" s="519" t="s">
        <v>9174</v>
      </c>
      <c r="L2030" s="518" t="s">
        <v>4394</v>
      </c>
      <c r="M2030" s="520">
        <v>9.8800000000000008</v>
      </c>
      <c r="N2030" s="518" t="s">
        <v>4394</v>
      </c>
    </row>
    <row r="2031" spans="1:14" s="518" customFormat="1" x14ac:dyDescent="0.25">
      <c r="A2031" s="518" t="s">
        <v>5329</v>
      </c>
      <c r="B2031" s="518" t="s">
        <v>5330</v>
      </c>
      <c r="C2031" s="519" t="s">
        <v>9170</v>
      </c>
      <c r="D2031" s="519" t="s">
        <v>9171</v>
      </c>
      <c r="E2031" s="519" t="s">
        <v>9172</v>
      </c>
      <c r="F2031" s="519" t="s">
        <v>9264</v>
      </c>
      <c r="G2031" s="519" t="s">
        <v>7721</v>
      </c>
      <c r="H2031" s="519" t="s">
        <v>9174</v>
      </c>
      <c r="I2031" s="519"/>
      <c r="L2031" s="518" t="s">
        <v>4394</v>
      </c>
      <c r="M2031" s="520">
        <v>9.8800000000000008</v>
      </c>
      <c r="N2031" s="518" t="s">
        <v>4394</v>
      </c>
    </row>
    <row r="2032" spans="1:14" x14ac:dyDescent="0.25">
      <c r="A2032" s="505" t="s">
        <v>5331</v>
      </c>
      <c r="B2032" s="505" t="s">
        <v>5332</v>
      </c>
      <c r="C2032" s="512" t="s">
        <v>9175</v>
      </c>
      <c r="D2032" s="512" t="s">
        <v>9176</v>
      </c>
      <c r="E2032" s="512" t="s">
        <v>8098</v>
      </c>
      <c r="F2032" s="512" t="s">
        <v>9177</v>
      </c>
      <c r="G2032" s="512" t="s">
        <v>9251</v>
      </c>
      <c r="H2032" s="512" t="s">
        <v>7426</v>
      </c>
      <c r="L2032" s="505" t="s">
        <v>4394</v>
      </c>
      <c r="M2032" s="516">
        <v>10.210000000000001</v>
      </c>
      <c r="N2032" s="505" t="s">
        <v>4394</v>
      </c>
    </row>
    <row r="2033" spans="1:14" s="530" customFormat="1" x14ac:dyDescent="0.25">
      <c r="A2033" s="530" t="s">
        <v>5333</v>
      </c>
      <c r="B2033" s="530" t="s">
        <v>5334</v>
      </c>
      <c r="C2033" s="531" t="s">
        <v>9265</v>
      </c>
      <c r="D2033" s="531" t="s">
        <v>7856</v>
      </c>
      <c r="E2033" s="531" t="s">
        <v>7506</v>
      </c>
      <c r="F2033" s="531" t="s">
        <v>9266</v>
      </c>
      <c r="G2033" s="531" t="s">
        <v>9267</v>
      </c>
      <c r="H2033" s="531"/>
      <c r="I2033" s="531"/>
      <c r="L2033" s="530" t="s">
        <v>1205</v>
      </c>
      <c r="M2033" s="532">
        <v>0</v>
      </c>
      <c r="N2033" s="530" t="s">
        <v>1544</v>
      </c>
    </row>
    <row r="2034" spans="1:14" x14ac:dyDescent="0.25">
      <c r="A2034" s="505" t="s">
        <v>5335</v>
      </c>
      <c r="B2034" s="505" t="s">
        <v>5336</v>
      </c>
      <c r="C2034" s="512" t="s">
        <v>7806</v>
      </c>
      <c r="D2034" s="512" t="s">
        <v>7734</v>
      </c>
      <c r="E2034" s="512" t="s">
        <v>7909</v>
      </c>
      <c r="F2034" s="512" t="s">
        <v>7914</v>
      </c>
      <c r="G2034" s="512" t="s">
        <v>9268</v>
      </c>
      <c r="L2034" s="505" t="s">
        <v>1205</v>
      </c>
      <c r="M2034" s="516">
        <v>55.97</v>
      </c>
      <c r="N2034" s="505" t="s">
        <v>1205</v>
      </c>
    </row>
    <row r="2035" spans="1:14" x14ac:dyDescent="0.25">
      <c r="A2035" s="505" t="s">
        <v>5337</v>
      </c>
      <c r="B2035" s="505" t="s">
        <v>5338</v>
      </c>
      <c r="C2035" s="512" t="s">
        <v>7806</v>
      </c>
      <c r="D2035" s="512" t="s">
        <v>9269</v>
      </c>
      <c r="E2035" s="512" t="s">
        <v>7909</v>
      </c>
      <c r="F2035" s="512" t="s">
        <v>7914</v>
      </c>
      <c r="G2035" s="512" t="s">
        <v>9268</v>
      </c>
      <c r="L2035" s="505" t="s">
        <v>1205</v>
      </c>
      <c r="M2035" s="516">
        <v>58.24</v>
      </c>
      <c r="N2035" s="505" t="s">
        <v>1205</v>
      </c>
    </row>
    <row r="2036" spans="1:14" x14ac:dyDescent="0.25">
      <c r="A2036" s="505" t="s">
        <v>5339</v>
      </c>
      <c r="B2036" s="505" t="s">
        <v>5340</v>
      </c>
      <c r="C2036" s="512" t="s">
        <v>7806</v>
      </c>
      <c r="D2036" s="512" t="s">
        <v>7735</v>
      </c>
      <c r="E2036" s="512" t="s">
        <v>7909</v>
      </c>
      <c r="F2036" s="512" t="s">
        <v>7914</v>
      </c>
      <c r="G2036" s="512" t="s">
        <v>9270</v>
      </c>
      <c r="L2036" s="505" t="s">
        <v>1205</v>
      </c>
      <c r="M2036" s="516">
        <v>104.35</v>
      </c>
      <c r="N2036" s="505" t="s">
        <v>1205</v>
      </c>
    </row>
    <row r="2037" spans="1:14" x14ac:dyDescent="0.25">
      <c r="A2037" s="505" t="s">
        <v>5341</v>
      </c>
      <c r="B2037" s="505" t="s">
        <v>5342</v>
      </c>
      <c r="C2037" s="512" t="s">
        <v>9271</v>
      </c>
      <c r="D2037" s="512" t="s">
        <v>9272</v>
      </c>
      <c r="E2037" s="512" t="s">
        <v>7910</v>
      </c>
      <c r="F2037" s="512" t="s">
        <v>9273</v>
      </c>
      <c r="G2037" s="512" t="s">
        <v>9274</v>
      </c>
      <c r="H2037" s="512" t="s">
        <v>9275</v>
      </c>
      <c r="L2037" s="505" t="s">
        <v>1205</v>
      </c>
      <c r="M2037" s="516">
        <v>3.36</v>
      </c>
      <c r="N2037" s="505" t="s">
        <v>1205</v>
      </c>
    </row>
    <row r="2038" spans="1:14" x14ac:dyDescent="0.25">
      <c r="A2038" s="505" t="s">
        <v>5343</v>
      </c>
      <c r="B2038" s="505" t="s">
        <v>5344</v>
      </c>
      <c r="C2038" s="512" t="s">
        <v>9271</v>
      </c>
      <c r="D2038" s="512" t="s">
        <v>9272</v>
      </c>
      <c r="E2038" s="512" t="s">
        <v>7910</v>
      </c>
      <c r="F2038" s="512" t="s">
        <v>9273</v>
      </c>
      <c r="G2038" s="512" t="s">
        <v>9274</v>
      </c>
      <c r="H2038" s="512" t="s">
        <v>7437</v>
      </c>
      <c r="L2038" s="505" t="s">
        <v>1205</v>
      </c>
      <c r="M2038" s="516">
        <v>3.36</v>
      </c>
      <c r="N2038" s="505" t="s">
        <v>1205</v>
      </c>
    </row>
    <row r="2039" spans="1:14" x14ac:dyDescent="0.25">
      <c r="A2039" s="505" t="s">
        <v>5345</v>
      </c>
      <c r="B2039" s="505" t="s">
        <v>5346</v>
      </c>
      <c r="C2039" s="512" t="s">
        <v>9271</v>
      </c>
      <c r="D2039" s="512" t="s">
        <v>9272</v>
      </c>
      <c r="E2039" s="512" t="s">
        <v>7910</v>
      </c>
      <c r="F2039" s="512" t="s">
        <v>9273</v>
      </c>
      <c r="G2039" s="512" t="s">
        <v>9274</v>
      </c>
      <c r="H2039" s="512" t="s">
        <v>7800</v>
      </c>
      <c r="L2039" s="505" t="s">
        <v>1205</v>
      </c>
      <c r="M2039" s="516">
        <v>3.36</v>
      </c>
      <c r="N2039" s="505" t="s">
        <v>1205</v>
      </c>
    </row>
    <row r="2040" spans="1:14" x14ac:dyDescent="0.25">
      <c r="A2040" s="505" t="s">
        <v>5347</v>
      </c>
      <c r="B2040" s="505" t="s">
        <v>5348</v>
      </c>
      <c r="C2040" s="512" t="s">
        <v>9271</v>
      </c>
      <c r="D2040" s="512" t="s">
        <v>9272</v>
      </c>
      <c r="E2040" s="512" t="s">
        <v>7910</v>
      </c>
      <c r="F2040" s="512" t="s">
        <v>9273</v>
      </c>
      <c r="G2040" s="512" t="s">
        <v>9274</v>
      </c>
      <c r="H2040" s="512" t="s">
        <v>8976</v>
      </c>
      <c r="L2040" s="505" t="s">
        <v>1205</v>
      </c>
      <c r="M2040" s="516">
        <v>3.36</v>
      </c>
      <c r="N2040" s="505" t="s">
        <v>1205</v>
      </c>
    </row>
    <row r="2041" spans="1:14" x14ac:dyDescent="0.25">
      <c r="A2041" s="505" t="s">
        <v>5349</v>
      </c>
      <c r="B2041" s="505" t="s">
        <v>5350</v>
      </c>
      <c r="C2041" s="512" t="s">
        <v>9271</v>
      </c>
      <c r="D2041" s="512" t="s">
        <v>9272</v>
      </c>
      <c r="E2041" s="512" t="s">
        <v>7910</v>
      </c>
      <c r="F2041" s="512" t="s">
        <v>9273</v>
      </c>
      <c r="G2041" s="512" t="s">
        <v>9274</v>
      </c>
      <c r="H2041" s="512" t="s">
        <v>7881</v>
      </c>
      <c r="L2041" s="505" t="s">
        <v>1205</v>
      </c>
      <c r="M2041" s="516">
        <v>3.36</v>
      </c>
      <c r="N2041" s="505" t="s">
        <v>1205</v>
      </c>
    </row>
    <row r="2042" spans="1:14" x14ac:dyDescent="0.25">
      <c r="A2042" s="505" t="s">
        <v>5351</v>
      </c>
      <c r="B2042" s="505" t="s">
        <v>5352</v>
      </c>
      <c r="C2042" s="512" t="s">
        <v>9271</v>
      </c>
      <c r="D2042" s="512" t="s">
        <v>9272</v>
      </c>
      <c r="E2042" s="512" t="s">
        <v>7910</v>
      </c>
      <c r="F2042" s="512" t="s">
        <v>9273</v>
      </c>
      <c r="G2042" s="512" t="s">
        <v>9274</v>
      </c>
      <c r="H2042" s="512" t="s">
        <v>9276</v>
      </c>
      <c r="L2042" s="505" t="s">
        <v>1205</v>
      </c>
      <c r="M2042" s="516">
        <v>3.36</v>
      </c>
      <c r="N2042" s="505" t="s">
        <v>1205</v>
      </c>
    </row>
    <row r="2043" spans="1:14" x14ac:dyDescent="0.25">
      <c r="A2043" s="505" t="s">
        <v>5353</v>
      </c>
      <c r="B2043" s="505" t="s">
        <v>5354</v>
      </c>
      <c r="C2043" s="512" t="s">
        <v>9271</v>
      </c>
      <c r="D2043" s="512" t="s">
        <v>9272</v>
      </c>
      <c r="E2043" s="512" t="s">
        <v>7910</v>
      </c>
      <c r="F2043" s="512" t="s">
        <v>9273</v>
      </c>
      <c r="G2043" s="512" t="s">
        <v>9274</v>
      </c>
      <c r="H2043" s="512" t="s">
        <v>9277</v>
      </c>
      <c r="L2043" s="505" t="s">
        <v>1205</v>
      </c>
      <c r="M2043" s="516">
        <v>3.36</v>
      </c>
      <c r="N2043" s="505" t="s">
        <v>1205</v>
      </c>
    </row>
    <row r="2044" spans="1:14" x14ac:dyDescent="0.25">
      <c r="A2044" s="505" t="s">
        <v>5355</v>
      </c>
      <c r="B2044" s="505" t="s">
        <v>5356</v>
      </c>
      <c r="C2044" s="512" t="s">
        <v>9271</v>
      </c>
      <c r="D2044" s="512" t="s">
        <v>9272</v>
      </c>
      <c r="E2044" s="512" t="s">
        <v>7910</v>
      </c>
      <c r="F2044" s="512" t="s">
        <v>9273</v>
      </c>
      <c r="G2044" s="512" t="s">
        <v>9274</v>
      </c>
      <c r="H2044" s="512" t="s">
        <v>8385</v>
      </c>
      <c r="L2044" s="505" t="s">
        <v>1205</v>
      </c>
      <c r="M2044" s="516">
        <v>3.36</v>
      </c>
      <c r="N2044" s="505" t="s">
        <v>1205</v>
      </c>
    </row>
    <row r="2045" spans="1:14" x14ac:dyDescent="0.25">
      <c r="A2045" s="505" t="s">
        <v>5357</v>
      </c>
      <c r="B2045" s="505" t="s">
        <v>5358</v>
      </c>
      <c r="C2045" s="512" t="s">
        <v>9271</v>
      </c>
      <c r="D2045" s="512" t="s">
        <v>9272</v>
      </c>
      <c r="E2045" s="512" t="s">
        <v>7910</v>
      </c>
      <c r="F2045" s="512" t="s">
        <v>9273</v>
      </c>
      <c r="G2045" s="512" t="s">
        <v>9274</v>
      </c>
      <c r="H2045" s="512" t="s">
        <v>7454</v>
      </c>
      <c r="L2045" s="505" t="s">
        <v>1205</v>
      </c>
      <c r="M2045" s="516">
        <v>3.36</v>
      </c>
      <c r="N2045" s="505" t="s">
        <v>1205</v>
      </c>
    </row>
    <row r="2046" spans="1:14" x14ac:dyDescent="0.25">
      <c r="A2046" s="505" t="s">
        <v>5359</v>
      </c>
      <c r="B2046" s="505" t="s">
        <v>5360</v>
      </c>
      <c r="C2046" s="512" t="s">
        <v>9271</v>
      </c>
      <c r="D2046" s="512" t="s">
        <v>9272</v>
      </c>
      <c r="E2046" s="512" t="s">
        <v>7910</v>
      </c>
      <c r="F2046" s="512" t="s">
        <v>9273</v>
      </c>
      <c r="G2046" s="512" t="s">
        <v>9274</v>
      </c>
      <c r="H2046" s="512" t="s">
        <v>7433</v>
      </c>
      <c r="L2046" s="505" t="s">
        <v>1205</v>
      </c>
      <c r="M2046" s="516">
        <v>3.36</v>
      </c>
      <c r="N2046" s="505" t="s">
        <v>1205</v>
      </c>
    </row>
    <row r="2047" spans="1:14" x14ac:dyDescent="0.25">
      <c r="A2047" s="505" t="s">
        <v>5361</v>
      </c>
      <c r="B2047" s="505" t="s">
        <v>5362</v>
      </c>
      <c r="C2047" s="512" t="s">
        <v>9271</v>
      </c>
      <c r="D2047" s="512" t="s">
        <v>9272</v>
      </c>
      <c r="E2047" s="512" t="s">
        <v>7910</v>
      </c>
      <c r="F2047" s="512" t="s">
        <v>9273</v>
      </c>
      <c r="G2047" s="512" t="s">
        <v>9274</v>
      </c>
      <c r="H2047" s="512" t="s">
        <v>8979</v>
      </c>
      <c r="L2047" s="505" t="s">
        <v>1205</v>
      </c>
      <c r="M2047" s="516">
        <v>3.36</v>
      </c>
      <c r="N2047" s="505" t="s">
        <v>1205</v>
      </c>
    </row>
    <row r="2048" spans="1:14" x14ac:dyDescent="0.25">
      <c r="A2048" s="505" t="s">
        <v>5363</v>
      </c>
      <c r="B2048" s="505" t="s">
        <v>5364</v>
      </c>
      <c r="C2048" s="512" t="s">
        <v>9271</v>
      </c>
      <c r="D2048" s="512" t="s">
        <v>9272</v>
      </c>
      <c r="E2048" s="512" t="s">
        <v>7910</v>
      </c>
      <c r="F2048" s="512" t="s">
        <v>9273</v>
      </c>
      <c r="G2048" s="512" t="s">
        <v>9274</v>
      </c>
      <c r="H2048" s="512" t="s">
        <v>8143</v>
      </c>
      <c r="L2048" s="505" t="s">
        <v>1205</v>
      </c>
      <c r="M2048" s="516">
        <v>3.36</v>
      </c>
      <c r="N2048" s="505" t="s">
        <v>1205</v>
      </c>
    </row>
    <row r="2049" spans="1:14" x14ac:dyDescent="0.25">
      <c r="A2049" s="505" t="s">
        <v>5365</v>
      </c>
      <c r="B2049" s="505" t="s">
        <v>5366</v>
      </c>
      <c r="C2049" s="512" t="s">
        <v>9271</v>
      </c>
      <c r="D2049" s="512" t="s">
        <v>9272</v>
      </c>
      <c r="E2049" s="512" t="s">
        <v>7910</v>
      </c>
      <c r="F2049" s="512" t="s">
        <v>9273</v>
      </c>
      <c r="G2049" s="512" t="s">
        <v>9274</v>
      </c>
      <c r="H2049" s="512" t="s">
        <v>9278</v>
      </c>
      <c r="L2049" s="505" t="s">
        <v>1205</v>
      </c>
      <c r="M2049" s="516">
        <v>3.36</v>
      </c>
      <c r="N2049" s="505" t="s">
        <v>1205</v>
      </c>
    </row>
    <row r="2050" spans="1:14" x14ac:dyDescent="0.25">
      <c r="A2050" s="505" t="s">
        <v>5367</v>
      </c>
      <c r="B2050" s="505" t="s">
        <v>5368</v>
      </c>
      <c r="C2050" s="512" t="s">
        <v>9271</v>
      </c>
      <c r="D2050" s="512" t="s">
        <v>9272</v>
      </c>
      <c r="E2050" s="512" t="s">
        <v>7910</v>
      </c>
      <c r="F2050" s="512" t="s">
        <v>9273</v>
      </c>
      <c r="G2050" s="512" t="s">
        <v>9274</v>
      </c>
      <c r="H2050" s="512" t="s">
        <v>7889</v>
      </c>
      <c r="L2050" s="505" t="s">
        <v>1205</v>
      </c>
      <c r="M2050" s="516">
        <v>3.36</v>
      </c>
      <c r="N2050" s="505" t="s">
        <v>1205</v>
      </c>
    </row>
    <row r="2051" spans="1:14" x14ac:dyDescent="0.25">
      <c r="A2051" s="505" t="s">
        <v>5369</v>
      </c>
      <c r="B2051" s="505" t="s">
        <v>5370</v>
      </c>
      <c r="C2051" s="512" t="s">
        <v>9271</v>
      </c>
      <c r="D2051" s="512" t="s">
        <v>9272</v>
      </c>
      <c r="E2051" s="512" t="s">
        <v>7910</v>
      </c>
      <c r="F2051" s="512" t="s">
        <v>9273</v>
      </c>
      <c r="G2051" s="512" t="s">
        <v>9274</v>
      </c>
      <c r="H2051" s="512" t="s">
        <v>9279</v>
      </c>
      <c r="L2051" s="505" t="s">
        <v>1205</v>
      </c>
      <c r="M2051" s="516">
        <v>3.36</v>
      </c>
      <c r="N2051" s="505" t="s">
        <v>1205</v>
      </c>
    </row>
    <row r="2052" spans="1:14" x14ac:dyDescent="0.25">
      <c r="A2052" s="505" t="s">
        <v>5371</v>
      </c>
      <c r="B2052" s="505" t="s">
        <v>5372</v>
      </c>
      <c r="C2052" s="512" t="s">
        <v>9271</v>
      </c>
      <c r="D2052" s="512" t="s">
        <v>9272</v>
      </c>
      <c r="E2052" s="512" t="s">
        <v>7910</v>
      </c>
      <c r="F2052" s="512" t="s">
        <v>9273</v>
      </c>
      <c r="G2052" s="512" t="s">
        <v>9274</v>
      </c>
      <c r="H2052" s="512" t="s">
        <v>7803</v>
      </c>
      <c r="L2052" s="505" t="s">
        <v>1205</v>
      </c>
      <c r="M2052" s="516">
        <v>3.36</v>
      </c>
      <c r="N2052" s="505" t="s">
        <v>1205</v>
      </c>
    </row>
    <row r="2053" spans="1:14" x14ac:dyDescent="0.25">
      <c r="A2053" s="505" t="s">
        <v>5373</v>
      </c>
      <c r="B2053" s="505" t="s">
        <v>5374</v>
      </c>
      <c r="C2053" s="512" t="s">
        <v>9271</v>
      </c>
      <c r="D2053" s="512" t="s">
        <v>9272</v>
      </c>
      <c r="E2053" s="512" t="s">
        <v>7910</v>
      </c>
      <c r="F2053" s="512" t="s">
        <v>9273</v>
      </c>
      <c r="G2053" s="512" t="s">
        <v>9274</v>
      </c>
      <c r="H2053" s="512" t="s">
        <v>7721</v>
      </c>
      <c r="L2053" s="505" t="s">
        <v>1205</v>
      </c>
      <c r="M2053" s="516">
        <v>3.36</v>
      </c>
      <c r="N2053" s="505" t="s">
        <v>1205</v>
      </c>
    </row>
    <row r="2054" spans="1:14" x14ac:dyDescent="0.25">
      <c r="A2054" s="505" t="s">
        <v>5375</v>
      </c>
      <c r="B2054" s="505" t="s">
        <v>5376</v>
      </c>
      <c r="C2054" s="512" t="s">
        <v>9271</v>
      </c>
      <c r="D2054" s="512" t="s">
        <v>9272</v>
      </c>
      <c r="E2054" s="512" t="s">
        <v>7910</v>
      </c>
      <c r="F2054" s="512" t="s">
        <v>9273</v>
      </c>
      <c r="G2054" s="512" t="s">
        <v>9274</v>
      </c>
      <c r="H2054" s="512" t="s">
        <v>7804</v>
      </c>
      <c r="L2054" s="505" t="s">
        <v>1205</v>
      </c>
      <c r="M2054" s="516">
        <v>3.36</v>
      </c>
      <c r="N2054" s="505" t="s">
        <v>1205</v>
      </c>
    </row>
    <row r="2055" spans="1:14" x14ac:dyDescent="0.25">
      <c r="A2055" s="505" t="s">
        <v>5377</v>
      </c>
      <c r="B2055" s="505" t="s">
        <v>5378</v>
      </c>
      <c r="C2055" s="512" t="s">
        <v>7977</v>
      </c>
      <c r="D2055" s="512" t="s">
        <v>9269</v>
      </c>
      <c r="E2055" s="512" t="s">
        <v>7909</v>
      </c>
      <c r="F2055" s="512" t="s">
        <v>7914</v>
      </c>
      <c r="G2055" s="512" t="s">
        <v>9268</v>
      </c>
      <c r="L2055" s="505" t="s">
        <v>1205</v>
      </c>
      <c r="M2055" s="516">
        <v>74.25</v>
      </c>
      <c r="N2055" s="505" t="s">
        <v>1205</v>
      </c>
    </row>
    <row r="2056" spans="1:14" x14ac:dyDescent="0.25">
      <c r="A2056" s="505" t="s">
        <v>5379</v>
      </c>
      <c r="B2056" s="505" t="s">
        <v>5380</v>
      </c>
      <c r="C2056" s="512" t="s">
        <v>9280</v>
      </c>
      <c r="D2056" s="512" t="s">
        <v>9281</v>
      </c>
      <c r="E2056" s="512">
        <v>2</v>
      </c>
      <c r="F2056" s="512" t="s">
        <v>9282</v>
      </c>
      <c r="G2056" s="512" t="s">
        <v>9283</v>
      </c>
      <c r="L2056" s="505" t="s">
        <v>3135</v>
      </c>
      <c r="M2056" s="516">
        <v>67.33</v>
      </c>
      <c r="N2056" s="505" t="s">
        <v>3135</v>
      </c>
    </row>
    <row r="2057" spans="1:14" x14ac:dyDescent="0.25">
      <c r="A2057" s="505" t="s">
        <v>5381</v>
      </c>
      <c r="B2057" s="505" t="s">
        <v>5382</v>
      </c>
      <c r="C2057" s="512" t="s">
        <v>9284</v>
      </c>
      <c r="D2057" s="512" t="s">
        <v>9285</v>
      </c>
      <c r="E2057" s="512" t="s">
        <v>9286</v>
      </c>
      <c r="F2057" s="512" t="s">
        <v>9287</v>
      </c>
      <c r="G2057" s="512" t="s">
        <v>9288</v>
      </c>
      <c r="L2057" s="505" t="s">
        <v>1206</v>
      </c>
      <c r="M2057" s="516">
        <v>73.25</v>
      </c>
      <c r="N2057" s="505" t="s">
        <v>1206</v>
      </c>
    </row>
    <row r="2058" spans="1:14" x14ac:dyDescent="0.25">
      <c r="A2058" s="505" t="s">
        <v>5383</v>
      </c>
      <c r="B2058" s="505" t="s">
        <v>5384</v>
      </c>
      <c r="C2058" s="512" t="s">
        <v>9284</v>
      </c>
      <c r="D2058" s="512" t="s">
        <v>9285</v>
      </c>
      <c r="E2058" s="512" t="s">
        <v>9289</v>
      </c>
      <c r="F2058" s="512" t="s">
        <v>7818</v>
      </c>
      <c r="G2058" s="512" t="s">
        <v>9290</v>
      </c>
      <c r="H2058" s="512" t="s">
        <v>9291</v>
      </c>
      <c r="L2058" s="505" t="s">
        <v>1206</v>
      </c>
      <c r="M2058" s="516">
        <v>107.13</v>
      </c>
      <c r="N2058" s="505" t="s">
        <v>1206</v>
      </c>
    </row>
    <row r="2059" spans="1:14" x14ac:dyDescent="0.25">
      <c r="A2059" s="505" t="s">
        <v>5385</v>
      </c>
      <c r="B2059" s="505" t="s">
        <v>5386</v>
      </c>
      <c r="C2059" s="512" t="s">
        <v>9292</v>
      </c>
      <c r="D2059" s="512" t="s">
        <v>9293</v>
      </c>
      <c r="E2059" s="512" t="s">
        <v>9294</v>
      </c>
      <c r="L2059" s="505" t="s">
        <v>1178</v>
      </c>
      <c r="M2059" s="516">
        <v>74</v>
      </c>
      <c r="N2059" s="505" t="s">
        <v>1178</v>
      </c>
    </row>
    <row r="2060" spans="1:14" x14ac:dyDescent="0.25">
      <c r="A2060" s="505" t="s">
        <v>5387</v>
      </c>
      <c r="B2060" s="505" t="s">
        <v>5388</v>
      </c>
      <c r="C2060" s="512" t="s">
        <v>7429</v>
      </c>
      <c r="D2060" s="512" t="s">
        <v>9295</v>
      </c>
      <c r="E2060" s="512" t="s">
        <v>9296</v>
      </c>
      <c r="F2060" s="512" t="s">
        <v>7822</v>
      </c>
      <c r="G2060" s="512" t="s">
        <v>9283</v>
      </c>
      <c r="L2060" s="505" t="s">
        <v>3135</v>
      </c>
      <c r="M2060" s="516">
        <v>34.18</v>
      </c>
      <c r="N2060" s="505" t="s">
        <v>3135</v>
      </c>
    </row>
    <row r="2061" spans="1:14" s="530" customFormat="1" x14ac:dyDescent="0.25">
      <c r="A2061" s="530" t="s">
        <v>5389</v>
      </c>
      <c r="B2061" s="530" t="s">
        <v>5390</v>
      </c>
      <c r="C2061" s="531" t="s">
        <v>7429</v>
      </c>
      <c r="D2061" s="531" t="s">
        <v>9295</v>
      </c>
      <c r="E2061" s="531" t="s">
        <v>9296</v>
      </c>
      <c r="F2061" s="531" t="s">
        <v>7808</v>
      </c>
      <c r="G2061" s="531" t="s">
        <v>9283</v>
      </c>
      <c r="H2061" s="531"/>
      <c r="I2061" s="531"/>
      <c r="L2061" s="530" t="s">
        <v>3135</v>
      </c>
      <c r="M2061" s="532">
        <v>0</v>
      </c>
      <c r="N2061" s="530" t="s">
        <v>1544</v>
      </c>
    </row>
    <row r="2062" spans="1:14" s="530" customFormat="1" x14ac:dyDescent="0.25">
      <c r="A2062" s="530" t="s">
        <v>5391</v>
      </c>
      <c r="B2062" s="530" t="s">
        <v>5392</v>
      </c>
      <c r="C2062" s="531" t="s">
        <v>7429</v>
      </c>
      <c r="D2062" s="531" t="s">
        <v>9295</v>
      </c>
      <c r="E2062" s="531" t="s">
        <v>9296</v>
      </c>
      <c r="F2062" s="531" t="s">
        <v>7734</v>
      </c>
      <c r="G2062" s="531" t="s">
        <v>9283</v>
      </c>
      <c r="H2062" s="531"/>
      <c r="I2062" s="531"/>
      <c r="L2062" s="530" t="s">
        <v>3135</v>
      </c>
      <c r="M2062" s="532">
        <v>0</v>
      </c>
      <c r="N2062" s="530" t="s">
        <v>1544</v>
      </c>
    </row>
    <row r="2063" spans="1:14" x14ac:dyDescent="0.25">
      <c r="A2063" s="505" t="s">
        <v>5393</v>
      </c>
      <c r="B2063" s="505" t="s">
        <v>5394</v>
      </c>
      <c r="C2063" s="512" t="s">
        <v>7429</v>
      </c>
      <c r="D2063" s="512" t="s">
        <v>9295</v>
      </c>
      <c r="E2063" s="512" t="s">
        <v>9296</v>
      </c>
      <c r="F2063" s="512" t="s">
        <v>7825</v>
      </c>
      <c r="G2063" s="512" t="s">
        <v>9283</v>
      </c>
      <c r="L2063" s="505" t="s">
        <v>3135</v>
      </c>
      <c r="M2063" s="516">
        <v>30.94</v>
      </c>
      <c r="N2063" s="505" t="s">
        <v>3135</v>
      </c>
    </row>
    <row r="2064" spans="1:14" x14ac:dyDescent="0.25">
      <c r="A2064" s="505" t="s">
        <v>5395</v>
      </c>
      <c r="B2064" s="505" t="s">
        <v>5396</v>
      </c>
      <c r="C2064" s="512" t="s">
        <v>7429</v>
      </c>
      <c r="D2064" s="512" t="s">
        <v>9297</v>
      </c>
      <c r="E2064" s="512" t="s">
        <v>9296</v>
      </c>
      <c r="F2064" s="512" t="s">
        <v>7822</v>
      </c>
      <c r="G2064" s="512" t="s">
        <v>9283</v>
      </c>
      <c r="L2064" s="505" t="s">
        <v>3135</v>
      </c>
      <c r="M2064" s="516">
        <v>34.18</v>
      </c>
      <c r="N2064" s="505" t="s">
        <v>3135</v>
      </c>
    </row>
    <row r="2065" spans="1:14" x14ac:dyDescent="0.25">
      <c r="A2065" s="505" t="s">
        <v>5397</v>
      </c>
      <c r="B2065" s="505" t="s">
        <v>5398</v>
      </c>
      <c r="C2065" s="512" t="s">
        <v>7429</v>
      </c>
      <c r="D2065" s="512" t="s">
        <v>9297</v>
      </c>
      <c r="E2065" s="512" t="s">
        <v>9296</v>
      </c>
      <c r="F2065" s="512" t="s">
        <v>7808</v>
      </c>
      <c r="G2065" s="512" t="s">
        <v>9283</v>
      </c>
      <c r="L2065" s="505" t="s">
        <v>3135</v>
      </c>
      <c r="M2065" s="516">
        <v>28.35</v>
      </c>
      <c r="N2065" s="505" t="s">
        <v>3135</v>
      </c>
    </row>
    <row r="2066" spans="1:14" x14ac:dyDescent="0.25">
      <c r="A2066" s="505" t="s">
        <v>5399</v>
      </c>
      <c r="B2066" s="505" t="s">
        <v>5400</v>
      </c>
      <c r="C2066" s="512" t="s">
        <v>7429</v>
      </c>
      <c r="D2066" s="512" t="s">
        <v>9297</v>
      </c>
      <c r="E2066" s="512" t="s">
        <v>9296</v>
      </c>
      <c r="F2066" s="512" t="s">
        <v>7765</v>
      </c>
      <c r="G2066" s="512" t="s">
        <v>9283</v>
      </c>
      <c r="L2066" s="505" t="s">
        <v>3135</v>
      </c>
      <c r="M2066" s="516">
        <v>45.56</v>
      </c>
      <c r="N2066" s="505" t="s">
        <v>3135</v>
      </c>
    </row>
    <row r="2067" spans="1:14" x14ac:dyDescent="0.25">
      <c r="A2067" s="505" t="s">
        <v>5401</v>
      </c>
      <c r="B2067" s="505" t="s">
        <v>5402</v>
      </c>
      <c r="C2067" s="512" t="s">
        <v>7429</v>
      </c>
      <c r="D2067" s="512" t="s">
        <v>9297</v>
      </c>
      <c r="E2067" s="512" t="s">
        <v>9296</v>
      </c>
      <c r="F2067" s="512" t="s">
        <v>7734</v>
      </c>
      <c r="G2067" s="512" t="s">
        <v>9283</v>
      </c>
      <c r="L2067" s="505" t="s">
        <v>3135</v>
      </c>
      <c r="M2067" s="516">
        <v>60.74</v>
      </c>
      <c r="N2067" s="505" t="s">
        <v>3135</v>
      </c>
    </row>
    <row r="2068" spans="1:14" s="530" customFormat="1" x14ac:dyDescent="0.25">
      <c r="A2068" s="530" t="s">
        <v>5403</v>
      </c>
      <c r="B2068" s="530" t="s">
        <v>5404</v>
      </c>
      <c r="C2068" s="531" t="s">
        <v>7429</v>
      </c>
      <c r="D2068" s="531" t="s">
        <v>9297</v>
      </c>
      <c r="E2068" s="531" t="s">
        <v>9296</v>
      </c>
      <c r="F2068" s="531" t="s">
        <v>7735</v>
      </c>
      <c r="G2068" s="531" t="s">
        <v>9283</v>
      </c>
      <c r="H2068" s="531"/>
      <c r="I2068" s="531"/>
      <c r="L2068" s="530" t="s">
        <v>3135</v>
      </c>
      <c r="M2068" s="532">
        <v>0</v>
      </c>
      <c r="N2068" s="530" t="s">
        <v>1544</v>
      </c>
    </row>
    <row r="2069" spans="1:14" x14ac:dyDescent="0.25">
      <c r="A2069" s="505" t="s">
        <v>5405</v>
      </c>
      <c r="B2069" s="505" t="s">
        <v>5406</v>
      </c>
      <c r="C2069" s="512" t="s">
        <v>7429</v>
      </c>
      <c r="D2069" s="512" t="s">
        <v>9297</v>
      </c>
      <c r="E2069" s="512" t="s">
        <v>9296</v>
      </c>
      <c r="F2069" s="512" t="s">
        <v>7825</v>
      </c>
      <c r="G2069" s="512" t="s">
        <v>9283</v>
      </c>
      <c r="L2069" s="505" t="s">
        <v>3135</v>
      </c>
      <c r="M2069" s="516">
        <v>30.94</v>
      </c>
      <c r="N2069" s="505" t="s">
        <v>3135</v>
      </c>
    </row>
    <row r="2070" spans="1:14" s="530" customFormat="1" x14ac:dyDescent="0.25">
      <c r="A2070" s="530" t="s">
        <v>5407</v>
      </c>
      <c r="B2070" s="530" t="s">
        <v>5408</v>
      </c>
      <c r="C2070" s="531" t="s">
        <v>7429</v>
      </c>
      <c r="D2070" s="531" t="s">
        <v>9297</v>
      </c>
      <c r="E2070" s="531" t="s">
        <v>9296</v>
      </c>
      <c r="F2070" s="531" t="s">
        <v>7736</v>
      </c>
      <c r="G2070" s="531" t="s">
        <v>9283</v>
      </c>
      <c r="H2070" s="531"/>
      <c r="I2070" s="531"/>
      <c r="L2070" s="530" t="s">
        <v>3135</v>
      </c>
      <c r="M2070" s="532">
        <v>0</v>
      </c>
      <c r="N2070" s="530" t="s">
        <v>1544</v>
      </c>
    </row>
    <row r="2071" spans="1:14" s="530" customFormat="1" x14ac:dyDescent="0.25">
      <c r="A2071" s="530" t="s">
        <v>5409</v>
      </c>
      <c r="B2071" s="530" t="s">
        <v>5410</v>
      </c>
      <c r="C2071" s="531" t="s">
        <v>9298</v>
      </c>
      <c r="D2071" s="531" t="s">
        <v>9299</v>
      </c>
      <c r="E2071" s="531" t="s">
        <v>9300</v>
      </c>
      <c r="F2071" s="531" t="s">
        <v>9301</v>
      </c>
      <c r="G2071" s="531" t="s">
        <v>9302</v>
      </c>
      <c r="H2071" s="531"/>
      <c r="I2071" s="531"/>
      <c r="L2071" s="530" t="s">
        <v>1178</v>
      </c>
      <c r="M2071" s="532">
        <v>0</v>
      </c>
      <c r="N2071" s="530" t="s">
        <v>1544</v>
      </c>
    </row>
    <row r="2072" spans="1:14" x14ac:dyDescent="0.25">
      <c r="A2072" s="505" t="s">
        <v>5411</v>
      </c>
      <c r="B2072" s="505" t="s">
        <v>5412</v>
      </c>
      <c r="C2072" s="512" t="s">
        <v>9303</v>
      </c>
      <c r="D2072" s="512" t="s">
        <v>9304</v>
      </c>
      <c r="E2072" s="512" t="s">
        <v>9305</v>
      </c>
      <c r="F2072" s="512" t="s">
        <v>9306</v>
      </c>
      <c r="G2072" s="512" t="s">
        <v>9294</v>
      </c>
      <c r="L2072" s="505" t="s">
        <v>1178</v>
      </c>
      <c r="M2072" s="516">
        <v>111.31</v>
      </c>
      <c r="N2072" s="505" t="s">
        <v>1178</v>
      </c>
    </row>
    <row r="2073" spans="1:14" x14ac:dyDescent="0.25">
      <c r="A2073" s="505" t="s">
        <v>5413</v>
      </c>
      <c r="B2073" s="505" t="s">
        <v>5414</v>
      </c>
      <c r="C2073" s="512" t="s">
        <v>9303</v>
      </c>
      <c r="D2073" s="512" t="s">
        <v>7717</v>
      </c>
      <c r="E2073" s="512" t="s">
        <v>9307</v>
      </c>
      <c r="F2073" s="512" t="s">
        <v>7717</v>
      </c>
      <c r="G2073" s="512" t="s">
        <v>9308</v>
      </c>
      <c r="L2073" s="505" t="s">
        <v>1178</v>
      </c>
      <c r="M2073" s="516">
        <v>28.24</v>
      </c>
      <c r="N2073" s="505" t="s">
        <v>1178</v>
      </c>
    </row>
    <row r="2074" spans="1:14" x14ac:dyDescent="0.25">
      <c r="A2074" s="505" t="s">
        <v>5415</v>
      </c>
      <c r="B2074" s="505" t="s">
        <v>5416</v>
      </c>
      <c r="C2074" s="512" t="s">
        <v>9303</v>
      </c>
      <c r="D2074" s="512" t="s">
        <v>7717</v>
      </c>
      <c r="E2074" s="512" t="s">
        <v>9307</v>
      </c>
      <c r="F2074" s="512" t="s">
        <v>7717</v>
      </c>
      <c r="G2074" s="512" t="s">
        <v>7668</v>
      </c>
      <c r="L2074" s="505" t="s">
        <v>1178</v>
      </c>
      <c r="M2074" s="516">
        <v>42.37</v>
      </c>
      <c r="N2074" s="505" t="s">
        <v>1178</v>
      </c>
    </row>
    <row r="2075" spans="1:14" x14ac:dyDescent="0.25">
      <c r="A2075" s="505" t="s">
        <v>5417</v>
      </c>
      <c r="B2075" s="505" t="s">
        <v>5418</v>
      </c>
      <c r="C2075" s="512" t="s">
        <v>9303</v>
      </c>
      <c r="D2075" s="512" t="s">
        <v>7717</v>
      </c>
      <c r="E2075" s="512" t="s">
        <v>9307</v>
      </c>
      <c r="F2075" s="512" t="s">
        <v>7717</v>
      </c>
      <c r="G2075" s="512" t="s">
        <v>9302</v>
      </c>
      <c r="L2075" s="505" t="s">
        <v>1178</v>
      </c>
      <c r="M2075" s="516">
        <v>63.53</v>
      </c>
      <c r="N2075" s="505" t="s">
        <v>1178</v>
      </c>
    </row>
    <row r="2076" spans="1:14" x14ac:dyDescent="0.25">
      <c r="A2076" s="505" t="s">
        <v>5419</v>
      </c>
      <c r="B2076" s="505" t="s">
        <v>5420</v>
      </c>
      <c r="C2076" s="512" t="s">
        <v>9309</v>
      </c>
      <c r="D2076" s="512" t="s">
        <v>9310</v>
      </c>
      <c r="E2076" s="512" t="s">
        <v>9306</v>
      </c>
      <c r="F2076" s="512" t="s">
        <v>9311</v>
      </c>
      <c r="L2076" s="505" t="s">
        <v>1178</v>
      </c>
      <c r="M2076" s="516">
        <v>317.91000000000003</v>
      </c>
      <c r="N2076" s="505" t="s">
        <v>1178</v>
      </c>
    </row>
    <row r="2077" spans="1:14" x14ac:dyDescent="0.25">
      <c r="A2077" s="505" t="s">
        <v>5421</v>
      </c>
      <c r="B2077" s="505" t="s">
        <v>5422</v>
      </c>
      <c r="C2077" s="512" t="s">
        <v>9309</v>
      </c>
      <c r="D2077" s="512" t="s">
        <v>9312</v>
      </c>
      <c r="E2077" s="512" t="s">
        <v>9306</v>
      </c>
      <c r="F2077" s="512" t="s">
        <v>9311</v>
      </c>
      <c r="L2077" s="505" t="s">
        <v>1178</v>
      </c>
      <c r="M2077" s="516">
        <v>243.93</v>
      </c>
      <c r="N2077" s="505" t="s">
        <v>1178</v>
      </c>
    </row>
    <row r="2078" spans="1:14" x14ac:dyDescent="0.25">
      <c r="A2078" s="505" t="s">
        <v>5423</v>
      </c>
      <c r="B2078" s="505" t="s">
        <v>5424</v>
      </c>
      <c r="C2078" s="512" t="s">
        <v>9309</v>
      </c>
      <c r="D2078" s="512" t="s">
        <v>7709</v>
      </c>
      <c r="E2078" s="512" t="s">
        <v>9313</v>
      </c>
      <c r="F2078" s="512" t="s">
        <v>9308</v>
      </c>
      <c r="L2078" s="505" t="s">
        <v>1178</v>
      </c>
      <c r="M2078" s="516">
        <v>31.75</v>
      </c>
      <c r="N2078" s="505" t="s">
        <v>1178</v>
      </c>
    </row>
    <row r="2079" spans="1:14" x14ac:dyDescent="0.25">
      <c r="A2079" s="505" t="s">
        <v>5425</v>
      </c>
      <c r="B2079" s="505" t="s">
        <v>5426</v>
      </c>
      <c r="C2079" s="512" t="s">
        <v>9299</v>
      </c>
      <c r="D2079" s="512" t="s">
        <v>7706</v>
      </c>
      <c r="E2079" s="512" t="s">
        <v>9314</v>
      </c>
      <c r="F2079" s="512" t="s">
        <v>9315</v>
      </c>
      <c r="L2079" s="505" t="s">
        <v>1178</v>
      </c>
      <c r="M2079" s="516">
        <v>44.89</v>
      </c>
      <c r="N2079" s="505" t="s">
        <v>1178</v>
      </c>
    </row>
    <row r="2080" spans="1:14" x14ac:dyDescent="0.25">
      <c r="A2080" s="505" t="s">
        <v>5427</v>
      </c>
      <c r="B2080" s="505" t="s">
        <v>5428</v>
      </c>
      <c r="C2080" s="512" t="s">
        <v>9309</v>
      </c>
      <c r="D2080" s="512" t="s">
        <v>7709</v>
      </c>
      <c r="E2080" s="512" t="s">
        <v>9313</v>
      </c>
      <c r="F2080" s="512" t="s">
        <v>7668</v>
      </c>
      <c r="L2080" s="505" t="s">
        <v>1178</v>
      </c>
      <c r="M2080" s="516">
        <v>44.66</v>
      </c>
      <c r="N2080" s="505" t="s">
        <v>1178</v>
      </c>
    </row>
    <row r="2081" spans="1:14" x14ac:dyDescent="0.25">
      <c r="A2081" s="505" t="s">
        <v>5429</v>
      </c>
      <c r="B2081" s="505" t="s">
        <v>5430</v>
      </c>
      <c r="C2081" s="512" t="s">
        <v>9309</v>
      </c>
      <c r="D2081" s="512" t="s">
        <v>7709</v>
      </c>
      <c r="E2081" s="512" t="s">
        <v>9313</v>
      </c>
      <c r="F2081" s="512" t="s">
        <v>9316</v>
      </c>
      <c r="L2081" s="505" t="s">
        <v>1178</v>
      </c>
      <c r="M2081" s="516">
        <v>59.85</v>
      </c>
      <c r="N2081" s="505" t="s">
        <v>1178</v>
      </c>
    </row>
    <row r="2082" spans="1:14" x14ac:dyDescent="0.25">
      <c r="A2082" s="505" t="s">
        <v>5431</v>
      </c>
      <c r="B2082" s="505" t="s">
        <v>5432</v>
      </c>
      <c r="C2082" s="512" t="s">
        <v>9309</v>
      </c>
      <c r="D2082" s="512" t="s">
        <v>9317</v>
      </c>
      <c r="E2082" s="512" t="s">
        <v>9306</v>
      </c>
      <c r="F2082" s="512" t="s">
        <v>9318</v>
      </c>
      <c r="L2082" s="505" t="s">
        <v>1178</v>
      </c>
      <c r="M2082" s="516">
        <v>22.42</v>
      </c>
      <c r="N2082" s="505" t="s">
        <v>1178</v>
      </c>
    </row>
    <row r="2083" spans="1:14" x14ac:dyDescent="0.25">
      <c r="A2083" s="505" t="s">
        <v>5433</v>
      </c>
      <c r="B2083" s="505" t="s">
        <v>5434</v>
      </c>
      <c r="C2083" s="512" t="s">
        <v>9309</v>
      </c>
      <c r="D2083" s="512" t="s">
        <v>9317</v>
      </c>
      <c r="E2083" s="512" t="s">
        <v>9306</v>
      </c>
      <c r="F2083" s="512" t="s">
        <v>9294</v>
      </c>
      <c r="L2083" s="505" t="s">
        <v>1178</v>
      </c>
      <c r="M2083" s="516">
        <v>117.63</v>
      </c>
      <c r="N2083" s="505" t="s">
        <v>1178</v>
      </c>
    </row>
    <row r="2084" spans="1:14" x14ac:dyDescent="0.25">
      <c r="A2084" s="505" t="s">
        <v>5435</v>
      </c>
      <c r="B2084" s="505" t="s">
        <v>5436</v>
      </c>
      <c r="C2084" s="512" t="s">
        <v>9319</v>
      </c>
      <c r="D2084" s="512" t="s">
        <v>9305</v>
      </c>
      <c r="E2084" s="512" t="s">
        <v>9306</v>
      </c>
      <c r="F2084" s="512" t="s">
        <v>9294</v>
      </c>
      <c r="G2084" s="512" t="s">
        <v>8060</v>
      </c>
      <c r="L2084" s="505" t="s">
        <v>1178</v>
      </c>
      <c r="M2084" s="516">
        <v>158.55000000000001</v>
      </c>
      <c r="N2084" s="505" t="s">
        <v>1178</v>
      </c>
    </row>
    <row r="2085" spans="1:14" x14ac:dyDescent="0.25">
      <c r="A2085" s="505" t="s">
        <v>5437</v>
      </c>
      <c r="B2085" s="505" t="s">
        <v>5438</v>
      </c>
      <c r="C2085" s="512" t="s">
        <v>9309</v>
      </c>
      <c r="D2085" s="512" t="s">
        <v>9320</v>
      </c>
      <c r="E2085" s="512" t="s">
        <v>9321</v>
      </c>
      <c r="L2085" s="505" t="s">
        <v>1178</v>
      </c>
      <c r="M2085" s="516">
        <v>98.66</v>
      </c>
      <c r="N2085" s="505" t="s">
        <v>1178</v>
      </c>
    </row>
    <row r="2086" spans="1:14" x14ac:dyDescent="0.25">
      <c r="A2086" s="505" t="s">
        <v>5439</v>
      </c>
      <c r="B2086" s="505" t="s">
        <v>5440</v>
      </c>
      <c r="C2086" s="512" t="s">
        <v>9309</v>
      </c>
      <c r="D2086" s="512" t="s">
        <v>9320</v>
      </c>
      <c r="E2086" s="512" t="s">
        <v>9322</v>
      </c>
      <c r="L2086" s="505" t="s">
        <v>1178</v>
      </c>
      <c r="M2086" s="516">
        <v>156.41999999999999</v>
      </c>
      <c r="N2086" s="505" t="s">
        <v>1178</v>
      </c>
    </row>
    <row r="2087" spans="1:14" x14ac:dyDescent="0.25">
      <c r="A2087" s="505" t="s">
        <v>5441</v>
      </c>
      <c r="B2087" s="505" t="s">
        <v>5442</v>
      </c>
      <c r="C2087" s="512" t="s">
        <v>9309</v>
      </c>
      <c r="D2087" s="512" t="s">
        <v>9313</v>
      </c>
      <c r="E2087" s="512" t="s">
        <v>9323</v>
      </c>
      <c r="F2087" s="512" t="s">
        <v>7721</v>
      </c>
      <c r="L2087" s="505" t="s">
        <v>1178</v>
      </c>
      <c r="M2087" s="516">
        <v>11.23</v>
      </c>
      <c r="N2087" s="505" t="s">
        <v>1178</v>
      </c>
    </row>
    <row r="2088" spans="1:14" s="535" customFormat="1" x14ac:dyDescent="0.25">
      <c r="A2088" s="535" t="s">
        <v>5443</v>
      </c>
      <c r="B2088" s="535" t="s">
        <v>5444</v>
      </c>
      <c r="C2088" s="536" t="s">
        <v>9309</v>
      </c>
      <c r="D2088" s="536" t="s">
        <v>9317</v>
      </c>
      <c r="E2088" s="536" t="s">
        <v>9306</v>
      </c>
      <c r="F2088" s="536" t="s">
        <v>9294</v>
      </c>
      <c r="G2088" s="536" t="s">
        <v>9324</v>
      </c>
      <c r="H2088" s="536" t="s">
        <v>7724</v>
      </c>
      <c r="I2088" s="536"/>
      <c r="L2088" s="535" t="s">
        <v>1178</v>
      </c>
      <c r="M2088" s="537">
        <v>105.08</v>
      </c>
      <c r="N2088" s="535" t="s">
        <v>1178</v>
      </c>
    </row>
    <row r="2089" spans="1:14" s="535" customFormat="1" x14ac:dyDescent="0.25">
      <c r="A2089" s="535" t="s">
        <v>5445</v>
      </c>
      <c r="B2089" s="535" t="s">
        <v>5446</v>
      </c>
      <c r="C2089" s="536" t="s">
        <v>9309</v>
      </c>
      <c r="D2089" s="536" t="s">
        <v>9317</v>
      </c>
      <c r="E2089" s="536" t="s">
        <v>9306</v>
      </c>
      <c r="F2089" s="536" t="s">
        <v>9294</v>
      </c>
      <c r="G2089" s="536" t="s">
        <v>9325</v>
      </c>
      <c r="H2089" s="536"/>
      <c r="I2089" s="536"/>
      <c r="L2089" s="535" t="s">
        <v>1178</v>
      </c>
      <c r="M2089" s="537">
        <v>105.08</v>
      </c>
      <c r="N2089" s="535" t="s">
        <v>1178</v>
      </c>
    </row>
    <row r="2090" spans="1:14" s="535" customFormat="1" x14ac:dyDescent="0.25">
      <c r="A2090" s="535" t="s">
        <v>5447</v>
      </c>
      <c r="B2090" s="535" t="s">
        <v>5448</v>
      </c>
      <c r="C2090" s="536" t="s">
        <v>9309</v>
      </c>
      <c r="D2090" s="536" t="s">
        <v>9317</v>
      </c>
      <c r="E2090" s="536" t="s">
        <v>9306</v>
      </c>
      <c r="F2090" s="536" t="s">
        <v>9294</v>
      </c>
      <c r="G2090" s="536" t="s">
        <v>9326</v>
      </c>
      <c r="H2090" s="536" t="s">
        <v>9327</v>
      </c>
      <c r="I2090" s="536"/>
      <c r="L2090" s="535" t="s">
        <v>1178</v>
      </c>
      <c r="M2090" s="537">
        <v>105.08</v>
      </c>
      <c r="N2090" s="535" t="s">
        <v>1178</v>
      </c>
    </row>
    <row r="2091" spans="1:14" s="535" customFormat="1" x14ac:dyDescent="0.25">
      <c r="A2091" s="535" t="s">
        <v>5449</v>
      </c>
      <c r="B2091" s="535" t="s">
        <v>5450</v>
      </c>
      <c r="C2091" s="536" t="s">
        <v>9309</v>
      </c>
      <c r="D2091" s="536" t="s">
        <v>9317</v>
      </c>
      <c r="E2091" s="536" t="s">
        <v>9306</v>
      </c>
      <c r="F2091" s="536" t="s">
        <v>9294</v>
      </c>
      <c r="G2091" s="536" t="s">
        <v>9328</v>
      </c>
      <c r="H2091" s="536" t="s">
        <v>9329</v>
      </c>
      <c r="I2091" s="536"/>
      <c r="L2091" s="535" t="s">
        <v>1178</v>
      </c>
      <c r="M2091" s="537">
        <v>105.08</v>
      </c>
      <c r="N2091" s="535" t="s">
        <v>1178</v>
      </c>
    </row>
    <row r="2092" spans="1:14" s="530" customFormat="1" x14ac:dyDescent="0.25">
      <c r="A2092" s="530" t="s">
        <v>5451</v>
      </c>
      <c r="B2092" s="530" t="s">
        <v>5452</v>
      </c>
      <c r="C2092" s="531" t="s">
        <v>9309</v>
      </c>
      <c r="D2092" s="531" t="s">
        <v>9317</v>
      </c>
      <c r="E2092" s="531" t="s">
        <v>9306</v>
      </c>
      <c r="F2092" s="531" t="s">
        <v>9294</v>
      </c>
      <c r="G2092" s="531" t="s">
        <v>9330</v>
      </c>
      <c r="H2092" s="531"/>
      <c r="I2092" s="531"/>
      <c r="L2092" s="530" t="s">
        <v>1178</v>
      </c>
      <c r="M2092" s="532">
        <v>0</v>
      </c>
      <c r="N2092" s="530" t="s">
        <v>1544</v>
      </c>
    </row>
    <row r="2093" spans="1:14" s="530" customFormat="1" x14ac:dyDescent="0.25">
      <c r="A2093" s="530" t="s">
        <v>5453</v>
      </c>
      <c r="B2093" s="530" t="s">
        <v>5454</v>
      </c>
      <c r="C2093" s="531" t="s">
        <v>9331</v>
      </c>
      <c r="D2093" s="531" t="s">
        <v>9332</v>
      </c>
      <c r="E2093" s="531">
        <v>1940</v>
      </c>
      <c r="F2093" s="531" t="s">
        <v>9333</v>
      </c>
      <c r="G2093" s="531">
        <v>10.1</v>
      </c>
      <c r="H2093" s="531"/>
      <c r="I2093" s="531"/>
      <c r="L2093" s="530" t="s">
        <v>4394</v>
      </c>
      <c r="M2093" s="532">
        <v>0</v>
      </c>
      <c r="N2093" s="530" t="s">
        <v>1544</v>
      </c>
    </row>
    <row r="2094" spans="1:14" s="530" customFormat="1" x14ac:dyDescent="0.25">
      <c r="A2094" s="530" t="s">
        <v>5455</v>
      </c>
      <c r="B2094" s="530" t="s">
        <v>5456</v>
      </c>
      <c r="C2094" s="531" t="s">
        <v>9331</v>
      </c>
      <c r="D2094" s="531" t="s">
        <v>9332</v>
      </c>
      <c r="E2094" s="531">
        <v>1940</v>
      </c>
      <c r="F2094" s="531" t="s">
        <v>9334</v>
      </c>
      <c r="G2094" s="531">
        <v>10.1</v>
      </c>
      <c r="H2094" s="531"/>
      <c r="I2094" s="531"/>
      <c r="L2094" s="530" t="s">
        <v>4394</v>
      </c>
      <c r="M2094" s="532">
        <v>0</v>
      </c>
      <c r="N2094" s="530" t="s">
        <v>1544</v>
      </c>
    </row>
    <row r="2095" spans="1:14" s="530" customFormat="1" x14ac:dyDescent="0.25">
      <c r="A2095" s="530" t="s">
        <v>5457</v>
      </c>
      <c r="B2095" s="530" t="s">
        <v>5458</v>
      </c>
      <c r="C2095" s="531" t="s">
        <v>9331</v>
      </c>
      <c r="D2095" s="531" t="s">
        <v>9332</v>
      </c>
      <c r="E2095" s="531">
        <v>1940</v>
      </c>
      <c r="F2095" s="531" t="s">
        <v>9335</v>
      </c>
      <c r="G2095" s="531">
        <v>10.1</v>
      </c>
      <c r="H2095" s="531"/>
      <c r="I2095" s="531"/>
      <c r="L2095" s="530" t="s">
        <v>4394</v>
      </c>
      <c r="M2095" s="532">
        <v>0</v>
      </c>
      <c r="N2095" s="530" t="s">
        <v>1544</v>
      </c>
    </row>
    <row r="2096" spans="1:14" s="530" customFormat="1" x14ac:dyDescent="0.25">
      <c r="A2096" s="530" t="s">
        <v>5459</v>
      </c>
      <c r="B2096" s="530" t="s">
        <v>5460</v>
      </c>
      <c r="C2096" s="531" t="s">
        <v>9331</v>
      </c>
      <c r="D2096" s="531" t="s">
        <v>9332</v>
      </c>
      <c r="E2096" s="531">
        <v>1940</v>
      </c>
      <c r="F2096" s="531" t="s">
        <v>9336</v>
      </c>
      <c r="G2096" s="531">
        <v>10.1</v>
      </c>
      <c r="H2096" s="531"/>
      <c r="I2096" s="531"/>
      <c r="L2096" s="530" t="s">
        <v>4394</v>
      </c>
      <c r="M2096" s="532">
        <v>0</v>
      </c>
      <c r="N2096" s="530" t="s">
        <v>1544</v>
      </c>
    </row>
    <row r="2097" spans="1:14" s="530" customFormat="1" x14ac:dyDescent="0.25">
      <c r="A2097" s="530" t="s">
        <v>5461</v>
      </c>
      <c r="B2097" s="530" t="s">
        <v>5462</v>
      </c>
      <c r="C2097" s="531" t="s">
        <v>9331</v>
      </c>
      <c r="D2097" s="531" t="s">
        <v>9332</v>
      </c>
      <c r="E2097" s="531">
        <v>1940</v>
      </c>
      <c r="F2097" s="531" t="s">
        <v>9337</v>
      </c>
      <c r="G2097" s="531">
        <v>10.1</v>
      </c>
      <c r="H2097" s="531"/>
      <c r="I2097" s="531"/>
      <c r="L2097" s="530" t="s">
        <v>4394</v>
      </c>
      <c r="M2097" s="532">
        <v>0</v>
      </c>
      <c r="N2097" s="530" t="s">
        <v>1544</v>
      </c>
    </row>
    <row r="2098" spans="1:14" s="530" customFormat="1" x14ac:dyDescent="0.25">
      <c r="A2098" s="530" t="s">
        <v>5463</v>
      </c>
      <c r="B2098" s="530" t="s">
        <v>5464</v>
      </c>
      <c r="C2098" s="531" t="s">
        <v>9331</v>
      </c>
      <c r="D2098" s="531" t="s">
        <v>9332</v>
      </c>
      <c r="E2098" s="531">
        <v>1940</v>
      </c>
      <c r="F2098" s="531" t="s">
        <v>9338</v>
      </c>
      <c r="G2098" s="531">
        <v>10.1</v>
      </c>
      <c r="H2098" s="531"/>
      <c r="I2098" s="531"/>
      <c r="L2098" s="530" t="s">
        <v>4394</v>
      </c>
      <c r="M2098" s="532">
        <v>0</v>
      </c>
      <c r="N2098" s="530" t="s">
        <v>1544</v>
      </c>
    </row>
    <row r="2099" spans="1:14" s="530" customFormat="1" x14ac:dyDescent="0.25">
      <c r="A2099" s="530" t="s">
        <v>5465</v>
      </c>
      <c r="B2099" s="530" t="s">
        <v>5466</v>
      </c>
      <c r="C2099" s="531" t="s">
        <v>9331</v>
      </c>
      <c r="D2099" s="531" t="s">
        <v>9332</v>
      </c>
      <c r="E2099" s="531">
        <v>1940</v>
      </c>
      <c r="F2099" s="531" t="s">
        <v>9339</v>
      </c>
      <c r="G2099" s="531">
        <v>10.1</v>
      </c>
      <c r="H2099" s="531"/>
      <c r="I2099" s="531"/>
      <c r="L2099" s="530" t="s">
        <v>4394</v>
      </c>
      <c r="M2099" s="532">
        <v>0</v>
      </c>
      <c r="N2099" s="530" t="s">
        <v>1544</v>
      </c>
    </row>
    <row r="2100" spans="1:14" s="530" customFormat="1" x14ac:dyDescent="0.25">
      <c r="A2100" s="530" t="s">
        <v>5467</v>
      </c>
      <c r="B2100" s="530" t="s">
        <v>5468</v>
      </c>
      <c r="C2100" s="531" t="s">
        <v>9331</v>
      </c>
      <c r="D2100" s="531" t="s">
        <v>9332</v>
      </c>
      <c r="E2100" s="531">
        <v>1940</v>
      </c>
      <c r="F2100" s="531" t="s">
        <v>9340</v>
      </c>
      <c r="G2100" s="531">
        <v>10.1</v>
      </c>
      <c r="H2100" s="531"/>
      <c r="I2100" s="531"/>
      <c r="L2100" s="530" t="s">
        <v>4394</v>
      </c>
      <c r="M2100" s="532">
        <v>0</v>
      </c>
      <c r="N2100" s="530" t="s">
        <v>1544</v>
      </c>
    </row>
    <row r="2101" spans="1:14" s="530" customFormat="1" x14ac:dyDescent="0.25">
      <c r="A2101" s="530" t="s">
        <v>5469</v>
      </c>
      <c r="B2101" s="530" t="s">
        <v>5470</v>
      </c>
      <c r="C2101" s="531" t="s">
        <v>9331</v>
      </c>
      <c r="D2101" s="531" t="s">
        <v>9332</v>
      </c>
      <c r="E2101" s="531">
        <v>1940</v>
      </c>
      <c r="F2101" s="531" t="s">
        <v>9341</v>
      </c>
      <c r="G2101" s="531">
        <v>10.1</v>
      </c>
      <c r="H2101" s="531"/>
      <c r="I2101" s="531"/>
      <c r="L2101" s="530" t="s">
        <v>4394</v>
      </c>
      <c r="M2101" s="532">
        <v>0</v>
      </c>
      <c r="N2101" s="530" t="s">
        <v>1544</v>
      </c>
    </row>
    <row r="2102" spans="1:14" s="530" customFormat="1" x14ac:dyDescent="0.25">
      <c r="A2102" s="530" t="s">
        <v>5471</v>
      </c>
      <c r="B2102" s="530" t="s">
        <v>5472</v>
      </c>
      <c r="C2102" s="531" t="s">
        <v>9331</v>
      </c>
      <c r="D2102" s="531" t="s">
        <v>9332</v>
      </c>
      <c r="E2102" s="531">
        <v>1940</v>
      </c>
      <c r="F2102" s="531" t="s">
        <v>9342</v>
      </c>
      <c r="G2102" s="531">
        <v>10.1</v>
      </c>
      <c r="H2102" s="531"/>
      <c r="I2102" s="531"/>
      <c r="L2102" s="530" t="s">
        <v>4394</v>
      </c>
      <c r="M2102" s="532">
        <v>0</v>
      </c>
      <c r="N2102" s="530" t="s">
        <v>1544</v>
      </c>
    </row>
    <row r="2103" spans="1:14" s="530" customFormat="1" x14ac:dyDescent="0.25">
      <c r="A2103" s="530" t="s">
        <v>5473</v>
      </c>
      <c r="B2103" s="530" t="s">
        <v>5474</v>
      </c>
      <c r="C2103" s="531" t="s">
        <v>9331</v>
      </c>
      <c r="D2103" s="531" t="s">
        <v>9332</v>
      </c>
      <c r="E2103" s="531">
        <v>1940</v>
      </c>
      <c r="F2103" s="531" t="s">
        <v>9343</v>
      </c>
      <c r="G2103" s="531">
        <v>10.1</v>
      </c>
      <c r="H2103" s="531"/>
      <c r="I2103" s="531"/>
      <c r="L2103" s="530" t="s">
        <v>4394</v>
      </c>
      <c r="M2103" s="532">
        <v>0</v>
      </c>
      <c r="N2103" s="530" t="s">
        <v>1544</v>
      </c>
    </row>
    <row r="2104" spans="1:14" x14ac:dyDescent="0.25">
      <c r="A2104" s="505" t="s">
        <v>5475</v>
      </c>
      <c r="B2104" s="505" t="s">
        <v>5476</v>
      </c>
      <c r="C2104" s="512" t="s">
        <v>8648</v>
      </c>
      <c r="D2104" s="512" t="s">
        <v>8341</v>
      </c>
      <c r="E2104" s="512" t="s">
        <v>9344</v>
      </c>
      <c r="F2104" s="512" t="s">
        <v>9345</v>
      </c>
      <c r="G2104" s="512" t="s">
        <v>7720</v>
      </c>
      <c r="H2104" s="512" t="s">
        <v>9346</v>
      </c>
      <c r="L2104" s="505" t="s">
        <v>4394</v>
      </c>
      <c r="M2104" s="516">
        <v>12.97</v>
      </c>
      <c r="N2104" s="505" t="s">
        <v>4394</v>
      </c>
    </row>
    <row r="2105" spans="1:14" x14ac:dyDescent="0.25">
      <c r="A2105" s="505" t="s">
        <v>5477</v>
      </c>
      <c r="B2105" s="505" t="s">
        <v>5478</v>
      </c>
      <c r="C2105" s="512" t="s">
        <v>8648</v>
      </c>
      <c r="D2105" s="512" t="s">
        <v>8341</v>
      </c>
      <c r="E2105" s="512" t="s">
        <v>9344</v>
      </c>
      <c r="F2105" s="512" t="s">
        <v>9345</v>
      </c>
      <c r="G2105" s="512" t="s">
        <v>7955</v>
      </c>
      <c r="H2105" s="512" t="s">
        <v>9346</v>
      </c>
      <c r="L2105" s="505" t="s">
        <v>4394</v>
      </c>
      <c r="M2105" s="516">
        <v>12.97</v>
      </c>
      <c r="N2105" s="505" t="s">
        <v>4394</v>
      </c>
    </row>
    <row r="2106" spans="1:14" x14ac:dyDescent="0.25">
      <c r="A2106" s="505" t="s">
        <v>5479</v>
      </c>
      <c r="B2106" s="505" t="s">
        <v>5480</v>
      </c>
      <c r="C2106" s="512" t="s">
        <v>9347</v>
      </c>
      <c r="D2106" s="512" t="s">
        <v>9348</v>
      </c>
      <c r="E2106" s="512" t="s">
        <v>9349</v>
      </c>
      <c r="F2106" s="512" t="s">
        <v>9350</v>
      </c>
      <c r="G2106" s="512" t="s">
        <v>7437</v>
      </c>
      <c r="H2106" s="512">
        <v>10.1</v>
      </c>
      <c r="L2106" s="505" t="s">
        <v>4394</v>
      </c>
      <c r="M2106" s="516">
        <v>6.75</v>
      </c>
      <c r="N2106" s="505" t="s">
        <v>4394</v>
      </c>
    </row>
    <row r="2107" spans="1:14" x14ac:dyDescent="0.25">
      <c r="A2107" s="505" t="s">
        <v>5481</v>
      </c>
      <c r="B2107" s="505" t="s">
        <v>5482</v>
      </c>
      <c r="C2107" s="512" t="s">
        <v>8128</v>
      </c>
      <c r="D2107" s="512" t="s">
        <v>9351</v>
      </c>
      <c r="E2107" s="512" t="s">
        <v>9352</v>
      </c>
      <c r="F2107" s="512" t="s">
        <v>9353</v>
      </c>
      <c r="G2107" s="512" t="s">
        <v>7986</v>
      </c>
      <c r="H2107" s="512" t="s">
        <v>9174</v>
      </c>
      <c r="L2107" s="505" t="s">
        <v>4394</v>
      </c>
      <c r="M2107" s="516">
        <v>11.65</v>
      </c>
      <c r="N2107" s="505" t="s">
        <v>4394</v>
      </c>
    </row>
    <row r="2108" spans="1:14" x14ac:dyDescent="0.25">
      <c r="A2108" s="505" t="s">
        <v>5483</v>
      </c>
      <c r="B2108" s="505" t="s">
        <v>5484</v>
      </c>
      <c r="C2108" s="512" t="s">
        <v>8128</v>
      </c>
      <c r="D2108" s="512" t="s">
        <v>9351</v>
      </c>
      <c r="E2108" s="512" t="s">
        <v>9352</v>
      </c>
      <c r="F2108" s="512" t="s">
        <v>9353</v>
      </c>
      <c r="G2108" s="512" t="s">
        <v>7549</v>
      </c>
      <c r="H2108" s="512" t="s">
        <v>9174</v>
      </c>
      <c r="L2108" s="505" t="s">
        <v>4394</v>
      </c>
      <c r="M2108" s="516">
        <v>11.65</v>
      </c>
      <c r="N2108" s="505" t="s">
        <v>4394</v>
      </c>
    </row>
    <row r="2109" spans="1:14" x14ac:dyDescent="0.25">
      <c r="A2109" s="505" t="s">
        <v>5485</v>
      </c>
      <c r="B2109" s="505" t="s">
        <v>5486</v>
      </c>
      <c r="C2109" s="512" t="s">
        <v>8128</v>
      </c>
      <c r="D2109" s="512" t="s">
        <v>9351</v>
      </c>
      <c r="E2109" s="512" t="s">
        <v>9352</v>
      </c>
      <c r="F2109" s="512" t="s">
        <v>9353</v>
      </c>
      <c r="G2109" s="512" t="s">
        <v>7491</v>
      </c>
      <c r="H2109" s="512" t="s">
        <v>9174</v>
      </c>
      <c r="L2109" s="505" t="s">
        <v>4394</v>
      </c>
      <c r="M2109" s="516">
        <v>11.65</v>
      </c>
      <c r="N2109" s="505" t="s">
        <v>4394</v>
      </c>
    </row>
    <row r="2110" spans="1:14" x14ac:dyDescent="0.25">
      <c r="A2110" s="505" t="s">
        <v>5487</v>
      </c>
      <c r="B2110" s="505" t="s">
        <v>5488</v>
      </c>
      <c r="C2110" s="512" t="s">
        <v>9354</v>
      </c>
      <c r="D2110" s="512" t="s">
        <v>9355</v>
      </c>
      <c r="E2110" s="512" t="s">
        <v>9356</v>
      </c>
      <c r="F2110" s="512">
        <v>1199</v>
      </c>
      <c r="G2110" s="512" t="s">
        <v>8131</v>
      </c>
      <c r="H2110" s="512" t="s">
        <v>9357</v>
      </c>
      <c r="L2110" s="505" t="s">
        <v>4394</v>
      </c>
      <c r="M2110" s="516">
        <v>6.5</v>
      </c>
      <c r="N2110" s="505" t="s">
        <v>4394</v>
      </c>
    </row>
    <row r="2111" spans="1:14" x14ac:dyDescent="0.25">
      <c r="A2111" s="505" t="s">
        <v>5489</v>
      </c>
      <c r="B2111" s="505" t="s">
        <v>5490</v>
      </c>
      <c r="C2111" s="512" t="s">
        <v>9354</v>
      </c>
      <c r="D2111" s="512" t="s">
        <v>9355</v>
      </c>
      <c r="E2111" s="512" t="s">
        <v>9356</v>
      </c>
      <c r="F2111" s="512">
        <v>1199</v>
      </c>
      <c r="G2111" s="512" t="s">
        <v>7986</v>
      </c>
      <c r="H2111" s="512" t="s">
        <v>9357</v>
      </c>
      <c r="L2111" s="505" t="s">
        <v>4394</v>
      </c>
      <c r="M2111" s="516">
        <v>6.5</v>
      </c>
      <c r="N2111" s="505" t="s">
        <v>4394</v>
      </c>
    </row>
    <row r="2112" spans="1:14" s="530" customFormat="1" x14ac:dyDescent="0.25">
      <c r="A2112" s="530" t="s">
        <v>5491</v>
      </c>
      <c r="B2112" s="530" t="s">
        <v>5492</v>
      </c>
      <c r="C2112" s="531" t="s">
        <v>8128</v>
      </c>
      <c r="D2112" s="531" t="s">
        <v>9351</v>
      </c>
      <c r="E2112" s="531" t="s">
        <v>7489</v>
      </c>
      <c r="F2112" s="531" t="s">
        <v>9174</v>
      </c>
      <c r="G2112" s="531"/>
      <c r="H2112" s="531"/>
      <c r="I2112" s="531"/>
      <c r="L2112" s="530" t="s">
        <v>4394</v>
      </c>
      <c r="M2112" s="532">
        <v>0</v>
      </c>
      <c r="N2112" s="530" t="s">
        <v>1544</v>
      </c>
    </row>
    <row r="2113" spans="1:14" x14ac:dyDescent="0.25">
      <c r="A2113" s="505" t="s">
        <v>5493</v>
      </c>
      <c r="B2113" s="505" t="s">
        <v>5494</v>
      </c>
      <c r="C2113" s="512" t="s">
        <v>9186</v>
      </c>
      <c r="D2113" s="512" t="s">
        <v>9172</v>
      </c>
      <c r="E2113" s="512" t="s">
        <v>8119</v>
      </c>
      <c r="F2113" s="512" t="s">
        <v>9177</v>
      </c>
      <c r="G2113" s="512" t="s">
        <v>9358</v>
      </c>
      <c r="L2113" s="505" t="s">
        <v>4394</v>
      </c>
      <c r="M2113" s="516">
        <v>10.210000000000001</v>
      </c>
      <c r="N2113" s="505" t="s">
        <v>4394</v>
      </c>
    </row>
    <row r="2114" spans="1:14" s="530" customFormat="1" x14ac:dyDescent="0.25">
      <c r="A2114" s="530" t="s">
        <v>5495</v>
      </c>
      <c r="B2114" s="530" t="s">
        <v>5496</v>
      </c>
      <c r="C2114" s="531" t="s">
        <v>9186</v>
      </c>
      <c r="D2114" s="531" t="s">
        <v>9176</v>
      </c>
      <c r="E2114" s="531" t="s">
        <v>8098</v>
      </c>
      <c r="F2114" s="531" t="s">
        <v>9250</v>
      </c>
      <c r="G2114" s="531" t="s">
        <v>9194</v>
      </c>
      <c r="H2114" s="531"/>
      <c r="I2114" s="531"/>
      <c r="L2114" s="530" t="s">
        <v>4394</v>
      </c>
      <c r="M2114" s="532">
        <v>0</v>
      </c>
      <c r="N2114" s="530" t="s">
        <v>1544</v>
      </c>
    </row>
    <row r="2115" spans="1:14" x14ac:dyDescent="0.25">
      <c r="A2115" s="505" t="s">
        <v>5497</v>
      </c>
      <c r="B2115" s="505" t="s">
        <v>5498</v>
      </c>
      <c r="C2115" s="512" t="s">
        <v>9186</v>
      </c>
      <c r="D2115" s="512" t="s">
        <v>9176</v>
      </c>
      <c r="E2115" s="512" t="s">
        <v>8098</v>
      </c>
      <c r="F2115" s="512" t="s">
        <v>9359</v>
      </c>
      <c r="G2115" s="512" t="s">
        <v>9194</v>
      </c>
      <c r="L2115" s="505" t="s">
        <v>4394</v>
      </c>
      <c r="M2115" s="516">
        <v>10.210000000000001</v>
      </c>
      <c r="N2115" s="505" t="s">
        <v>4394</v>
      </c>
    </row>
    <row r="2116" spans="1:14" s="530" customFormat="1" x14ac:dyDescent="0.25">
      <c r="A2116" s="530" t="s">
        <v>5499</v>
      </c>
      <c r="B2116" s="530" t="s">
        <v>5500</v>
      </c>
      <c r="C2116" s="531" t="s">
        <v>9360</v>
      </c>
      <c r="D2116" s="531" t="s">
        <v>9361</v>
      </c>
      <c r="E2116" s="531" t="s">
        <v>9362</v>
      </c>
      <c r="F2116" s="531" t="s">
        <v>9363</v>
      </c>
      <c r="G2116" s="531" t="s">
        <v>9364</v>
      </c>
      <c r="H2116" s="531" t="s">
        <v>9365</v>
      </c>
      <c r="I2116" s="531"/>
      <c r="L2116" s="530" t="s">
        <v>4394</v>
      </c>
      <c r="M2116" s="532">
        <v>0</v>
      </c>
      <c r="N2116" s="530" t="s">
        <v>1544</v>
      </c>
    </row>
    <row r="2117" spans="1:14" x14ac:dyDescent="0.25">
      <c r="A2117" s="505" t="s">
        <v>5501</v>
      </c>
      <c r="B2117" s="505" t="s">
        <v>5502</v>
      </c>
      <c r="C2117" s="512" t="s">
        <v>9360</v>
      </c>
      <c r="D2117" s="512" t="s">
        <v>9361</v>
      </c>
      <c r="E2117" s="512" t="s">
        <v>9362</v>
      </c>
      <c r="F2117" s="512" t="s">
        <v>9363</v>
      </c>
      <c r="G2117" s="512" t="s">
        <v>9366</v>
      </c>
      <c r="H2117" s="512" t="s">
        <v>7946</v>
      </c>
      <c r="I2117" s="512" t="s">
        <v>7637</v>
      </c>
      <c r="L2117" s="505" t="s">
        <v>4394</v>
      </c>
      <c r="M2117" s="516">
        <v>10.94</v>
      </c>
      <c r="N2117" s="505" t="s">
        <v>4394</v>
      </c>
    </row>
    <row r="2118" spans="1:14" x14ac:dyDescent="0.25">
      <c r="A2118" s="505" t="s">
        <v>5503</v>
      </c>
      <c r="B2118" s="505" t="s">
        <v>5504</v>
      </c>
      <c r="C2118" s="512" t="s">
        <v>9360</v>
      </c>
      <c r="D2118" s="512" t="s">
        <v>9361</v>
      </c>
      <c r="E2118" s="512" t="s">
        <v>9362</v>
      </c>
      <c r="F2118" s="512" t="s">
        <v>9363</v>
      </c>
      <c r="G2118" s="512" t="s">
        <v>9367</v>
      </c>
      <c r="H2118" s="512" t="s">
        <v>9368</v>
      </c>
      <c r="L2118" s="505" t="s">
        <v>4394</v>
      </c>
      <c r="M2118" s="516">
        <v>10.94</v>
      </c>
      <c r="N2118" s="505" t="s">
        <v>4394</v>
      </c>
    </row>
    <row r="2119" spans="1:14" x14ac:dyDescent="0.25">
      <c r="A2119" s="505" t="s">
        <v>5505</v>
      </c>
      <c r="B2119" s="505" t="s">
        <v>5506</v>
      </c>
      <c r="C2119" s="512" t="s">
        <v>9360</v>
      </c>
      <c r="D2119" s="512" t="s">
        <v>9361</v>
      </c>
      <c r="E2119" s="512" t="s">
        <v>9362</v>
      </c>
      <c r="F2119" s="512" t="s">
        <v>9363</v>
      </c>
      <c r="G2119" s="512" t="s">
        <v>9369</v>
      </c>
      <c r="H2119" s="512" t="s">
        <v>8451</v>
      </c>
      <c r="L2119" s="505" t="s">
        <v>4394</v>
      </c>
      <c r="M2119" s="516">
        <v>10.94</v>
      </c>
      <c r="N2119" s="505" t="s">
        <v>4394</v>
      </c>
    </row>
    <row r="2120" spans="1:14" x14ac:dyDescent="0.25">
      <c r="A2120" s="505" t="s">
        <v>5507</v>
      </c>
      <c r="B2120" s="505" t="s">
        <v>5508</v>
      </c>
      <c r="C2120" s="512" t="s">
        <v>9360</v>
      </c>
      <c r="D2120" s="512" t="s">
        <v>9361</v>
      </c>
      <c r="E2120" s="512" t="s">
        <v>9362</v>
      </c>
      <c r="F2120" s="512" t="s">
        <v>9363</v>
      </c>
      <c r="G2120" s="512" t="s">
        <v>9370</v>
      </c>
      <c r="H2120" s="512" t="s">
        <v>9371</v>
      </c>
      <c r="L2120" s="505" t="s">
        <v>4394</v>
      </c>
      <c r="M2120" s="516">
        <v>10.94</v>
      </c>
      <c r="N2120" s="505" t="s">
        <v>4394</v>
      </c>
    </row>
    <row r="2121" spans="1:14" x14ac:dyDescent="0.25">
      <c r="A2121" s="505" t="s">
        <v>5509</v>
      </c>
      <c r="B2121" s="505" t="s">
        <v>5510</v>
      </c>
      <c r="C2121" s="512" t="s">
        <v>9360</v>
      </c>
      <c r="D2121" s="512" t="s">
        <v>9361</v>
      </c>
      <c r="E2121" s="512" t="s">
        <v>9362</v>
      </c>
      <c r="F2121" s="512" t="s">
        <v>9363</v>
      </c>
      <c r="G2121" s="512" t="s">
        <v>9372</v>
      </c>
      <c r="H2121" s="512" t="s">
        <v>7924</v>
      </c>
      <c r="I2121" s="512" t="s">
        <v>9373</v>
      </c>
      <c r="L2121" s="505" t="s">
        <v>4394</v>
      </c>
      <c r="M2121" s="516">
        <v>10.94</v>
      </c>
      <c r="N2121" s="505" t="s">
        <v>4394</v>
      </c>
    </row>
    <row r="2122" spans="1:14" x14ac:dyDescent="0.25">
      <c r="A2122" s="505" t="s">
        <v>5511</v>
      </c>
      <c r="B2122" s="505" t="s">
        <v>5512</v>
      </c>
      <c r="C2122" s="512" t="s">
        <v>9360</v>
      </c>
      <c r="D2122" s="512" t="s">
        <v>9361</v>
      </c>
      <c r="E2122" s="512" t="s">
        <v>9362</v>
      </c>
      <c r="F2122" s="512" t="s">
        <v>9363</v>
      </c>
      <c r="G2122" s="512" t="s">
        <v>9208</v>
      </c>
      <c r="H2122" s="512" t="s">
        <v>7600</v>
      </c>
      <c r="I2122" s="512" t="s">
        <v>7775</v>
      </c>
      <c r="L2122" s="505" t="s">
        <v>4394</v>
      </c>
      <c r="M2122" s="516">
        <v>10.94</v>
      </c>
      <c r="N2122" s="505" t="s">
        <v>4394</v>
      </c>
    </row>
    <row r="2123" spans="1:14" x14ac:dyDescent="0.25">
      <c r="A2123" s="505" t="s">
        <v>5513</v>
      </c>
      <c r="B2123" s="505" t="s">
        <v>5514</v>
      </c>
      <c r="C2123" s="512" t="s">
        <v>9360</v>
      </c>
      <c r="D2123" s="512" t="s">
        <v>9361</v>
      </c>
      <c r="E2123" s="512" t="s">
        <v>9374</v>
      </c>
      <c r="F2123" s="512" t="s">
        <v>9363</v>
      </c>
      <c r="G2123" s="512" t="s">
        <v>9191</v>
      </c>
      <c r="H2123" s="512" t="s">
        <v>8855</v>
      </c>
      <c r="L2123" s="505" t="s">
        <v>4394</v>
      </c>
      <c r="M2123" s="516">
        <v>7.38</v>
      </c>
      <c r="N2123" s="505" t="s">
        <v>4394</v>
      </c>
    </row>
    <row r="2124" spans="1:14" x14ac:dyDescent="0.25">
      <c r="A2124" s="505" t="s">
        <v>5515</v>
      </c>
      <c r="B2124" s="505" t="s">
        <v>5516</v>
      </c>
      <c r="C2124" s="512" t="s">
        <v>9360</v>
      </c>
      <c r="D2124" s="512" t="s">
        <v>9361</v>
      </c>
      <c r="E2124" s="512" t="s">
        <v>9374</v>
      </c>
      <c r="F2124" s="512" t="s">
        <v>9363</v>
      </c>
      <c r="G2124" s="512" t="s">
        <v>9375</v>
      </c>
      <c r="H2124" s="512" t="s">
        <v>511</v>
      </c>
      <c r="L2124" s="505" t="s">
        <v>4394</v>
      </c>
      <c r="M2124" s="516">
        <v>7.38</v>
      </c>
      <c r="N2124" s="505" t="s">
        <v>4394</v>
      </c>
    </row>
    <row r="2125" spans="1:14" x14ac:dyDescent="0.25">
      <c r="A2125" s="505" t="s">
        <v>5517</v>
      </c>
      <c r="B2125" s="505" t="s">
        <v>5518</v>
      </c>
      <c r="C2125" s="512" t="s">
        <v>9360</v>
      </c>
      <c r="D2125" s="512" t="s">
        <v>9361</v>
      </c>
      <c r="E2125" s="512" t="s">
        <v>9374</v>
      </c>
      <c r="F2125" s="512" t="s">
        <v>9363</v>
      </c>
      <c r="G2125" s="512" t="s">
        <v>9364</v>
      </c>
      <c r="H2125" s="512" t="s">
        <v>9376</v>
      </c>
      <c r="L2125" s="505" t="s">
        <v>4394</v>
      </c>
      <c r="M2125" s="516">
        <v>7.38</v>
      </c>
      <c r="N2125" s="505" t="s">
        <v>4394</v>
      </c>
    </row>
    <row r="2126" spans="1:14" x14ac:dyDescent="0.25">
      <c r="A2126" s="505" t="s">
        <v>5519</v>
      </c>
      <c r="B2126" s="505" t="s">
        <v>5520</v>
      </c>
      <c r="C2126" s="512" t="s">
        <v>9360</v>
      </c>
      <c r="D2126" s="512" t="s">
        <v>9361</v>
      </c>
      <c r="E2126" s="512" t="s">
        <v>9374</v>
      </c>
      <c r="F2126" s="512" t="s">
        <v>9363</v>
      </c>
      <c r="G2126" s="512" t="s">
        <v>9377</v>
      </c>
      <c r="H2126" s="512" t="s">
        <v>9378</v>
      </c>
      <c r="L2126" s="505" t="s">
        <v>4394</v>
      </c>
      <c r="M2126" s="516">
        <v>7.38</v>
      </c>
      <c r="N2126" s="505" t="s">
        <v>4394</v>
      </c>
    </row>
    <row r="2127" spans="1:14" x14ac:dyDescent="0.25">
      <c r="A2127" s="505" t="s">
        <v>5521</v>
      </c>
      <c r="B2127" s="505" t="s">
        <v>5522</v>
      </c>
      <c r="C2127" s="512" t="s">
        <v>9379</v>
      </c>
      <c r="D2127" s="512" t="s">
        <v>9380</v>
      </c>
      <c r="E2127" s="512" t="s">
        <v>8258</v>
      </c>
      <c r="F2127" s="512" t="s">
        <v>9381</v>
      </c>
      <c r="G2127" s="512" t="s">
        <v>9191</v>
      </c>
      <c r="H2127" s="512" t="s">
        <v>9192</v>
      </c>
      <c r="I2127" s="512">
        <v>10.3</v>
      </c>
      <c r="L2127" s="505" t="s">
        <v>4394</v>
      </c>
      <c r="M2127" s="516">
        <v>9.3000000000000007</v>
      </c>
      <c r="N2127" s="505" t="s">
        <v>4394</v>
      </c>
    </row>
    <row r="2128" spans="1:14" s="530" customFormat="1" x14ac:dyDescent="0.25">
      <c r="A2128" s="530" t="s">
        <v>5523</v>
      </c>
      <c r="B2128" s="530" t="s">
        <v>5524</v>
      </c>
      <c r="C2128" s="531" t="s">
        <v>9382</v>
      </c>
      <c r="D2128" s="531" t="s">
        <v>9380</v>
      </c>
      <c r="E2128" s="531" t="s">
        <v>8255</v>
      </c>
      <c r="F2128" s="531" t="s">
        <v>7692</v>
      </c>
      <c r="G2128" s="531" t="s">
        <v>9383</v>
      </c>
      <c r="H2128" s="531">
        <v>101</v>
      </c>
      <c r="I2128" s="531">
        <v>10.3</v>
      </c>
      <c r="L2128" s="530" t="s">
        <v>4394</v>
      </c>
      <c r="M2128" s="532">
        <v>0</v>
      </c>
      <c r="N2128" s="530" t="s">
        <v>1544</v>
      </c>
    </row>
    <row r="2129" spans="1:14" s="530" customFormat="1" x14ac:dyDescent="0.25">
      <c r="A2129" s="530" t="s">
        <v>5525</v>
      </c>
      <c r="B2129" s="530" t="s">
        <v>5526</v>
      </c>
      <c r="C2129" s="531" t="s">
        <v>9382</v>
      </c>
      <c r="D2129" s="531" t="s">
        <v>9380</v>
      </c>
      <c r="E2129" s="531" t="s">
        <v>8255</v>
      </c>
      <c r="F2129" s="531" t="s">
        <v>7692</v>
      </c>
      <c r="G2129" s="531" t="s">
        <v>9383</v>
      </c>
      <c r="H2129" s="531">
        <v>236</v>
      </c>
      <c r="I2129" s="531">
        <v>10.3</v>
      </c>
      <c r="L2129" s="530" t="s">
        <v>4394</v>
      </c>
      <c r="M2129" s="532">
        <v>0</v>
      </c>
      <c r="N2129" s="530" t="s">
        <v>1544</v>
      </c>
    </row>
    <row r="2130" spans="1:14" x14ac:dyDescent="0.25">
      <c r="A2130" s="505" t="s">
        <v>5527</v>
      </c>
      <c r="B2130" s="505" t="s">
        <v>5528</v>
      </c>
      <c r="C2130" s="512" t="s">
        <v>9379</v>
      </c>
      <c r="D2130" s="512" t="s">
        <v>9380</v>
      </c>
      <c r="E2130" s="512" t="s">
        <v>8258</v>
      </c>
      <c r="F2130" s="512" t="s">
        <v>9381</v>
      </c>
      <c r="G2130" s="512" t="s">
        <v>9384</v>
      </c>
      <c r="H2130" s="512" t="s">
        <v>7437</v>
      </c>
      <c r="I2130" s="512">
        <v>10.3</v>
      </c>
      <c r="L2130" s="505" t="s">
        <v>4394</v>
      </c>
      <c r="M2130" s="516">
        <v>9.3000000000000007</v>
      </c>
      <c r="N2130" s="505" t="s">
        <v>4394</v>
      </c>
    </row>
    <row r="2131" spans="1:14" x14ac:dyDescent="0.25">
      <c r="A2131" s="505" t="s">
        <v>5529</v>
      </c>
      <c r="B2131" s="505" t="s">
        <v>5530</v>
      </c>
      <c r="C2131" s="512" t="s">
        <v>9379</v>
      </c>
      <c r="D2131" s="512" t="s">
        <v>9380</v>
      </c>
      <c r="E2131" s="512" t="s">
        <v>8258</v>
      </c>
      <c r="F2131" s="512" t="s">
        <v>9381</v>
      </c>
      <c r="G2131" s="512" t="s">
        <v>9385</v>
      </c>
      <c r="H2131" s="512" t="s">
        <v>7721</v>
      </c>
      <c r="I2131" s="512">
        <v>10.3</v>
      </c>
      <c r="L2131" s="505" t="s">
        <v>4394</v>
      </c>
      <c r="M2131" s="516">
        <v>9.3000000000000007</v>
      </c>
      <c r="N2131" s="505" t="s">
        <v>4394</v>
      </c>
    </row>
    <row r="2132" spans="1:14" x14ac:dyDescent="0.25">
      <c r="A2132" s="505" t="s">
        <v>5531</v>
      </c>
      <c r="B2132" s="505" t="s">
        <v>5532</v>
      </c>
      <c r="C2132" s="512" t="s">
        <v>8671</v>
      </c>
      <c r="D2132" s="512" t="s">
        <v>8341</v>
      </c>
      <c r="E2132" s="512" t="s">
        <v>8825</v>
      </c>
      <c r="F2132" s="512" t="s">
        <v>7715</v>
      </c>
      <c r="G2132" s="512">
        <v>10.3</v>
      </c>
      <c r="H2132" s="512" t="s">
        <v>7437</v>
      </c>
      <c r="L2132" s="505" t="s">
        <v>4394</v>
      </c>
      <c r="M2132" s="516">
        <v>13.5</v>
      </c>
      <c r="N2132" s="505" t="s">
        <v>4394</v>
      </c>
    </row>
    <row r="2133" spans="1:14" s="530" customFormat="1" x14ac:dyDescent="0.25">
      <c r="A2133" s="530" t="s">
        <v>5533</v>
      </c>
      <c r="B2133" s="530" t="s">
        <v>5534</v>
      </c>
      <c r="C2133" s="531" t="s">
        <v>8671</v>
      </c>
      <c r="D2133" s="531" t="s">
        <v>8341</v>
      </c>
      <c r="E2133" s="531" t="s">
        <v>8825</v>
      </c>
      <c r="F2133" s="531" t="s">
        <v>7715</v>
      </c>
      <c r="G2133" s="531">
        <v>10.3</v>
      </c>
      <c r="H2133" s="531" t="s">
        <v>7990</v>
      </c>
      <c r="I2133" s="531" t="s">
        <v>7436</v>
      </c>
      <c r="L2133" s="530" t="s">
        <v>4394</v>
      </c>
      <c r="M2133" s="532">
        <v>0</v>
      </c>
      <c r="N2133" s="530" t="s">
        <v>1544</v>
      </c>
    </row>
    <row r="2134" spans="1:14" x14ac:dyDescent="0.25">
      <c r="A2134" s="505" t="s">
        <v>5535</v>
      </c>
      <c r="B2134" s="505" t="s">
        <v>5536</v>
      </c>
      <c r="C2134" s="512" t="s">
        <v>8671</v>
      </c>
      <c r="D2134" s="512" t="s">
        <v>8341</v>
      </c>
      <c r="E2134" s="512" t="s">
        <v>8825</v>
      </c>
      <c r="F2134" s="512" t="s">
        <v>7715</v>
      </c>
      <c r="G2134" s="512">
        <v>10.3</v>
      </c>
      <c r="H2134" s="512" t="s">
        <v>7990</v>
      </c>
      <c r="I2134" s="512" t="s">
        <v>7433</v>
      </c>
      <c r="L2134" s="505" t="s">
        <v>4394</v>
      </c>
      <c r="M2134" s="516">
        <v>13.5</v>
      </c>
      <c r="N2134" s="505" t="s">
        <v>4394</v>
      </c>
    </row>
    <row r="2135" spans="1:14" x14ac:dyDescent="0.25">
      <c r="A2135" s="505" t="s">
        <v>5537</v>
      </c>
      <c r="B2135" s="505" t="s">
        <v>5538</v>
      </c>
      <c r="C2135" s="512" t="s">
        <v>8671</v>
      </c>
      <c r="D2135" s="512" t="s">
        <v>8341</v>
      </c>
      <c r="E2135" s="512" t="s">
        <v>8825</v>
      </c>
      <c r="F2135" s="512" t="s">
        <v>7715</v>
      </c>
      <c r="G2135" s="512">
        <v>10.3</v>
      </c>
      <c r="H2135" s="512" t="s">
        <v>8364</v>
      </c>
      <c r="I2135" s="512" t="s">
        <v>7799</v>
      </c>
      <c r="L2135" s="505" t="s">
        <v>4394</v>
      </c>
      <c r="M2135" s="516">
        <v>13.5</v>
      </c>
      <c r="N2135" s="505" t="s">
        <v>4394</v>
      </c>
    </row>
    <row r="2136" spans="1:14" x14ac:dyDescent="0.25">
      <c r="A2136" s="505" t="s">
        <v>5539</v>
      </c>
      <c r="B2136" s="505" t="s">
        <v>5540</v>
      </c>
      <c r="C2136" s="512" t="s">
        <v>8671</v>
      </c>
      <c r="D2136" s="512" t="s">
        <v>8341</v>
      </c>
      <c r="E2136" s="512" t="s">
        <v>8825</v>
      </c>
      <c r="F2136" s="512" t="s">
        <v>7715</v>
      </c>
      <c r="G2136" s="512">
        <v>10.3</v>
      </c>
      <c r="H2136" s="512" t="s">
        <v>9386</v>
      </c>
      <c r="I2136" s="512" t="s">
        <v>7433</v>
      </c>
      <c r="L2136" s="505" t="s">
        <v>4394</v>
      </c>
      <c r="M2136" s="516">
        <v>13.5</v>
      </c>
      <c r="N2136" s="505" t="s">
        <v>4394</v>
      </c>
    </row>
    <row r="2137" spans="1:14" x14ac:dyDescent="0.25">
      <c r="A2137" s="505" t="s">
        <v>5541</v>
      </c>
      <c r="B2137" s="505" t="s">
        <v>5542</v>
      </c>
      <c r="C2137" s="512" t="s">
        <v>8671</v>
      </c>
      <c r="D2137" s="512" t="s">
        <v>8341</v>
      </c>
      <c r="E2137" s="512" t="s">
        <v>8825</v>
      </c>
      <c r="F2137" s="512" t="s">
        <v>7715</v>
      </c>
      <c r="G2137" s="512">
        <v>10.3</v>
      </c>
      <c r="H2137" s="512" t="s">
        <v>9387</v>
      </c>
      <c r="L2137" s="505" t="s">
        <v>4394</v>
      </c>
      <c r="M2137" s="516">
        <v>13.5</v>
      </c>
      <c r="N2137" s="505" t="s">
        <v>4394</v>
      </c>
    </row>
    <row r="2138" spans="1:14" x14ac:dyDescent="0.25">
      <c r="A2138" s="505" t="s">
        <v>5543</v>
      </c>
      <c r="B2138" s="505" t="s">
        <v>5544</v>
      </c>
      <c r="C2138" s="512" t="s">
        <v>7686</v>
      </c>
      <c r="D2138" s="512" t="s">
        <v>8122</v>
      </c>
      <c r="E2138" s="512" t="s">
        <v>9388</v>
      </c>
      <c r="F2138" s="512" t="s">
        <v>9389</v>
      </c>
      <c r="G2138" s="512" t="s">
        <v>9390</v>
      </c>
      <c r="H2138" s="512" t="s">
        <v>9391</v>
      </c>
      <c r="L2138" s="505" t="s">
        <v>4394</v>
      </c>
      <c r="M2138" s="516">
        <v>4.5</v>
      </c>
      <c r="N2138" s="505" t="s">
        <v>4394</v>
      </c>
    </row>
    <row r="2139" spans="1:14" s="530" customFormat="1" x14ac:dyDescent="0.25">
      <c r="A2139" s="530" t="s">
        <v>5545</v>
      </c>
      <c r="B2139" s="530" t="s">
        <v>5546</v>
      </c>
      <c r="C2139" s="531" t="s">
        <v>8335</v>
      </c>
      <c r="D2139" s="531" t="s">
        <v>7782</v>
      </c>
      <c r="E2139" s="531" t="s">
        <v>9392</v>
      </c>
      <c r="F2139" s="531" t="s">
        <v>9393</v>
      </c>
      <c r="G2139" s="531" t="s">
        <v>8382</v>
      </c>
      <c r="H2139" s="531"/>
      <c r="I2139" s="531"/>
      <c r="L2139" s="530" t="s">
        <v>1233</v>
      </c>
      <c r="M2139" s="532">
        <v>0</v>
      </c>
      <c r="N2139" s="530" t="s">
        <v>1544</v>
      </c>
    </row>
    <row r="2140" spans="1:14" x14ac:dyDescent="0.25">
      <c r="A2140" s="505" t="s">
        <v>5547</v>
      </c>
      <c r="B2140" s="505" t="s">
        <v>5548</v>
      </c>
      <c r="C2140" s="512" t="s">
        <v>9394</v>
      </c>
      <c r="D2140" s="512" t="s">
        <v>7797</v>
      </c>
      <c r="E2140" s="512" t="s">
        <v>9395</v>
      </c>
      <c r="F2140" s="512" t="s">
        <v>8982</v>
      </c>
      <c r="G2140" s="512" t="s">
        <v>8407</v>
      </c>
      <c r="L2140" s="505" t="s">
        <v>1233</v>
      </c>
      <c r="M2140" s="516">
        <v>13.18</v>
      </c>
      <c r="N2140" s="505" t="s">
        <v>1233</v>
      </c>
    </row>
    <row r="2141" spans="1:14" x14ac:dyDescent="0.25">
      <c r="A2141" s="505" t="s">
        <v>5549</v>
      </c>
      <c r="B2141" s="505" t="s">
        <v>5550</v>
      </c>
      <c r="C2141" s="512" t="s">
        <v>9394</v>
      </c>
      <c r="D2141" s="512" t="s">
        <v>9396</v>
      </c>
      <c r="E2141" s="512" t="s">
        <v>7797</v>
      </c>
      <c r="F2141" s="512" t="s">
        <v>9397</v>
      </c>
      <c r="G2141" s="512" t="s">
        <v>8982</v>
      </c>
      <c r="H2141" s="512" t="s">
        <v>8407</v>
      </c>
      <c r="L2141" s="505" t="s">
        <v>1233</v>
      </c>
      <c r="M2141" s="516">
        <v>53.75</v>
      </c>
      <c r="N2141" s="505" t="s">
        <v>1233</v>
      </c>
    </row>
    <row r="2142" spans="1:14" x14ac:dyDescent="0.25">
      <c r="A2142" s="505" t="s">
        <v>5551</v>
      </c>
      <c r="B2142" s="505" t="s">
        <v>5552</v>
      </c>
      <c r="C2142" s="512" t="s">
        <v>9394</v>
      </c>
      <c r="D2142" s="512" t="s">
        <v>9396</v>
      </c>
      <c r="E2142" s="512" t="s">
        <v>7797</v>
      </c>
      <c r="F2142" s="512" t="s">
        <v>9398</v>
      </c>
      <c r="G2142" s="512" t="s">
        <v>8982</v>
      </c>
      <c r="H2142" s="512" t="s">
        <v>8407</v>
      </c>
      <c r="L2142" s="505" t="s">
        <v>1233</v>
      </c>
      <c r="M2142" s="516">
        <v>65.150000000000006</v>
      </c>
      <c r="N2142" s="505" t="s">
        <v>1233</v>
      </c>
    </row>
    <row r="2143" spans="1:14" x14ac:dyDescent="0.25">
      <c r="A2143" s="505" t="s">
        <v>5553</v>
      </c>
      <c r="B2143" s="505" t="s">
        <v>5554</v>
      </c>
      <c r="C2143" s="512" t="s">
        <v>9394</v>
      </c>
      <c r="D2143" s="512" t="s">
        <v>9396</v>
      </c>
      <c r="E2143" s="512" t="s">
        <v>7797</v>
      </c>
      <c r="F2143" s="512" t="s">
        <v>9399</v>
      </c>
      <c r="G2143" s="512" t="s">
        <v>8982</v>
      </c>
      <c r="H2143" s="512" t="s">
        <v>8407</v>
      </c>
      <c r="L2143" s="505" t="s">
        <v>1233</v>
      </c>
      <c r="M2143" s="516">
        <v>19.5</v>
      </c>
      <c r="N2143" s="505" t="s">
        <v>1233</v>
      </c>
    </row>
    <row r="2144" spans="1:14" x14ac:dyDescent="0.25">
      <c r="A2144" s="505" t="s">
        <v>5555</v>
      </c>
      <c r="B2144" s="505" t="s">
        <v>5556</v>
      </c>
      <c r="C2144" s="512" t="s">
        <v>9394</v>
      </c>
      <c r="D2144" s="512" t="s">
        <v>9396</v>
      </c>
      <c r="E2144" s="512" t="s">
        <v>7797</v>
      </c>
      <c r="F2144" s="512" t="s">
        <v>9400</v>
      </c>
      <c r="G2144" s="512" t="s">
        <v>8982</v>
      </c>
      <c r="H2144" s="512" t="s">
        <v>8407</v>
      </c>
      <c r="L2144" s="505" t="s">
        <v>1233</v>
      </c>
      <c r="M2144" s="516">
        <v>31.95</v>
      </c>
      <c r="N2144" s="505" t="s">
        <v>1233</v>
      </c>
    </row>
    <row r="2145" spans="1:14" x14ac:dyDescent="0.25">
      <c r="A2145" s="505" t="s">
        <v>5557</v>
      </c>
      <c r="B2145" s="505" t="s">
        <v>5558</v>
      </c>
      <c r="C2145" s="512" t="s">
        <v>9394</v>
      </c>
      <c r="D2145" s="512" t="s">
        <v>9396</v>
      </c>
      <c r="E2145" s="512" t="s">
        <v>7797</v>
      </c>
      <c r="F2145" s="512" t="s">
        <v>9401</v>
      </c>
      <c r="G2145" s="512" t="s">
        <v>8982</v>
      </c>
      <c r="H2145" s="512" t="s">
        <v>8407</v>
      </c>
      <c r="L2145" s="505" t="s">
        <v>1233</v>
      </c>
      <c r="M2145" s="516">
        <v>41.77</v>
      </c>
      <c r="N2145" s="505" t="s">
        <v>1233</v>
      </c>
    </row>
    <row r="2146" spans="1:14" s="530" customFormat="1" x14ac:dyDescent="0.25">
      <c r="A2146" s="530" t="s">
        <v>5559</v>
      </c>
      <c r="B2146" s="530" t="s">
        <v>5560</v>
      </c>
      <c r="C2146" s="531" t="s">
        <v>8335</v>
      </c>
      <c r="D2146" s="531" t="s">
        <v>9402</v>
      </c>
      <c r="E2146" s="531" t="s">
        <v>9403</v>
      </c>
      <c r="F2146" s="531" t="s">
        <v>7504</v>
      </c>
      <c r="G2146" s="531" t="s">
        <v>8910</v>
      </c>
      <c r="H2146" s="531" t="s">
        <v>7557</v>
      </c>
      <c r="I2146" s="531" t="s">
        <v>9404</v>
      </c>
      <c r="L2146" s="530" t="s">
        <v>2854</v>
      </c>
      <c r="M2146" s="532">
        <v>0</v>
      </c>
      <c r="N2146" s="530" t="s">
        <v>1544</v>
      </c>
    </row>
    <row r="2147" spans="1:14" s="530" customFormat="1" x14ac:dyDescent="0.25">
      <c r="A2147" s="530" t="s">
        <v>5561</v>
      </c>
      <c r="B2147" s="530" t="s">
        <v>5562</v>
      </c>
      <c r="C2147" s="531" t="s">
        <v>8335</v>
      </c>
      <c r="D2147" s="531" t="s">
        <v>9402</v>
      </c>
      <c r="E2147" s="531" t="s">
        <v>8696</v>
      </c>
      <c r="F2147" s="531" t="s">
        <v>7504</v>
      </c>
      <c r="G2147" s="531" t="s">
        <v>8338</v>
      </c>
      <c r="H2147" s="531" t="s">
        <v>9405</v>
      </c>
      <c r="I2147" s="531" t="s">
        <v>9404</v>
      </c>
      <c r="L2147" s="530" t="s">
        <v>2854</v>
      </c>
      <c r="M2147" s="532">
        <v>0</v>
      </c>
      <c r="N2147" s="530" t="s">
        <v>1544</v>
      </c>
    </row>
    <row r="2148" spans="1:14" x14ac:dyDescent="0.25">
      <c r="A2148" s="505" t="s">
        <v>5563</v>
      </c>
      <c r="B2148" s="505" t="s">
        <v>5564</v>
      </c>
      <c r="C2148" s="512" t="s">
        <v>7762</v>
      </c>
      <c r="D2148" s="512" t="s">
        <v>9406</v>
      </c>
      <c r="E2148" s="512" t="s">
        <v>9407</v>
      </c>
      <c r="F2148" s="512" t="s">
        <v>9408</v>
      </c>
      <c r="G2148" s="512" t="s">
        <v>9409</v>
      </c>
      <c r="H2148" s="512">
        <v>0</v>
      </c>
      <c r="L2148" s="505" t="s">
        <v>1233</v>
      </c>
      <c r="M2148" s="516">
        <v>16.11</v>
      </c>
      <c r="N2148" s="505" t="s">
        <v>1233</v>
      </c>
    </row>
    <row r="2149" spans="1:14" s="530" customFormat="1" x14ac:dyDescent="0.25">
      <c r="A2149" s="530" t="s">
        <v>5565</v>
      </c>
      <c r="B2149" s="530" t="s">
        <v>5566</v>
      </c>
      <c r="C2149" s="531" t="s">
        <v>9410</v>
      </c>
      <c r="D2149" s="531" t="s">
        <v>9411</v>
      </c>
      <c r="E2149" s="531" t="s">
        <v>9412</v>
      </c>
      <c r="F2149" s="531" t="s">
        <v>8337</v>
      </c>
      <c r="G2149" s="531" t="s">
        <v>9413</v>
      </c>
      <c r="H2149" s="531"/>
      <c r="I2149" s="531"/>
      <c r="L2149" s="530" t="s">
        <v>1233</v>
      </c>
      <c r="M2149" s="532">
        <v>0</v>
      </c>
      <c r="N2149" s="530" t="s">
        <v>1544</v>
      </c>
    </row>
    <row r="2150" spans="1:14" s="530" customFormat="1" x14ac:dyDescent="0.25">
      <c r="A2150" s="530" t="s">
        <v>5567</v>
      </c>
      <c r="B2150" s="530" t="s">
        <v>5568</v>
      </c>
      <c r="C2150" s="531" t="s">
        <v>9410</v>
      </c>
      <c r="D2150" s="531" t="s">
        <v>9411</v>
      </c>
      <c r="E2150" s="531" t="s">
        <v>9412</v>
      </c>
      <c r="F2150" s="531" t="s">
        <v>8337</v>
      </c>
      <c r="G2150" s="531" t="s">
        <v>9414</v>
      </c>
      <c r="H2150" s="531"/>
      <c r="I2150" s="531"/>
      <c r="L2150" s="530" t="s">
        <v>1233</v>
      </c>
      <c r="M2150" s="532">
        <v>0</v>
      </c>
      <c r="N2150" s="530" t="s">
        <v>1544</v>
      </c>
    </row>
    <row r="2151" spans="1:14" x14ac:dyDescent="0.25">
      <c r="A2151" s="505" t="s">
        <v>5569</v>
      </c>
      <c r="B2151" s="505" t="s">
        <v>5570</v>
      </c>
      <c r="C2151" s="512" t="s">
        <v>9410</v>
      </c>
      <c r="D2151" s="512" t="s">
        <v>9411</v>
      </c>
      <c r="E2151" s="512" t="s">
        <v>9412</v>
      </c>
      <c r="F2151" s="512" t="s">
        <v>8337</v>
      </c>
      <c r="G2151" s="512" t="s">
        <v>8546</v>
      </c>
      <c r="L2151" s="505" t="s">
        <v>1233</v>
      </c>
      <c r="M2151" s="516">
        <v>29.11</v>
      </c>
      <c r="N2151" s="505" t="s">
        <v>1233</v>
      </c>
    </row>
    <row r="2152" spans="1:14" x14ac:dyDescent="0.25">
      <c r="A2152" s="505" t="s">
        <v>5571</v>
      </c>
      <c r="B2152" s="505" t="s">
        <v>5572</v>
      </c>
      <c r="C2152" s="512" t="s">
        <v>9410</v>
      </c>
      <c r="D2152" s="512" t="s">
        <v>9411</v>
      </c>
      <c r="E2152" s="512" t="s">
        <v>9412</v>
      </c>
      <c r="F2152" s="512" t="s">
        <v>8337</v>
      </c>
      <c r="G2152" s="512" t="s">
        <v>9415</v>
      </c>
      <c r="L2152" s="505" t="s">
        <v>1233</v>
      </c>
      <c r="M2152" s="516">
        <v>29.11</v>
      </c>
      <c r="N2152" s="505" t="s">
        <v>1233</v>
      </c>
    </row>
    <row r="2153" spans="1:14" s="530" customFormat="1" x14ac:dyDescent="0.25">
      <c r="A2153" s="530" t="s">
        <v>5573</v>
      </c>
      <c r="B2153" s="530" t="s">
        <v>5574</v>
      </c>
      <c r="C2153" s="531" t="s">
        <v>9410</v>
      </c>
      <c r="D2153" s="531" t="s">
        <v>9411</v>
      </c>
      <c r="E2153" s="531" t="s">
        <v>9412</v>
      </c>
      <c r="F2153" s="531" t="s">
        <v>8337</v>
      </c>
      <c r="G2153" s="531" t="s">
        <v>9416</v>
      </c>
      <c r="H2153" s="531" t="s">
        <v>363</v>
      </c>
      <c r="I2153" s="531"/>
      <c r="L2153" s="530" t="s">
        <v>1233</v>
      </c>
      <c r="M2153" s="532">
        <v>0</v>
      </c>
      <c r="N2153" s="530" t="s">
        <v>1544</v>
      </c>
    </row>
    <row r="2154" spans="1:14" s="530" customFormat="1" x14ac:dyDescent="0.25">
      <c r="A2154" s="530" t="s">
        <v>5575</v>
      </c>
      <c r="B2154" s="530" t="s">
        <v>5576</v>
      </c>
      <c r="C2154" s="531" t="s">
        <v>9410</v>
      </c>
      <c r="D2154" s="531" t="s">
        <v>9411</v>
      </c>
      <c r="E2154" s="531" t="s">
        <v>9412</v>
      </c>
      <c r="F2154" s="531" t="s">
        <v>8337</v>
      </c>
      <c r="G2154" s="531" t="s">
        <v>9417</v>
      </c>
      <c r="H2154" s="531" t="s">
        <v>9418</v>
      </c>
      <c r="I2154" s="531"/>
      <c r="L2154" s="530" t="s">
        <v>1233</v>
      </c>
      <c r="M2154" s="532">
        <v>0</v>
      </c>
      <c r="N2154" s="530" t="s">
        <v>1544</v>
      </c>
    </row>
    <row r="2155" spans="1:14" s="530" customFormat="1" x14ac:dyDescent="0.25">
      <c r="A2155" s="530" t="s">
        <v>5577</v>
      </c>
      <c r="B2155" s="530" t="s">
        <v>5578</v>
      </c>
      <c r="C2155" s="531" t="s">
        <v>9410</v>
      </c>
      <c r="D2155" s="531" t="s">
        <v>9411</v>
      </c>
      <c r="E2155" s="531" t="s">
        <v>9412</v>
      </c>
      <c r="F2155" s="531" t="s">
        <v>8337</v>
      </c>
      <c r="G2155" s="531" t="s">
        <v>9419</v>
      </c>
      <c r="H2155" s="531"/>
      <c r="I2155" s="531"/>
      <c r="L2155" s="530" t="s">
        <v>1233</v>
      </c>
      <c r="M2155" s="532">
        <v>0</v>
      </c>
      <c r="N2155" s="530" t="s">
        <v>1544</v>
      </c>
    </row>
    <row r="2156" spans="1:14" x14ac:dyDescent="0.25">
      <c r="A2156" s="505" t="s">
        <v>5579</v>
      </c>
      <c r="B2156" s="505" t="s">
        <v>5580</v>
      </c>
      <c r="C2156" s="512" t="s">
        <v>9410</v>
      </c>
      <c r="D2156" s="512" t="s">
        <v>9411</v>
      </c>
      <c r="E2156" s="512" t="s">
        <v>9412</v>
      </c>
      <c r="F2156" s="512" t="s">
        <v>8337</v>
      </c>
      <c r="G2156" s="512" t="s">
        <v>7962</v>
      </c>
      <c r="H2156" s="512" t="s">
        <v>9420</v>
      </c>
      <c r="L2156" s="505" t="s">
        <v>1233</v>
      </c>
      <c r="M2156" s="516">
        <v>29.11</v>
      </c>
      <c r="N2156" s="505" t="s">
        <v>1233</v>
      </c>
    </row>
    <row r="2157" spans="1:14" s="530" customFormat="1" x14ac:dyDescent="0.25">
      <c r="A2157" s="530" t="s">
        <v>5581</v>
      </c>
      <c r="B2157" s="530" t="s">
        <v>5582</v>
      </c>
      <c r="C2157" s="531" t="s">
        <v>9410</v>
      </c>
      <c r="D2157" s="531" t="s">
        <v>9411</v>
      </c>
      <c r="E2157" s="531" t="s">
        <v>9412</v>
      </c>
      <c r="F2157" s="531" t="s">
        <v>8337</v>
      </c>
      <c r="G2157" s="531" t="s">
        <v>7471</v>
      </c>
      <c r="H2157" s="531"/>
      <c r="I2157" s="531"/>
      <c r="L2157" s="530" t="s">
        <v>1233</v>
      </c>
      <c r="M2157" s="532">
        <v>0</v>
      </c>
      <c r="N2157" s="530" t="s">
        <v>1544</v>
      </c>
    </row>
    <row r="2158" spans="1:14" s="530" customFormat="1" x14ac:dyDescent="0.25">
      <c r="A2158" s="530" t="s">
        <v>5583</v>
      </c>
      <c r="B2158" s="530" t="s">
        <v>5584</v>
      </c>
      <c r="C2158" s="531" t="s">
        <v>9410</v>
      </c>
      <c r="D2158" s="531" t="s">
        <v>9411</v>
      </c>
      <c r="E2158" s="531" t="s">
        <v>9412</v>
      </c>
      <c r="F2158" s="531" t="s">
        <v>8337</v>
      </c>
      <c r="G2158" s="531" t="s">
        <v>9421</v>
      </c>
      <c r="H2158" s="531"/>
      <c r="I2158" s="531"/>
      <c r="L2158" s="530" t="s">
        <v>1233</v>
      </c>
      <c r="M2158" s="532">
        <v>0</v>
      </c>
      <c r="N2158" s="530" t="s">
        <v>1544</v>
      </c>
    </row>
    <row r="2159" spans="1:14" s="530" customFormat="1" x14ac:dyDescent="0.25">
      <c r="A2159" s="530" t="s">
        <v>5585</v>
      </c>
      <c r="B2159" s="530" t="s">
        <v>5586</v>
      </c>
      <c r="C2159" s="531" t="s">
        <v>9410</v>
      </c>
      <c r="D2159" s="531" t="s">
        <v>9411</v>
      </c>
      <c r="E2159" s="531" t="s">
        <v>9412</v>
      </c>
      <c r="F2159" s="531" t="s">
        <v>8337</v>
      </c>
      <c r="G2159" s="531" t="s">
        <v>8476</v>
      </c>
      <c r="H2159" s="531" t="s">
        <v>8477</v>
      </c>
      <c r="I2159" s="531" t="s">
        <v>8478</v>
      </c>
      <c r="L2159" s="530" t="s">
        <v>1233</v>
      </c>
      <c r="M2159" s="532">
        <v>0</v>
      </c>
      <c r="N2159" s="530" t="s">
        <v>1544</v>
      </c>
    </row>
    <row r="2160" spans="1:14" x14ac:dyDescent="0.25">
      <c r="A2160" s="505" t="s">
        <v>5587</v>
      </c>
      <c r="B2160" s="505" t="s">
        <v>5588</v>
      </c>
      <c r="C2160" s="512" t="s">
        <v>9410</v>
      </c>
      <c r="D2160" s="512" t="s">
        <v>9411</v>
      </c>
      <c r="E2160" s="512" t="s">
        <v>9412</v>
      </c>
      <c r="F2160" s="512" t="s">
        <v>8337</v>
      </c>
      <c r="G2160" s="512" t="s">
        <v>9422</v>
      </c>
      <c r="H2160" s="512" t="s">
        <v>9423</v>
      </c>
      <c r="L2160" s="505" t="s">
        <v>1233</v>
      </c>
      <c r="M2160" s="516">
        <v>29.11</v>
      </c>
      <c r="N2160" s="505" t="s">
        <v>1233</v>
      </c>
    </row>
    <row r="2161" spans="1:14" s="530" customFormat="1" x14ac:dyDescent="0.25">
      <c r="A2161" s="530" t="s">
        <v>5589</v>
      </c>
      <c r="B2161" s="530" t="s">
        <v>5590</v>
      </c>
      <c r="C2161" s="531" t="s">
        <v>9410</v>
      </c>
      <c r="D2161" s="531" t="s">
        <v>9411</v>
      </c>
      <c r="E2161" s="531" t="s">
        <v>9412</v>
      </c>
      <c r="F2161" s="531" t="s">
        <v>8337</v>
      </c>
      <c r="G2161" s="531" t="s">
        <v>9424</v>
      </c>
      <c r="H2161" s="531" t="s">
        <v>9425</v>
      </c>
      <c r="I2161" s="531"/>
      <c r="L2161" s="530" t="s">
        <v>1233</v>
      </c>
      <c r="M2161" s="532">
        <v>29.11</v>
      </c>
      <c r="N2161" s="530" t="s">
        <v>1233</v>
      </c>
    </row>
    <row r="2162" spans="1:14" s="530" customFormat="1" x14ac:dyDescent="0.25">
      <c r="A2162" s="530" t="s">
        <v>5591</v>
      </c>
      <c r="B2162" s="530" t="s">
        <v>5592</v>
      </c>
      <c r="C2162" s="531" t="s">
        <v>9410</v>
      </c>
      <c r="D2162" s="531" t="s">
        <v>9411</v>
      </c>
      <c r="E2162" s="531" t="s">
        <v>9426</v>
      </c>
      <c r="F2162" s="531" t="s">
        <v>9421</v>
      </c>
      <c r="G2162" s="531" t="s">
        <v>9427</v>
      </c>
      <c r="H2162" s="531"/>
      <c r="I2162" s="531"/>
      <c r="L2162" s="530" t="s">
        <v>2854</v>
      </c>
      <c r="M2162" s="532">
        <v>0</v>
      </c>
      <c r="N2162" s="530" t="s">
        <v>1544</v>
      </c>
    </row>
    <row r="2163" spans="1:14" s="530" customFormat="1" x14ac:dyDescent="0.25">
      <c r="A2163" s="530" t="s">
        <v>5593</v>
      </c>
      <c r="B2163" s="530" t="s">
        <v>5594</v>
      </c>
      <c r="C2163" s="531" t="s">
        <v>9410</v>
      </c>
      <c r="D2163" s="531" t="s">
        <v>9411</v>
      </c>
      <c r="E2163" s="531" t="s">
        <v>9426</v>
      </c>
      <c r="F2163" s="531" t="s">
        <v>9428</v>
      </c>
      <c r="G2163" s="531" t="s">
        <v>9423</v>
      </c>
      <c r="H2163" s="531" t="s">
        <v>9427</v>
      </c>
      <c r="I2163" s="531"/>
      <c r="L2163" s="530" t="s">
        <v>2854</v>
      </c>
      <c r="M2163" s="532">
        <v>0</v>
      </c>
      <c r="N2163" s="530" t="s">
        <v>1544</v>
      </c>
    </row>
    <row r="2164" spans="1:14" s="530" customFormat="1" x14ac:dyDescent="0.25">
      <c r="A2164" s="530" t="s">
        <v>5595</v>
      </c>
      <c r="B2164" s="530" t="s">
        <v>5596</v>
      </c>
      <c r="C2164" s="531" t="s">
        <v>9410</v>
      </c>
      <c r="D2164" s="531" t="s">
        <v>9411</v>
      </c>
      <c r="E2164" s="531" t="s">
        <v>9426</v>
      </c>
      <c r="F2164" s="531" t="s">
        <v>9413</v>
      </c>
      <c r="G2164" s="531" t="s">
        <v>9429</v>
      </c>
      <c r="H2164" s="531"/>
      <c r="I2164" s="531"/>
      <c r="L2164" s="530" t="s">
        <v>2854</v>
      </c>
      <c r="M2164" s="532">
        <v>0</v>
      </c>
      <c r="N2164" s="530" t="s">
        <v>1544</v>
      </c>
    </row>
    <row r="2165" spans="1:14" s="530" customFormat="1" x14ac:dyDescent="0.25">
      <c r="A2165" s="530" t="s">
        <v>5597</v>
      </c>
      <c r="B2165" s="530" t="s">
        <v>5598</v>
      </c>
      <c r="C2165" s="531" t="s">
        <v>9410</v>
      </c>
      <c r="D2165" s="531" t="s">
        <v>9411</v>
      </c>
      <c r="E2165" s="531" t="s">
        <v>9426</v>
      </c>
      <c r="F2165" s="531" t="s">
        <v>9430</v>
      </c>
      <c r="G2165" s="531" t="s">
        <v>9429</v>
      </c>
      <c r="H2165" s="531"/>
      <c r="I2165" s="531"/>
      <c r="L2165" s="530" t="s">
        <v>2854</v>
      </c>
      <c r="M2165" s="532">
        <v>0</v>
      </c>
      <c r="N2165" s="530" t="s">
        <v>1544</v>
      </c>
    </row>
    <row r="2166" spans="1:14" s="530" customFormat="1" x14ac:dyDescent="0.25">
      <c r="A2166" s="530" t="s">
        <v>5599</v>
      </c>
      <c r="B2166" s="530" t="s">
        <v>5600</v>
      </c>
      <c r="C2166" s="531" t="s">
        <v>9410</v>
      </c>
      <c r="D2166" s="531" t="s">
        <v>9411</v>
      </c>
      <c r="E2166" s="531" t="s">
        <v>9426</v>
      </c>
      <c r="F2166" s="531" t="s">
        <v>9431</v>
      </c>
      <c r="G2166" s="531" t="s">
        <v>363</v>
      </c>
      <c r="H2166" s="531" t="s">
        <v>9429</v>
      </c>
      <c r="I2166" s="531"/>
      <c r="L2166" s="530" t="s">
        <v>2854</v>
      </c>
      <c r="M2166" s="532">
        <v>0</v>
      </c>
      <c r="N2166" s="530" t="s">
        <v>1544</v>
      </c>
    </row>
    <row r="2167" spans="1:14" s="530" customFormat="1" x14ac:dyDescent="0.25">
      <c r="A2167" s="530" t="s">
        <v>5601</v>
      </c>
      <c r="B2167" s="530" t="s">
        <v>5602</v>
      </c>
      <c r="C2167" s="531" t="s">
        <v>9410</v>
      </c>
      <c r="D2167" s="531" t="s">
        <v>9411</v>
      </c>
      <c r="E2167" s="531" t="s">
        <v>9426</v>
      </c>
      <c r="F2167" s="531" t="s">
        <v>7962</v>
      </c>
      <c r="G2167" s="531" t="s">
        <v>9432</v>
      </c>
      <c r="H2167" s="531" t="s">
        <v>9429</v>
      </c>
      <c r="I2167" s="531"/>
      <c r="L2167" s="530" t="s">
        <v>2854</v>
      </c>
      <c r="M2167" s="532">
        <v>0</v>
      </c>
      <c r="N2167" s="530" t="s">
        <v>1544</v>
      </c>
    </row>
    <row r="2168" spans="1:14" s="530" customFormat="1" x14ac:dyDescent="0.25">
      <c r="A2168" s="530" t="s">
        <v>5603</v>
      </c>
      <c r="B2168" s="530" t="s">
        <v>5604</v>
      </c>
      <c r="C2168" s="531" t="s">
        <v>9410</v>
      </c>
      <c r="D2168" s="531" t="s">
        <v>9411</v>
      </c>
      <c r="E2168" s="531" t="s">
        <v>9426</v>
      </c>
      <c r="F2168" s="531" t="s">
        <v>9421</v>
      </c>
      <c r="G2168" s="531" t="s">
        <v>9404</v>
      </c>
      <c r="H2168" s="531"/>
      <c r="I2168" s="531"/>
      <c r="L2168" s="530" t="s">
        <v>2854</v>
      </c>
      <c r="M2168" s="532">
        <v>0</v>
      </c>
      <c r="N2168" s="530" t="s">
        <v>1544</v>
      </c>
    </row>
    <row r="2169" spans="1:14" s="530" customFormat="1" x14ac:dyDescent="0.25">
      <c r="A2169" s="530" t="s">
        <v>5605</v>
      </c>
      <c r="B2169" s="530" t="s">
        <v>5606</v>
      </c>
      <c r="C2169" s="531" t="s">
        <v>9410</v>
      </c>
      <c r="D2169" s="531" t="s">
        <v>9411</v>
      </c>
      <c r="E2169" s="531" t="s">
        <v>9426</v>
      </c>
      <c r="F2169" s="531" t="s">
        <v>8476</v>
      </c>
      <c r="G2169" s="531" t="s">
        <v>8477</v>
      </c>
      <c r="H2169" s="531" t="s">
        <v>9433</v>
      </c>
      <c r="I2169" s="531" t="s">
        <v>9429</v>
      </c>
      <c r="L2169" s="530" t="s">
        <v>2854</v>
      </c>
      <c r="M2169" s="532">
        <v>0</v>
      </c>
      <c r="N2169" s="530" t="s">
        <v>1544</v>
      </c>
    </row>
    <row r="2170" spans="1:14" s="530" customFormat="1" x14ac:dyDescent="0.25">
      <c r="A2170" s="530" t="s">
        <v>5607</v>
      </c>
      <c r="B2170" s="530" t="s">
        <v>5608</v>
      </c>
      <c r="C2170" s="531" t="s">
        <v>9410</v>
      </c>
      <c r="D2170" s="531" t="s">
        <v>9411</v>
      </c>
      <c r="E2170" s="531" t="s">
        <v>9426</v>
      </c>
      <c r="F2170" s="531" t="s">
        <v>9428</v>
      </c>
      <c r="G2170" s="531" t="s">
        <v>9423</v>
      </c>
      <c r="H2170" s="531" t="s">
        <v>9429</v>
      </c>
      <c r="I2170" s="531"/>
      <c r="L2170" s="530" t="s">
        <v>2854</v>
      </c>
      <c r="M2170" s="532">
        <v>0</v>
      </c>
      <c r="N2170" s="530" t="s">
        <v>1544</v>
      </c>
    </row>
    <row r="2171" spans="1:14" s="530" customFormat="1" x14ac:dyDescent="0.25">
      <c r="A2171" s="530" t="s">
        <v>5609</v>
      </c>
      <c r="B2171" s="530" t="s">
        <v>5610</v>
      </c>
      <c r="C2171" s="531" t="s">
        <v>9410</v>
      </c>
      <c r="D2171" s="531" t="s">
        <v>9411</v>
      </c>
      <c r="E2171" s="531" t="s">
        <v>9426</v>
      </c>
      <c r="F2171" s="531" t="s">
        <v>9434</v>
      </c>
      <c r="G2171" s="531" t="s">
        <v>9425</v>
      </c>
      <c r="H2171" s="531" t="s">
        <v>9429</v>
      </c>
      <c r="I2171" s="531"/>
      <c r="L2171" s="530" t="s">
        <v>2854</v>
      </c>
      <c r="M2171" s="532">
        <v>0</v>
      </c>
      <c r="N2171" s="530" t="s">
        <v>1544</v>
      </c>
    </row>
    <row r="2172" spans="1:14" x14ac:dyDescent="0.25">
      <c r="A2172" s="505" t="s">
        <v>5611</v>
      </c>
      <c r="B2172" s="505" t="s">
        <v>5612</v>
      </c>
      <c r="C2172" s="512" t="s">
        <v>8350</v>
      </c>
      <c r="D2172" s="512" t="s">
        <v>9435</v>
      </c>
      <c r="E2172" s="512" t="s">
        <v>8035</v>
      </c>
      <c r="F2172" s="512" t="s">
        <v>238</v>
      </c>
      <c r="G2172" s="512" t="s">
        <v>7602</v>
      </c>
      <c r="L2172" s="505" t="s">
        <v>1233</v>
      </c>
      <c r="M2172" s="516">
        <v>1</v>
      </c>
      <c r="N2172" s="505" t="s">
        <v>1233</v>
      </c>
    </row>
    <row r="2173" spans="1:14" x14ac:dyDescent="0.25">
      <c r="A2173" s="505" t="s">
        <v>5613</v>
      </c>
      <c r="B2173" s="505" t="s">
        <v>5614</v>
      </c>
      <c r="C2173" s="512" t="s">
        <v>8371</v>
      </c>
      <c r="D2173" s="512" t="s">
        <v>8490</v>
      </c>
      <c r="E2173" s="515">
        <v>45416</v>
      </c>
      <c r="F2173" s="512" t="s">
        <v>9436</v>
      </c>
      <c r="G2173" s="512" t="s">
        <v>8900</v>
      </c>
      <c r="H2173" s="512" t="s">
        <v>8326</v>
      </c>
      <c r="I2173" s="512" t="s">
        <v>8039</v>
      </c>
      <c r="J2173" s="505" t="s">
        <v>9437</v>
      </c>
      <c r="L2173" s="505" t="s">
        <v>1233</v>
      </c>
      <c r="M2173" s="516">
        <v>84.17</v>
      </c>
      <c r="N2173" s="505" t="s">
        <v>1233</v>
      </c>
    </row>
    <row r="2174" spans="1:14" x14ac:dyDescent="0.25">
      <c r="A2174" s="505" t="s">
        <v>5615</v>
      </c>
      <c r="B2174" s="505" t="s">
        <v>5616</v>
      </c>
      <c r="C2174" s="512" t="s">
        <v>8371</v>
      </c>
      <c r="D2174" s="512" t="s">
        <v>8490</v>
      </c>
      <c r="E2174" s="515">
        <v>45416</v>
      </c>
      <c r="F2174" s="512" t="s">
        <v>9438</v>
      </c>
      <c r="G2174" s="512" t="s">
        <v>8900</v>
      </c>
      <c r="H2174" s="512" t="s">
        <v>8326</v>
      </c>
      <c r="I2174" s="512" t="s">
        <v>8039</v>
      </c>
      <c r="J2174" s="505" t="s">
        <v>9437</v>
      </c>
      <c r="L2174" s="505" t="s">
        <v>1233</v>
      </c>
      <c r="M2174" s="516">
        <v>106.76</v>
      </c>
      <c r="N2174" s="505" t="s">
        <v>1233</v>
      </c>
    </row>
    <row r="2175" spans="1:14" x14ac:dyDescent="0.25">
      <c r="A2175" s="505" t="s">
        <v>5617</v>
      </c>
      <c r="B2175" s="505" t="s">
        <v>5618</v>
      </c>
      <c r="C2175" s="512" t="s">
        <v>8371</v>
      </c>
      <c r="D2175" s="512" t="s">
        <v>8490</v>
      </c>
      <c r="E2175" s="515">
        <v>45416</v>
      </c>
      <c r="F2175" s="512" t="s">
        <v>9439</v>
      </c>
      <c r="G2175" s="512" t="s">
        <v>8900</v>
      </c>
      <c r="H2175" s="512" t="s">
        <v>8326</v>
      </c>
      <c r="I2175" s="512" t="s">
        <v>8039</v>
      </c>
      <c r="J2175" s="505" t="s">
        <v>9437</v>
      </c>
      <c r="L2175" s="505" t="s">
        <v>1233</v>
      </c>
      <c r="M2175" s="516">
        <v>85.49</v>
      </c>
      <c r="N2175" s="505" t="s">
        <v>1233</v>
      </c>
    </row>
    <row r="2176" spans="1:14" x14ac:dyDescent="0.25">
      <c r="A2176" s="505" t="s">
        <v>5619</v>
      </c>
      <c r="B2176" s="505" t="s">
        <v>5620</v>
      </c>
      <c r="C2176" s="512" t="s">
        <v>8371</v>
      </c>
      <c r="D2176" s="512" t="s">
        <v>8490</v>
      </c>
      <c r="E2176" s="515">
        <v>45416</v>
      </c>
      <c r="F2176" s="512" t="s">
        <v>9438</v>
      </c>
      <c r="G2176" s="512" t="s">
        <v>8900</v>
      </c>
      <c r="H2176" s="512" t="s">
        <v>8326</v>
      </c>
      <c r="I2176" s="512" t="s">
        <v>9440</v>
      </c>
      <c r="J2176" s="505" t="s">
        <v>8638</v>
      </c>
      <c r="L2176" s="505" t="s">
        <v>1233</v>
      </c>
      <c r="M2176" s="516">
        <v>85.49</v>
      </c>
      <c r="N2176" s="505" t="s">
        <v>1233</v>
      </c>
    </row>
    <row r="2177" spans="1:14" x14ac:dyDescent="0.25">
      <c r="A2177" s="505" t="s">
        <v>5621</v>
      </c>
      <c r="B2177" s="505" t="s">
        <v>5622</v>
      </c>
      <c r="C2177" s="512" t="s">
        <v>8371</v>
      </c>
      <c r="D2177" s="512" t="s">
        <v>8490</v>
      </c>
      <c r="E2177" s="515">
        <v>45416</v>
      </c>
      <c r="F2177" s="512" t="s">
        <v>9436</v>
      </c>
      <c r="G2177" s="512" t="s">
        <v>8900</v>
      </c>
      <c r="H2177" s="512" t="s">
        <v>8326</v>
      </c>
      <c r="I2177" s="512" t="s">
        <v>9440</v>
      </c>
      <c r="J2177" s="505" t="s">
        <v>8638</v>
      </c>
      <c r="L2177" s="505" t="s">
        <v>1233</v>
      </c>
      <c r="M2177" s="516">
        <v>84.17</v>
      </c>
      <c r="N2177" s="505" t="s">
        <v>1233</v>
      </c>
    </row>
    <row r="2178" spans="1:14" x14ac:dyDescent="0.25">
      <c r="A2178" s="505" t="s">
        <v>5623</v>
      </c>
      <c r="B2178" s="505" t="s">
        <v>5624</v>
      </c>
      <c r="C2178" s="512" t="s">
        <v>8371</v>
      </c>
      <c r="D2178" s="512" t="s">
        <v>8490</v>
      </c>
      <c r="E2178" s="515">
        <v>45416</v>
      </c>
      <c r="F2178" s="512" t="s">
        <v>9441</v>
      </c>
      <c r="G2178" s="512" t="s">
        <v>8900</v>
      </c>
      <c r="H2178" s="512" t="s">
        <v>8326</v>
      </c>
      <c r="I2178" s="512" t="s">
        <v>9440</v>
      </c>
      <c r="J2178" s="505" t="s">
        <v>8638</v>
      </c>
      <c r="L2178" s="505" t="s">
        <v>1233</v>
      </c>
      <c r="M2178" s="516">
        <v>38.880000000000003</v>
      </c>
      <c r="N2178" s="505" t="s">
        <v>1233</v>
      </c>
    </row>
    <row r="2179" spans="1:14" x14ac:dyDescent="0.25">
      <c r="A2179" s="505" t="s">
        <v>5625</v>
      </c>
      <c r="B2179" s="505" t="s">
        <v>5626</v>
      </c>
      <c r="C2179" s="512" t="s">
        <v>8371</v>
      </c>
      <c r="D2179" s="512" t="s">
        <v>8490</v>
      </c>
      <c r="E2179" s="515">
        <v>45416</v>
      </c>
      <c r="F2179" s="512" t="s">
        <v>9442</v>
      </c>
      <c r="G2179" s="512" t="s">
        <v>8900</v>
      </c>
      <c r="H2179" s="512" t="s">
        <v>8326</v>
      </c>
      <c r="I2179" s="512" t="s">
        <v>9440</v>
      </c>
      <c r="J2179" s="505" t="s">
        <v>8638</v>
      </c>
      <c r="L2179" s="505" t="s">
        <v>1233</v>
      </c>
      <c r="M2179" s="516">
        <v>26.06</v>
      </c>
      <c r="N2179" s="505" t="s">
        <v>1233</v>
      </c>
    </row>
    <row r="2180" spans="1:14" x14ac:dyDescent="0.25">
      <c r="A2180" s="505" t="s">
        <v>5627</v>
      </c>
      <c r="B2180" s="505" t="s">
        <v>5628</v>
      </c>
      <c r="C2180" s="512" t="s">
        <v>8371</v>
      </c>
      <c r="D2180" s="512" t="s">
        <v>8496</v>
      </c>
      <c r="E2180" s="515">
        <v>45416</v>
      </c>
      <c r="F2180" s="512" t="s">
        <v>8473</v>
      </c>
      <c r="G2180" s="512" t="s">
        <v>8813</v>
      </c>
      <c r="H2180" s="512" t="s">
        <v>8704</v>
      </c>
      <c r="I2180" s="512" t="s">
        <v>8045</v>
      </c>
      <c r="J2180" s="505" t="s">
        <v>7986</v>
      </c>
      <c r="L2180" s="505" t="s">
        <v>1233</v>
      </c>
      <c r="M2180" s="516">
        <v>96.56</v>
      </c>
      <c r="N2180" s="505" t="s">
        <v>1233</v>
      </c>
    </row>
    <row r="2181" spans="1:14" x14ac:dyDescent="0.25">
      <c r="A2181" s="505" t="s">
        <v>5629</v>
      </c>
      <c r="B2181" s="505" t="s">
        <v>5630</v>
      </c>
      <c r="C2181" s="512" t="s">
        <v>8371</v>
      </c>
      <c r="D2181" s="512" t="s">
        <v>8490</v>
      </c>
      <c r="E2181" s="515">
        <v>45416</v>
      </c>
      <c r="F2181" s="512" t="s">
        <v>9443</v>
      </c>
      <c r="G2181" s="512" t="s">
        <v>8813</v>
      </c>
      <c r="H2181" s="512" t="s">
        <v>8709</v>
      </c>
      <c r="I2181" s="512" t="s">
        <v>8502</v>
      </c>
      <c r="J2181" s="505" t="s">
        <v>8638</v>
      </c>
      <c r="L2181" s="505" t="s">
        <v>1233</v>
      </c>
      <c r="M2181" s="516">
        <v>57.38</v>
      </c>
      <c r="N2181" s="505" t="s">
        <v>1233</v>
      </c>
    </row>
    <row r="2182" spans="1:14" x14ac:dyDescent="0.25">
      <c r="A2182" s="505" t="s">
        <v>5631</v>
      </c>
      <c r="B2182" s="505" t="s">
        <v>5632</v>
      </c>
      <c r="C2182" s="512" t="s">
        <v>8371</v>
      </c>
      <c r="D2182" s="512" t="s">
        <v>8496</v>
      </c>
      <c r="E2182" s="512" t="s">
        <v>8695</v>
      </c>
      <c r="F2182" s="512" t="s">
        <v>8696</v>
      </c>
      <c r="G2182" s="512" t="s">
        <v>9444</v>
      </c>
      <c r="H2182" s="512" t="s">
        <v>9445</v>
      </c>
      <c r="I2182" s="512" t="s">
        <v>7986</v>
      </c>
      <c r="J2182" s="505" t="s">
        <v>5633</v>
      </c>
      <c r="L2182" s="505" t="s">
        <v>5633</v>
      </c>
      <c r="M2182" s="516">
        <v>69.59</v>
      </c>
      <c r="N2182" s="505" t="s">
        <v>5633</v>
      </c>
    </row>
    <row r="2183" spans="1:14" x14ac:dyDescent="0.25">
      <c r="A2183" s="505" t="s">
        <v>5634</v>
      </c>
      <c r="B2183" s="505" t="s">
        <v>5635</v>
      </c>
      <c r="C2183" s="512" t="s">
        <v>8371</v>
      </c>
      <c r="D2183" s="512" t="s">
        <v>8496</v>
      </c>
      <c r="E2183" s="512" t="s">
        <v>8695</v>
      </c>
      <c r="F2183" s="512" t="s">
        <v>8696</v>
      </c>
      <c r="G2183" s="512" t="s">
        <v>9444</v>
      </c>
      <c r="H2183" s="512" t="s">
        <v>9446</v>
      </c>
      <c r="I2183" s="512" t="s">
        <v>8432</v>
      </c>
      <c r="J2183" s="505" t="s">
        <v>5633</v>
      </c>
      <c r="L2183" s="505" t="s">
        <v>5633</v>
      </c>
      <c r="M2183" s="516">
        <v>69.59</v>
      </c>
      <c r="N2183" s="505" t="s">
        <v>5633</v>
      </c>
    </row>
    <row r="2184" spans="1:14" x14ac:dyDescent="0.25">
      <c r="A2184" s="505" t="s">
        <v>5636</v>
      </c>
      <c r="B2184" s="505" t="s">
        <v>5637</v>
      </c>
      <c r="C2184" s="512" t="s">
        <v>8371</v>
      </c>
      <c r="D2184" s="512" t="s">
        <v>8490</v>
      </c>
      <c r="E2184" s="512" t="s">
        <v>9402</v>
      </c>
      <c r="F2184" s="512" t="s">
        <v>9403</v>
      </c>
      <c r="G2184" s="512" t="s">
        <v>156</v>
      </c>
      <c r="H2184" s="512" t="s">
        <v>9447</v>
      </c>
      <c r="I2184" s="512" t="s">
        <v>9448</v>
      </c>
      <c r="J2184" s="505" t="s">
        <v>9449</v>
      </c>
      <c r="L2184" s="505" t="s">
        <v>5633</v>
      </c>
      <c r="M2184" s="516">
        <v>69.59</v>
      </c>
      <c r="N2184" s="505" t="s">
        <v>5633</v>
      </c>
    </row>
    <row r="2185" spans="1:14" x14ac:dyDescent="0.25">
      <c r="A2185" s="505" t="s">
        <v>5638</v>
      </c>
      <c r="B2185" s="505" t="s">
        <v>5639</v>
      </c>
      <c r="C2185" s="512" t="s">
        <v>8371</v>
      </c>
      <c r="D2185" s="512" t="s">
        <v>8490</v>
      </c>
      <c r="E2185" s="512" t="s">
        <v>9402</v>
      </c>
      <c r="F2185" s="512" t="s">
        <v>9403</v>
      </c>
      <c r="G2185" s="512" t="s">
        <v>156</v>
      </c>
      <c r="H2185" s="512" t="s">
        <v>9450</v>
      </c>
      <c r="I2185" s="512" t="s">
        <v>9451</v>
      </c>
      <c r="J2185" s="505" t="s">
        <v>9449</v>
      </c>
      <c r="L2185" s="505" t="s">
        <v>5633</v>
      </c>
      <c r="M2185" s="516">
        <v>69.59</v>
      </c>
      <c r="N2185" s="505" t="s">
        <v>5633</v>
      </c>
    </row>
    <row r="2186" spans="1:14" x14ac:dyDescent="0.25">
      <c r="A2186" s="505" t="s">
        <v>5640</v>
      </c>
      <c r="B2186" s="505" t="s">
        <v>5641</v>
      </c>
      <c r="C2186" s="512" t="s">
        <v>8371</v>
      </c>
      <c r="D2186" s="512" t="s">
        <v>8490</v>
      </c>
      <c r="E2186" s="512" t="s">
        <v>9402</v>
      </c>
      <c r="F2186" s="512" t="s">
        <v>9403</v>
      </c>
      <c r="G2186" s="512" t="s">
        <v>156</v>
      </c>
      <c r="H2186" s="512" t="s">
        <v>7498</v>
      </c>
      <c r="I2186" s="512" t="s">
        <v>9449</v>
      </c>
      <c r="L2186" s="505" t="s">
        <v>5633</v>
      </c>
      <c r="M2186" s="516">
        <v>69.59</v>
      </c>
      <c r="N2186" s="505" t="s">
        <v>5633</v>
      </c>
    </row>
    <row r="2187" spans="1:14" x14ac:dyDescent="0.25">
      <c r="A2187" s="505" t="s">
        <v>5642</v>
      </c>
      <c r="B2187" s="505" t="s">
        <v>5643</v>
      </c>
      <c r="C2187" s="512" t="s">
        <v>8371</v>
      </c>
      <c r="D2187" s="512" t="s">
        <v>8490</v>
      </c>
      <c r="E2187" s="512" t="s">
        <v>9402</v>
      </c>
      <c r="F2187" s="512" t="s">
        <v>9403</v>
      </c>
      <c r="G2187" s="512" t="s">
        <v>156</v>
      </c>
      <c r="H2187" s="512" t="s">
        <v>9452</v>
      </c>
      <c r="I2187" s="512" t="s">
        <v>9453</v>
      </c>
      <c r="J2187" s="505" t="s">
        <v>9449</v>
      </c>
      <c r="L2187" s="505" t="s">
        <v>5633</v>
      </c>
      <c r="M2187" s="516">
        <v>69.59</v>
      </c>
      <c r="N2187" s="505" t="s">
        <v>5633</v>
      </c>
    </row>
    <row r="2188" spans="1:14" x14ac:dyDescent="0.25">
      <c r="A2188" s="505" t="s">
        <v>5644</v>
      </c>
      <c r="B2188" s="505" t="s">
        <v>5645</v>
      </c>
      <c r="C2188" s="512" t="s">
        <v>8371</v>
      </c>
      <c r="D2188" s="512" t="s">
        <v>8490</v>
      </c>
      <c r="E2188" s="512" t="s">
        <v>9402</v>
      </c>
      <c r="F2188" s="512" t="s">
        <v>9403</v>
      </c>
      <c r="G2188" s="512" t="s">
        <v>156</v>
      </c>
      <c r="H2188" s="512" t="s">
        <v>9454</v>
      </c>
      <c r="I2188" s="512" t="s">
        <v>9455</v>
      </c>
      <c r="J2188" s="505" t="s">
        <v>9449</v>
      </c>
      <c r="L2188" s="505" t="s">
        <v>5633</v>
      </c>
      <c r="M2188" s="516">
        <v>69.59</v>
      </c>
      <c r="N2188" s="505" t="s">
        <v>5633</v>
      </c>
    </row>
    <row r="2189" spans="1:14" x14ac:dyDescent="0.25">
      <c r="A2189" s="505" t="s">
        <v>5646</v>
      </c>
      <c r="B2189" s="505" t="s">
        <v>5647</v>
      </c>
      <c r="C2189" s="512" t="s">
        <v>8371</v>
      </c>
      <c r="D2189" s="512" t="s">
        <v>8490</v>
      </c>
      <c r="E2189" s="512" t="s">
        <v>9402</v>
      </c>
      <c r="F2189" s="512" t="s">
        <v>9403</v>
      </c>
      <c r="G2189" s="512" t="s">
        <v>156</v>
      </c>
      <c r="H2189" s="512" t="s">
        <v>9456</v>
      </c>
      <c r="I2189" s="512" t="s">
        <v>9453</v>
      </c>
      <c r="J2189" s="505" t="s">
        <v>9449</v>
      </c>
      <c r="L2189" s="505" t="s">
        <v>2854</v>
      </c>
      <c r="M2189" s="516">
        <v>69.59</v>
      </c>
      <c r="N2189" s="505" t="s">
        <v>2854</v>
      </c>
    </row>
    <row r="2190" spans="1:14" x14ac:dyDescent="0.25">
      <c r="A2190" s="505" t="s">
        <v>5648</v>
      </c>
      <c r="B2190" s="505" t="s">
        <v>5649</v>
      </c>
      <c r="C2190" s="512" t="s">
        <v>8371</v>
      </c>
      <c r="D2190" s="512" t="s">
        <v>8490</v>
      </c>
      <c r="E2190" s="512" t="s">
        <v>8497</v>
      </c>
      <c r="F2190" s="512" t="s">
        <v>8498</v>
      </c>
      <c r="G2190" s="512" t="s">
        <v>8900</v>
      </c>
      <c r="H2190" s="512" t="s">
        <v>8326</v>
      </c>
      <c r="I2190" s="512" t="s">
        <v>8039</v>
      </c>
      <c r="J2190" s="505" t="s">
        <v>9437</v>
      </c>
      <c r="L2190" s="505" t="s">
        <v>1233</v>
      </c>
      <c r="M2190" s="516">
        <v>16.670000000000002</v>
      </c>
      <c r="N2190" s="505" t="s">
        <v>1233</v>
      </c>
    </row>
    <row r="2191" spans="1:14" x14ac:dyDescent="0.25">
      <c r="A2191" s="505" t="s">
        <v>5650</v>
      </c>
      <c r="B2191" s="505" t="s">
        <v>5651</v>
      </c>
      <c r="C2191" s="512" t="s">
        <v>8371</v>
      </c>
      <c r="D2191" s="512" t="s">
        <v>8490</v>
      </c>
      <c r="E2191" s="515">
        <v>45416</v>
      </c>
      <c r="F2191" s="512" t="s">
        <v>9442</v>
      </c>
      <c r="G2191" s="512" t="s">
        <v>8900</v>
      </c>
      <c r="H2191" s="512" t="s">
        <v>8326</v>
      </c>
      <c r="I2191" s="512" t="s">
        <v>8039</v>
      </c>
      <c r="J2191" s="505" t="s">
        <v>9437</v>
      </c>
      <c r="L2191" s="505" t="s">
        <v>1233</v>
      </c>
      <c r="M2191" s="516">
        <v>32.33</v>
      </c>
      <c r="N2191" s="505" t="s">
        <v>1233</v>
      </c>
    </row>
    <row r="2192" spans="1:14" x14ac:dyDescent="0.25">
      <c r="A2192" s="505" t="s">
        <v>5652</v>
      </c>
      <c r="B2192" s="505" t="s">
        <v>5653</v>
      </c>
      <c r="C2192" s="512" t="s">
        <v>8371</v>
      </c>
      <c r="D2192" s="512" t="s">
        <v>8490</v>
      </c>
      <c r="E2192" s="515">
        <v>45416</v>
      </c>
      <c r="F2192" s="512" t="s">
        <v>9457</v>
      </c>
      <c r="G2192" s="512" t="s">
        <v>8900</v>
      </c>
      <c r="H2192" s="512" t="s">
        <v>8326</v>
      </c>
      <c r="I2192" s="512" t="s">
        <v>8039</v>
      </c>
      <c r="J2192" s="505" t="s">
        <v>9437</v>
      </c>
      <c r="L2192" s="505" t="s">
        <v>1233</v>
      </c>
      <c r="M2192" s="516">
        <v>48.39</v>
      </c>
      <c r="N2192" s="505" t="s">
        <v>1233</v>
      </c>
    </row>
    <row r="2193" spans="1:14" x14ac:dyDescent="0.25">
      <c r="A2193" s="505" t="s">
        <v>5654</v>
      </c>
      <c r="B2193" s="505" t="s">
        <v>5624</v>
      </c>
      <c r="C2193" s="512" t="s">
        <v>8371</v>
      </c>
      <c r="D2193" s="512" t="s">
        <v>8490</v>
      </c>
      <c r="E2193" s="515">
        <v>45416</v>
      </c>
      <c r="F2193" s="512" t="s">
        <v>9441</v>
      </c>
      <c r="G2193" s="512" t="s">
        <v>8900</v>
      </c>
      <c r="H2193" s="512" t="s">
        <v>8326</v>
      </c>
      <c r="I2193" s="512" t="s">
        <v>9440</v>
      </c>
      <c r="J2193" s="505" t="s">
        <v>8638</v>
      </c>
      <c r="L2193" s="505" t="s">
        <v>1233</v>
      </c>
      <c r="M2193" s="516">
        <v>48.39</v>
      </c>
      <c r="N2193" s="505" t="s">
        <v>1233</v>
      </c>
    </row>
    <row r="2194" spans="1:14" x14ac:dyDescent="0.25">
      <c r="A2194" s="505" t="s">
        <v>5655</v>
      </c>
      <c r="B2194" s="505" t="s">
        <v>5656</v>
      </c>
      <c r="C2194" s="512" t="s">
        <v>8371</v>
      </c>
      <c r="D2194" s="512" t="s">
        <v>8490</v>
      </c>
      <c r="E2194" s="515">
        <v>45416</v>
      </c>
      <c r="F2194" s="512" t="s">
        <v>8501</v>
      </c>
      <c r="G2194" s="512" t="s">
        <v>8900</v>
      </c>
      <c r="H2194" s="512" t="s">
        <v>8326</v>
      </c>
      <c r="I2194" s="512" t="s">
        <v>8039</v>
      </c>
      <c r="J2194" s="505" t="s">
        <v>9437</v>
      </c>
      <c r="L2194" s="505" t="s">
        <v>1233</v>
      </c>
      <c r="M2194" s="516">
        <v>64.64</v>
      </c>
      <c r="N2194" s="505" t="s">
        <v>1233</v>
      </c>
    </row>
    <row r="2195" spans="1:14" x14ac:dyDescent="0.25">
      <c r="A2195" s="505" t="s">
        <v>5657</v>
      </c>
      <c r="B2195" s="505" t="s">
        <v>5658</v>
      </c>
      <c r="C2195" s="512" t="s">
        <v>8371</v>
      </c>
      <c r="D2195" s="512" t="s">
        <v>8490</v>
      </c>
      <c r="E2195" s="515">
        <v>45416</v>
      </c>
      <c r="F2195" s="512" t="s">
        <v>8501</v>
      </c>
      <c r="G2195" s="512" t="s">
        <v>8900</v>
      </c>
      <c r="H2195" s="512" t="s">
        <v>8326</v>
      </c>
      <c r="I2195" s="512" t="s">
        <v>9458</v>
      </c>
      <c r="J2195" s="505" t="s">
        <v>7740</v>
      </c>
      <c r="L2195" s="505" t="s">
        <v>1233</v>
      </c>
      <c r="M2195" s="516">
        <v>51.92</v>
      </c>
      <c r="N2195" s="505" t="s">
        <v>1233</v>
      </c>
    </row>
    <row r="2196" spans="1:14" x14ac:dyDescent="0.25">
      <c r="A2196" s="505" t="s">
        <v>5659</v>
      </c>
      <c r="B2196" s="505" t="s">
        <v>5660</v>
      </c>
      <c r="C2196" s="512" t="s">
        <v>8371</v>
      </c>
      <c r="D2196" s="512" t="s">
        <v>8490</v>
      </c>
      <c r="E2196" s="515">
        <v>45416</v>
      </c>
      <c r="F2196" s="512" t="s">
        <v>9442</v>
      </c>
      <c r="G2196" s="512" t="s">
        <v>8900</v>
      </c>
      <c r="H2196" s="512" t="s">
        <v>8326</v>
      </c>
      <c r="I2196" s="512" t="s">
        <v>8520</v>
      </c>
      <c r="L2196" s="505" t="s">
        <v>1233</v>
      </c>
      <c r="M2196" s="516">
        <v>32.33</v>
      </c>
      <c r="N2196" s="505" t="s">
        <v>1233</v>
      </c>
    </row>
    <row r="2197" spans="1:14" x14ac:dyDescent="0.25">
      <c r="A2197" s="505" t="s">
        <v>5661</v>
      </c>
      <c r="B2197" s="505" t="s">
        <v>5662</v>
      </c>
      <c r="C2197" s="512" t="s">
        <v>8371</v>
      </c>
      <c r="D2197" s="512" t="s">
        <v>8490</v>
      </c>
      <c r="E2197" s="515">
        <v>45416</v>
      </c>
      <c r="F2197" s="512" t="s">
        <v>9436</v>
      </c>
      <c r="G2197" s="512" t="s">
        <v>8900</v>
      </c>
      <c r="H2197" s="512" t="s">
        <v>8326</v>
      </c>
      <c r="I2197" s="512" t="s">
        <v>8520</v>
      </c>
      <c r="L2197" s="505" t="s">
        <v>1233</v>
      </c>
      <c r="M2197" s="516">
        <v>72.510000000000005</v>
      </c>
      <c r="N2197" s="505" t="s">
        <v>1233</v>
      </c>
    </row>
    <row r="2198" spans="1:14" x14ac:dyDescent="0.25">
      <c r="A2198" s="505" t="s">
        <v>5663</v>
      </c>
      <c r="B2198" s="505" t="s">
        <v>5664</v>
      </c>
      <c r="C2198" s="512" t="s">
        <v>8371</v>
      </c>
      <c r="D2198" s="512" t="s">
        <v>8490</v>
      </c>
      <c r="E2198" s="512" t="s">
        <v>9402</v>
      </c>
      <c r="F2198" s="512" t="s">
        <v>9403</v>
      </c>
      <c r="G2198" s="512" t="s">
        <v>156</v>
      </c>
      <c r="H2198" s="512" t="s">
        <v>9459</v>
      </c>
      <c r="I2198" s="512" t="s">
        <v>484</v>
      </c>
      <c r="L2198" s="505" t="s">
        <v>5633</v>
      </c>
      <c r="M2198" s="516">
        <v>69.59</v>
      </c>
      <c r="N2198" s="505" t="s">
        <v>5633</v>
      </c>
    </row>
    <row r="2199" spans="1:14" x14ac:dyDescent="0.25">
      <c r="A2199" s="505" t="s">
        <v>5665</v>
      </c>
      <c r="B2199" s="505" t="s">
        <v>5666</v>
      </c>
      <c r="C2199" s="512" t="s">
        <v>8371</v>
      </c>
      <c r="D2199" s="512" t="s">
        <v>8490</v>
      </c>
      <c r="E2199" s="512" t="s">
        <v>9402</v>
      </c>
      <c r="F2199" s="512" t="s">
        <v>9403</v>
      </c>
      <c r="G2199" s="512" t="s">
        <v>156</v>
      </c>
      <c r="H2199" s="512" t="s">
        <v>7576</v>
      </c>
      <c r="I2199" s="512" t="s">
        <v>9460</v>
      </c>
      <c r="J2199" s="505" t="s">
        <v>9449</v>
      </c>
      <c r="L2199" s="505" t="s">
        <v>5633</v>
      </c>
      <c r="M2199" s="516">
        <v>69.59</v>
      </c>
      <c r="N2199" s="505" t="s">
        <v>5633</v>
      </c>
    </row>
    <row r="2200" spans="1:14" x14ac:dyDescent="0.25">
      <c r="A2200" s="505" t="s">
        <v>5667</v>
      </c>
      <c r="B2200" s="505" t="s">
        <v>5668</v>
      </c>
      <c r="C2200" s="512" t="s">
        <v>8371</v>
      </c>
      <c r="D2200" s="512" t="s">
        <v>9461</v>
      </c>
      <c r="E2200" s="512" t="s">
        <v>7797</v>
      </c>
      <c r="F2200" s="512" t="s">
        <v>9462</v>
      </c>
      <c r="G2200" s="512" t="s">
        <v>9463</v>
      </c>
      <c r="H2200" s="512" t="s">
        <v>7977</v>
      </c>
      <c r="L2200" s="505" t="s">
        <v>1233</v>
      </c>
      <c r="M2200" s="516">
        <v>87.53</v>
      </c>
      <c r="N2200" s="505" t="s">
        <v>1233</v>
      </c>
    </row>
    <row r="2201" spans="1:14" x14ac:dyDescent="0.25">
      <c r="A2201" s="505" t="s">
        <v>5669</v>
      </c>
      <c r="B2201" s="505" t="s">
        <v>5670</v>
      </c>
      <c r="C2201" s="512" t="s">
        <v>8371</v>
      </c>
      <c r="D2201" s="512" t="s">
        <v>9461</v>
      </c>
      <c r="E2201" s="512" t="s">
        <v>7797</v>
      </c>
      <c r="F2201" s="512" t="s">
        <v>9462</v>
      </c>
      <c r="G2201" s="512" t="s">
        <v>9464</v>
      </c>
      <c r="H2201" s="512" t="s">
        <v>7977</v>
      </c>
      <c r="L2201" s="505" t="s">
        <v>1233</v>
      </c>
      <c r="M2201" s="516">
        <v>116.28</v>
      </c>
      <c r="N2201" s="505" t="s">
        <v>1233</v>
      </c>
    </row>
    <row r="2202" spans="1:14" s="530" customFormat="1" x14ac:dyDescent="0.25">
      <c r="A2202" s="530" t="s">
        <v>5671</v>
      </c>
      <c r="B2202" s="530" t="s">
        <v>5672</v>
      </c>
      <c r="C2202" s="531" t="s">
        <v>8371</v>
      </c>
      <c r="D2202" s="531" t="s">
        <v>8524</v>
      </c>
      <c r="E2202" s="531" t="s">
        <v>7797</v>
      </c>
      <c r="F2202" s="531" t="s">
        <v>8463</v>
      </c>
      <c r="G2202" s="531" t="s">
        <v>9465</v>
      </c>
      <c r="H2202" s="531"/>
      <c r="I2202" s="531"/>
      <c r="L2202" s="530" t="s">
        <v>1233</v>
      </c>
      <c r="M2202" s="532">
        <v>0</v>
      </c>
      <c r="N2202" s="530" t="s">
        <v>1544</v>
      </c>
    </row>
    <row r="2203" spans="1:14" x14ac:dyDescent="0.25">
      <c r="A2203" s="505" t="s">
        <v>5673</v>
      </c>
      <c r="B2203" s="505" t="s">
        <v>5674</v>
      </c>
      <c r="C2203" s="512" t="s">
        <v>8371</v>
      </c>
      <c r="D2203" s="512" t="s">
        <v>8524</v>
      </c>
      <c r="E2203" s="512" t="s">
        <v>7797</v>
      </c>
      <c r="F2203" s="512" t="s">
        <v>8463</v>
      </c>
      <c r="G2203" s="512" t="s">
        <v>9466</v>
      </c>
      <c r="L2203" s="505" t="s">
        <v>1233</v>
      </c>
      <c r="M2203" s="516">
        <v>9.94</v>
      </c>
      <c r="N2203" s="505" t="s">
        <v>1233</v>
      </c>
    </row>
    <row r="2204" spans="1:14" s="530" customFormat="1" x14ac:dyDescent="0.25">
      <c r="A2204" s="530" t="s">
        <v>5675</v>
      </c>
      <c r="B2204" s="530" t="s">
        <v>5676</v>
      </c>
      <c r="C2204" s="531" t="s">
        <v>8371</v>
      </c>
      <c r="D2204" s="531" t="s">
        <v>8524</v>
      </c>
      <c r="E2204" s="531" t="s">
        <v>7797</v>
      </c>
      <c r="F2204" s="531" t="s">
        <v>8463</v>
      </c>
      <c r="G2204" s="531" t="s">
        <v>9467</v>
      </c>
      <c r="H2204" s="531"/>
      <c r="I2204" s="531"/>
      <c r="L2204" s="530" t="s">
        <v>1233</v>
      </c>
      <c r="M2204" s="532">
        <v>0</v>
      </c>
      <c r="N2204" s="530" t="s">
        <v>1544</v>
      </c>
    </row>
    <row r="2205" spans="1:14" s="530" customFormat="1" x14ac:dyDescent="0.25">
      <c r="A2205" s="530" t="s">
        <v>5677</v>
      </c>
      <c r="B2205" s="530" t="s">
        <v>5678</v>
      </c>
      <c r="C2205" s="531" t="s">
        <v>8371</v>
      </c>
      <c r="D2205" s="531" t="s">
        <v>8524</v>
      </c>
      <c r="E2205" s="531" t="s">
        <v>7797</v>
      </c>
      <c r="F2205" s="531" t="s">
        <v>9468</v>
      </c>
      <c r="G2205" s="531" t="s">
        <v>9469</v>
      </c>
      <c r="H2205" s="531"/>
      <c r="I2205" s="531"/>
      <c r="L2205" s="530" t="s">
        <v>1233</v>
      </c>
      <c r="M2205" s="532">
        <v>0</v>
      </c>
      <c r="N2205" s="530" t="s">
        <v>1544</v>
      </c>
    </row>
    <row r="2206" spans="1:14" x14ac:dyDescent="0.25">
      <c r="A2206" s="505" t="s">
        <v>5679</v>
      </c>
      <c r="B2206" s="505" t="s">
        <v>5680</v>
      </c>
      <c r="C2206" s="512" t="s">
        <v>8371</v>
      </c>
      <c r="D2206" s="512" t="s">
        <v>8524</v>
      </c>
      <c r="E2206" s="512" t="s">
        <v>7797</v>
      </c>
      <c r="F2206" s="512" t="s">
        <v>9468</v>
      </c>
      <c r="G2206" s="512" t="s">
        <v>9470</v>
      </c>
      <c r="L2206" s="505" t="s">
        <v>1233</v>
      </c>
      <c r="M2206" s="516">
        <v>11.66</v>
      </c>
      <c r="N2206" s="505" t="s">
        <v>1233</v>
      </c>
    </row>
    <row r="2207" spans="1:14" x14ac:dyDescent="0.25">
      <c r="A2207" s="505" t="s">
        <v>5681</v>
      </c>
      <c r="B2207" s="505" t="s">
        <v>5682</v>
      </c>
      <c r="C2207" s="512" t="s">
        <v>8371</v>
      </c>
      <c r="D2207" s="512" t="s">
        <v>8526</v>
      </c>
      <c r="E2207" s="512" t="s">
        <v>7782</v>
      </c>
      <c r="F2207" s="512" t="s">
        <v>9468</v>
      </c>
      <c r="G2207" s="512" t="s">
        <v>9471</v>
      </c>
      <c r="L2207" s="505" t="s">
        <v>1233</v>
      </c>
      <c r="M2207" s="516">
        <v>17.34</v>
      </c>
      <c r="N2207" s="505" t="s">
        <v>1233</v>
      </c>
    </row>
    <row r="2208" spans="1:14" x14ac:dyDescent="0.25">
      <c r="A2208" s="505" t="s">
        <v>5683</v>
      </c>
      <c r="B2208" s="505" t="s">
        <v>5684</v>
      </c>
      <c r="C2208" s="512" t="s">
        <v>8371</v>
      </c>
      <c r="D2208" s="512" t="s">
        <v>8524</v>
      </c>
      <c r="E2208" s="512" t="s">
        <v>7797</v>
      </c>
      <c r="F2208" s="512" t="s">
        <v>9468</v>
      </c>
      <c r="G2208" s="512" t="s">
        <v>9472</v>
      </c>
      <c r="L2208" s="505" t="s">
        <v>1233</v>
      </c>
      <c r="M2208" s="516">
        <v>14.05</v>
      </c>
      <c r="N2208" s="505" t="s">
        <v>1233</v>
      </c>
    </row>
    <row r="2209" spans="1:14" x14ac:dyDescent="0.25">
      <c r="A2209" s="505" t="s">
        <v>5685</v>
      </c>
      <c r="B2209" s="505" t="s">
        <v>5686</v>
      </c>
      <c r="C2209" s="512" t="s">
        <v>8371</v>
      </c>
      <c r="D2209" s="512" t="s">
        <v>8524</v>
      </c>
      <c r="E2209" s="512" t="s">
        <v>7797</v>
      </c>
      <c r="F2209" s="512" t="s">
        <v>9468</v>
      </c>
      <c r="G2209" s="512" t="s">
        <v>9465</v>
      </c>
      <c r="L2209" s="505" t="s">
        <v>1233</v>
      </c>
      <c r="M2209" s="516">
        <v>24.6</v>
      </c>
      <c r="N2209" s="505" t="s">
        <v>1233</v>
      </c>
    </row>
    <row r="2210" spans="1:14" x14ac:dyDescent="0.25">
      <c r="A2210" s="505" t="s">
        <v>5687</v>
      </c>
      <c r="B2210" s="505" t="s">
        <v>5688</v>
      </c>
      <c r="C2210" s="512" t="s">
        <v>8371</v>
      </c>
      <c r="D2210" s="512" t="s">
        <v>8524</v>
      </c>
      <c r="E2210" s="512" t="s">
        <v>7797</v>
      </c>
      <c r="F2210" s="512" t="s">
        <v>9468</v>
      </c>
      <c r="G2210" s="512" t="s">
        <v>9466</v>
      </c>
      <c r="L2210" s="505" t="s">
        <v>1233</v>
      </c>
      <c r="M2210" s="516">
        <v>37.08</v>
      </c>
      <c r="N2210" s="505" t="s">
        <v>1233</v>
      </c>
    </row>
    <row r="2211" spans="1:14" x14ac:dyDescent="0.25">
      <c r="A2211" s="505" t="s">
        <v>5689</v>
      </c>
      <c r="B2211" s="505" t="s">
        <v>5690</v>
      </c>
      <c r="C2211" s="512" t="s">
        <v>8371</v>
      </c>
      <c r="D2211" s="512" t="s">
        <v>8524</v>
      </c>
      <c r="E2211" s="512" t="s">
        <v>7797</v>
      </c>
      <c r="F2211" s="512" t="s">
        <v>9468</v>
      </c>
      <c r="G2211" s="512" t="s">
        <v>9467</v>
      </c>
      <c r="L2211" s="505" t="s">
        <v>1233</v>
      </c>
      <c r="M2211" s="516">
        <v>54.42</v>
      </c>
      <c r="N2211" s="505" t="s">
        <v>1233</v>
      </c>
    </row>
    <row r="2212" spans="1:14" x14ac:dyDescent="0.25">
      <c r="A2212" s="505" t="s">
        <v>5691</v>
      </c>
      <c r="B2212" s="505" t="s">
        <v>5692</v>
      </c>
      <c r="C2212" s="512" t="s">
        <v>8371</v>
      </c>
      <c r="D2212" s="512" t="s">
        <v>8524</v>
      </c>
      <c r="E2212" s="512" t="s">
        <v>7797</v>
      </c>
      <c r="F2212" s="512" t="s">
        <v>9468</v>
      </c>
      <c r="G2212" s="512" t="s">
        <v>9473</v>
      </c>
      <c r="L2212" s="505" t="s">
        <v>1233</v>
      </c>
      <c r="M2212" s="516">
        <v>74.59</v>
      </c>
      <c r="N2212" s="505" t="s">
        <v>1233</v>
      </c>
    </row>
    <row r="2213" spans="1:14" x14ac:dyDescent="0.25">
      <c r="A2213" s="505" t="s">
        <v>5693</v>
      </c>
      <c r="B2213" s="505" t="s">
        <v>5694</v>
      </c>
      <c r="C2213" s="512" t="s">
        <v>8371</v>
      </c>
      <c r="D2213" s="512" t="s">
        <v>8524</v>
      </c>
      <c r="E2213" s="512" t="s">
        <v>7797</v>
      </c>
      <c r="F2213" s="512" t="s">
        <v>9468</v>
      </c>
      <c r="G2213" s="512" t="s">
        <v>9474</v>
      </c>
      <c r="L2213" s="505" t="s">
        <v>1233</v>
      </c>
      <c r="M2213" s="516">
        <v>89.51</v>
      </c>
      <c r="N2213" s="505" t="s">
        <v>1233</v>
      </c>
    </row>
    <row r="2214" spans="1:14" x14ac:dyDescent="0.25">
      <c r="A2214" s="505" t="s">
        <v>5695</v>
      </c>
      <c r="B2214" s="505" t="s">
        <v>5696</v>
      </c>
      <c r="C2214" s="512" t="s">
        <v>8534</v>
      </c>
      <c r="D2214" s="512" t="s">
        <v>7822</v>
      </c>
      <c r="E2214" s="512" t="s">
        <v>9475</v>
      </c>
      <c r="F2214" s="512" t="s">
        <v>8833</v>
      </c>
      <c r="G2214" s="512" t="s">
        <v>8556</v>
      </c>
      <c r="H2214" s="512" t="s">
        <v>148</v>
      </c>
      <c r="I2214" s="512" t="s">
        <v>7497</v>
      </c>
      <c r="L2214" s="505" t="s">
        <v>1233</v>
      </c>
      <c r="M2214" s="516">
        <v>17.28</v>
      </c>
      <c r="N2214" s="505" t="s">
        <v>1233</v>
      </c>
    </row>
    <row r="2215" spans="1:14" x14ac:dyDescent="0.25">
      <c r="A2215" s="505" t="s">
        <v>5697</v>
      </c>
      <c r="B2215" s="505" t="s">
        <v>5698</v>
      </c>
      <c r="C2215" s="512" t="s">
        <v>8534</v>
      </c>
      <c r="D2215" s="512" t="s">
        <v>8698</v>
      </c>
      <c r="E2215" s="512" t="s">
        <v>9476</v>
      </c>
      <c r="F2215" s="512" t="s">
        <v>8256</v>
      </c>
      <c r="G2215" s="512" t="s">
        <v>8483</v>
      </c>
      <c r="H2215" s="512" t="s">
        <v>8537</v>
      </c>
      <c r="I2215" s="512" t="s">
        <v>8557</v>
      </c>
      <c r="L2215" s="505" t="s">
        <v>1233</v>
      </c>
      <c r="M2215" s="516">
        <v>18.78</v>
      </c>
      <c r="N2215" s="505" t="s">
        <v>1233</v>
      </c>
    </row>
    <row r="2216" spans="1:14" x14ac:dyDescent="0.25">
      <c r="A2216" s="505" t="s">
        <v>5699</v>
      </c>
      <c r="B2216" s="505" t="s">
        <v>5700</v>
      </c>
      <c r="C2216" s="512" t="s">
        <v>8534</v>
      </c>
      <c r="D2216" s="512" t="s">
        <v>7533</v>
      </c>
      <c r="E2216" s="512" t="s">
        <v>8833</v>
      </c>
      <c r="F2216" s="512" t="s">
        <v>9477</v>
      </c>
      <c r="L2216" s="505" t="s">
        <v>1233</v>
      </c>
      <c r="M2216" s="516">
        <v>9.9600000000000009</v>
      </c>
      <c r="N2216" s="505" t="s">
        <v>1233</v>
      </c>
    </row>
    <row r="2217" spans="1:14" x14ac:dyDescent="0.25">
      <c r="A2217" s="505" t="s">
        <v>5701</v>
      </c>
      <c r="B2217" s="505" t="s">
        <v>5702</v>
      </c>
      <c r="C2217" s="512" t="s">
        <v>8534</v>
      </c>
      <c r="D2217" s="512" t="s">
        <v>7533</v>
      </c>
      <c r="E2217" s="512" t="s">
        <v>8833</v>
      </c>
      <c r="F2217" s="512" t="s">
        <v>8547</v>
      </c>
      <c r="G2217" s="512" t="s">
        <v>7931</v>
      </c>
      <c r="H2217" s="512" t="s">
        <v>9477</v>
      </c>
      <c r="L2217" s="505" t="s">
        <v>1233</v>
      </c>
      <c r="M2217" s="516">
        <v>9.9600000000000009</v>
      </c>
      <c r="N2217" s="505" t="s">
        <v>1233</v>
      </c>
    </row>
    <row r="2218" spans="1:14" x14ac:dyDescent="0.25">
      <c r="A2218" s="505" t="s">
        <v>5703</v>
      </c>
      <c r="B2218" s="505" t="s">
        <v>5704</v>
      </c>
      <c r="C2218" s="512" t="s">
        <v>8534</v>
      </c>
      <c r="D2218" s="512" t="s">
        <v>7533</v>
      </c>
      <c r="E2218" s="512" t="s">
        <v>8833</v>
      </c>
      <c r="F2218" s="512" t="s">
        <v>8547</v>
      </c>
      <c r="G2218" s="512" t="s">
        <v>8557</v>
      </c>
      <c r="H2218" s="512" t="s">
        <v>9477</v>
      </c>
      <c r="L2218" s="505" t="s">
        <v>1233</v>
      </c>
      <c r="M2218" s="516">
        <v>9.9600000000000009</v>
      </c>
      <c r="N2218" s="505" t="s">
        <v>1233</v>
      </c>
    </row>
    <row r="2219" spans="1:14" x14ac:dyDescent="0.25">
      <c r="A2219" s="505" t="s">
        <v>5705</v>
      </c>
      <c r="B2219" s="505" t="s">
        <v>5706</v>
      </c>
      <c r="C2219" s="512" t="s">
        <v>8534</v>
      </c>
      <c r="D2219" s="512" t="s">
        <v>7533</v>
      </c>
      <c r="E2219" s="512" t="s">
        <v>8833</v>
      </c>
      <c r="F2219" s="512" t="s">
        <v>8556</v>
      </c>
      <c r="G2219" s="512" t="s">
        <v>8561</v>
      </c>
      <c r="H2219" s="512" t="s">
        <v>9477</v>
      </c>
      <c r="L2219" s="505" t="s">
        <v>1233</v>
      </c>
      <c r="M2219" s="516">
        <v>9.9600000000000009</v>
      </c>
      <c r="N2219" s="505" t="s">
        <v>1233</v>
      </c>
    </row>
    <row r="2220" spans="1:14" x14ac:dyDescent="0.25">
      <c r="A2220" s="505" t="s">
        <v>5707</v>
      </c>
      <c r="B2220" s="505" t="s">
        <v>5708</v>
      </c>
      <c r="C2220" s="512" t="s">
        <v>8534</v>
      </c>
      <c r="D2220" s="512" t="s">
        <v>8017</v>
      </c>
      <c r="E2220" s="512" t="s">
        <v>7782</v>
      </c>
      <c r="F2220" s="512" t="s">
        <v>472</v>
      </c>
      <c r="G2220" s="512" t="s">
        <v>9478</v>
      </c>
      <c r="L2220" s="505" t="s">
        <v>1233</v>
      </c>
      <c r="M2220" s="516">
        <v>16.21</v>
      </c>
      <c r="N2220" s="505" t="s">
        <v>1233</v>
      </c>
    </row>
    <row r="2221" spans="1:14" x14ac:dyDescent="0.25">
      <c r="A2221" s="505" t="s">
        <v>5709</v>
      </c>
      <c r="B2221" s="505" t="s">
        <v>5710</v>
      </c>
      <c r="C2221" s="512" t="s">
        <v>8534</v>
      </c>
      <c r="D2221" s="512" t="s">
        <v>8017</v>
      </c>
      <c r="E2221" s="512" t="s">
        <v>7782</v>
      </c>
      <c r="F2221" s="512" t="s">
        <v>8537</v>
      </c>
      <c r="G2221" s="512" t="s">
        <v>530</v>
      </c>
      <c r="H2221" s="512" t="s">
        <v>9478</v>
      </c>
      <c r="L2221" s="505" t="s">
        <v>1233</v>
      </c>
      <c r="M2221" s="516">
        <v>16.21</v>
      </c>
      <c r="N2221" s="505" t="s">
        <v>1233</v>
      </c>
    </row>
    <row r="2222" spans="1:14" x14ac:dyDescent="0.25">
      <c r="A2222" s="505" t="s">
        <v>5711</v>
      </c>
      <c r="B2222" s="505" t="s">
        <v>5712</v>
      </c>
      <c r="C2222" s="512" t="s">
        <v>8534</v>
      </c>
      <c r="D2222" s="512" t="s">
        <v>8017</v>
      </c>
      <c r="E2222" s="512" t="s">
        <v>7782</v>
      </c>
      <c r="F2222" s="512" t="s">
        <v>8537</v>
      </c>
      <c r="G2222" s="512" t="s">
        <v>593</v>
      </c>
      <c r="H2222" s="512" t="s">
        <v>9478</v>
      </c>
      <c r="L2222" s="505" t="s">
        <v>1233</v>
      </c>
      <c r="M2222" s="516">
        <v>16.21</v>
      </c>
      <c r="N2222" s="505" t="s">
        <v>1233</v>
      </c>
    </row>
    <row r="2223" spans="1:14" x14ac:dyDescent="0.25">
      <c r="A2223" s="505" t="s">
        <v>5713</v>
      </c>
      <c r="B2223" s="505" t="s">
        <v>5714</v>
      </c>
      <c r="C2223" s="512" t="s">
        <v>8534</v>
      </c>
      <c r="D2223" s="512" t="s">
        <v>8837</v>
      </c>
      <c r="E2223" s="512" t="s">
        <v>9479</v>
      </c>
      <c r="F2223" s="512" t="s">
        <v>8651</v>
      </c>
      <c r="G2223" s="512" t="s">
        <v>9366</v>
      </c>
      <c r="L2223" s="505" t="s">
        <v>1233</v>
      </c>
      <c r="M2223" s="516">
        <v>16.21</v>
      </c>
      <c r="N2223" s="505" t="s">
        <v>1233</v>
      </c>
    </row>
    <row r="2224" spans="1:14" x14ac:dyDescent="0.25">
      <c r="A2224" s="505" t="s">
        <v>5715</v>
      </c>
      <c r="B2224" s="505" t="s">
        <v>5716</v>
      </c>
      <c r="C2224" s="512" t="s">
        <v>8534</v>
      </c>
      <c r="D2224" s="512" t="s">
        <v>8837</v>
      </c>
      <c r="E2224" s="512" t="s">
        <v>148</v>
      </c>
      <c r="F2224" s="512" t="s">
        <v>7497</v>
      </c>
      <c r="G2224" s="512" t="s">
        <v>9366</v>
      </c>
      <c r="L2224" s="505" t="s">
        <v>1233</v>
      </c>
      <c r="M2224" s="516">
        <v>16.21</v>
      </c>
      <c r="N2224" s="505" t="s">
        <v>1233</v>
      </c>
    </row>
    <row r="2225" spans="1:14" x14ac:dyDescent="0.25">
      <c r="A2225" s="505" t="s">
        <v>5717</v>
      </c>
      <c r="B2225" s="505" t="s">
        <v>5718</v>
      </c>
      <c r="C2225" s="512" t="s">
        <v>8534</v>
      </c>
      <c r="D2225" s="512" t="s">
        <v>8837</v>
      </c>
      <c r="E2225" s="512" t="s">
        <v>8549</v>
      </c>
      <c r="F2225" s="512" t="s">
        <v>8546</v>
      </c>
      <c r="G2225" s="512" t="s">
        <v>9366</v>
      </c>
      <c r="L2225" s="505" t="s">
        <v>1233</v>
      </c>
      <c r="M2225" s="516">
        <v>16.21</v>
      </c>
      <c r="N2225" s="505" t="s">
        <v>1233</v>
      </c>
    </row>
    <row r="2226" spans="1:14" x14ac:dyDescent="0.25">
      <c r="A2226" s="505" t="s">
        <v>5719</v>
      </c>
      <c r="B2226" s="505" t="s">
        <v>5720</v>
      </c>
      <c r="C2226" s="512" t="s">
        <v>8534</v>
      </c>
      <c r="D2226" s="512" t="s">
        <v>8837</v>
      </c>
      <c r="E2226" s="512" t="s">
        <v>8336</v>
      </c>
      <c r="F2226" s="512" t="s">
        <v>9366</v>
      </c>
      <c r="L2226" s="505" t="s">
        <v>1233</v>
      </c>
      <c r="M2226" s="516">
        <v>16.21</v>
      </c>
      <c r="N2226" s="505" t="s">
        <v>1233</v>
      </c>
    </row>
    <row r="2227" spans="1:14" x14ac:dyDescent="0.25">
      <c r="A2227" s="505" t="s">
        <v>5721</v>
      </c>
      <c r="B2227" s="505" t="s">
        <v>5722</v>
      </c>
      <c r="C2227" s="512" t="s">
        <v>8534</v>
      </c>
      <c r="D2227" s="512" t="s">
        <v>8837</v>
      </c>
      <c r="E2227" s="512" t="s">
        <v>472</v>
      </c>
      <c r="F2227" s="512" t="s">
        <v>9366</v>
      </c>
      <c r="L2227" s="505" t="s">
        <v>1233</v>
      </c>
      <c r="M2227" s="516">
        <v>16.21</v>
      </c>
      <c r="N2227" s="505" t="s">
        <v>1233</v>
      </c>
    </row>
    <row r="2228" spans="1:14" x14ac:dyDescent="0.25">
      <c r="A2228" s="505" t="s">
        <v>5723</v>
      </c>
      <c r="B2228" s="505" t="s">
        <v>5724</v>
      </c>
      <c r="C2228" s="512" t="s">
        <v>8534</v>
      </c>
      <c r="D2228" s="512" t="s">
        <v>8837</v>
      </c>
      <c r="E2228" s="512" t="s">
        <v>582</v>
      </c>
      <c r="F2228" s="512" t="s">
        <v>9366</v>
      </c>
      <c r="L2228" s="505" t="s">
        <v>1233</v>
      </c>
      <c r="M2228" s="516">
        <v>16.21</v>
      </c>
      <c r="N2228" s="505" t="s">
        <v>1233</v>
      </c>
    </row>
    <row r="2229" spans="1:14" x14ac:dyDescent="0.25">
      <c r="A2229" s="505" t="s">
        <v>5725</v>
      </c>
      <c r="B2229" s="505" t="s">
        <v>5726</v>
      </c>
      <c r="C2229" s="512" t="s">
        <v>8534</v>
      </c>
      <c r="D2229" s="512" t="s">
        <v>8837</v>
      </c>
      <c r="E2229" s="512" t="s">
        <v>8551</v>
      </c>
      <c r="F2229" s="512" t="s">
        <v>9366</v>
      </c>
      <c r="L2229" s="505" t="s">
        <v>1233</v>
      </c>
      <c r="M2229" s="516">
        <v>16.21</v>
      </c>
      <c r="N2229" s="505" t="s">
        <v>1233</v>
      </c>
    </row>
    <row r="2230" spans="1:14" x14ac:dyDescent="0.25">
      <c r="A2230" s="505" t="s">
        <v>5727</v>
      </c>
      <c r="B2230" s="505" t="s">
        <v>5728</v>
      </c>
      <c r="C2230" s="512" t="s">
        <v>8534</v>
      </c>
      <c r="D2230" s="512" t="s">
        <v>8837</v>
      </c>
      <c r="E2230" s="512" t="s">
        <v>8547</v>
      </c>
      <c r="F2230" s="512" t="s">
        <v>7931</v>
      </c>
      <c r="G2230" s="512" t="s">
        <v>9366</v>
      </c>
      <c r="L2230" s="505" t="s">
        <v>1233</v>
      </c>
      <c r="M2230" s="516">
        <v>16.21</v>
      </c>
      <c r="N2230" s="505" t="s">
        <v>1233</v>
      </c>
    </row>
    <row r="2231" spans="1:14" x14ac:dyDescent="0.25">
      <c r="A2231" s="505" t="s">
        <v>5729</v>
      </c>
      <c r="B2231" s="505" t="s">
        <v>5730</v>
      </c>
      <c r="C2231" s="512" t="s">
        <v>8534</v>
      </c>
      <c r="D2231" s="512" t="s">
        <v>8837</v>
      </c>
      <c r="E2231" s="512" t="s">
        <v>8547</v>
      </c>
      <c r="F2231" s="512" t="s">
        <v>8557</v>
      </c>
      <c r="G2231" s="512" t="s">
        <v>9366</v>
      </c>
      <c r="L2231" s="505" t="s">
        <v>1233</v>
      </c>
      <c r="M2231" s="516">
        <v>16.21</v>
      </c>
      <c r="N2231" s="505" t="s">
        <v>1233</v>
      </c>
    </row>
    <row r="2232" spans="1:14" x14ac:dyDescent="0.25">
      <c r="A2232" s="505" t="s">
        <v>5731</v>
      </c>
      <c r="B2232" s="505" t="s">
        <v>5732</v>
      </c>
      <c r="C2232" s="512" t="s">
        <v>8534</v>
      </c>
      <c r="D2232" s="512" t="s">
        <v>8837</v>
      </c>
      <c r="E2232" s="512" t="s">
        <v>8553</v>
      </c>
      <c r="F2232" s="512" t="s">
        <v>9366</v>
      </c>
      <c r="L2232" s="505" t="s">
        <v>1233</v>
      </c>
      <c r="M2232" s="516">
        <v>16.21</v>
      </c>
      <c r="N2232" s="505" t="s">
        <v>1233</v>
      </c>
    </row>
    <row r="2233" spans="1:14" x14ac:dyDescent="0.25">
      <c r="A2233" s="505" t="s">
        <v>5733</v>
      </c>
      <c r="B2233" s="505" t="s">
        <v>5734</v>
      </c>
      <c r="C2233" s="512" t="s">
        <v>8534</v>
      </c>
      <c r="D2233" s="512" t="s">
        <v>8837</v>
      </c>
      <c r="E2233" s="512" t="s">
        <v>8547</v>
      </c>
      <c r="F2233" s="512" t="s">
        <v>530</v>
      </c>
      <c r="G2233" s="512" t="s">
        <v>9366</v>
      </c>
      <c r="L2233" s="505" t="s">
        <v>1233</v>
      </c>
      <c r="M2233" s="516">
        <v>16.21</v>
      </c>
      <c r="N2233" s="505" t="s">
        <v>1233</v>
      </c>
    </row>
    <row r="2234" spans="1:14" x14ac:dyDescent="0.25">
      <c r="A2234" s="505" t="s">
        <v>5735</v>
      </c>
      <c r="B2234" s="505" t="s">
        <v>5736</v>
      </c>
      <c r="C2234" s="512" t="s">
        <v>8534</v>
      </c>
      <c r="D2234" s="512" t="s">
        <v>8837</v>
      </c>
      <c r="E2234" s="512" t="s">
        <v>8547</v>
      </c>
      <c r="F2234" s="512" t="s">
        <v>593</v>
      </c>
      <c r="G2234" s="512" t="s">
        <v>9366</v>
      </c>
      <c r="L2234" s="505" t="s">
        <v>1233</v>
      </c>
      <c r="M2234" s="516">
        <v>16.21</v>
      </c>
      <c r="N2234" s="505" t="s">
        <v>1233</v>
      </c>
    </row>
    <row r="2235" spans="1:14" x14ac:dyDescent="0.25">
      <c r="A2235" s="505" t="s">
        <v>5737</v>
      </c>
      <c r="B2235" s="505" t="s">
        <v>5738</v>
      </c>
      <c r="C2235" s="512" t="s">
        <v>8534</v>
      </c>
      <c r="D2235" s="512" t="s">
        <v>8837</v>
      </c>
      <c r="E2235" s="512" t="s">
        <v>7583</v>
      </c>
      <c r="F2235" s="512" t="s">
        <v>8558</v>
      </c>
      <c r="G2235" s="512" t="s">
        <v>9366</v>
      </c>
      <c r="L2235" s="505" t="s">
        <v>1233</v>
      </c>
      <c r="M2235" s="516">
        <v>16.21</v>
      </c>
      <c r="N2235" s="505" t="s">
        <v>1233</v>
      </c>
    </row>
    <row r="2236" spans="1:14" x14ac:dyDescent="0.25">
      <c r="A2236" s="505" t="s">
        <v>5739</v>
      </c>
      <c r="B2236" s="505" t="s">
        <v>5740</v>
      </c>
      <c r="C2236" s="512" t="s">
        <v>8534</v>
      </c>
      <c r="D2236" s="512" t="s">
        <v>8837</v>
      </c>
      <c r="E2236" s="512" t="s">
        <v>7583</v>
      </c>
      <c r="F2236" s="512" t="s">
        <v>8559</v>
      </c>
      <c r="G2236" s="512" t="s">
        <v>9366</v>
      </c>
      <c r="L2236" s="505" t="s">
        <v>1233</v>
      </c>
      <c r="M2236" s="516">
        <v>16.21</v>
      </c>
      <c r="N2236" s="505" t="s">
        <v>1233</v>
      </c>
    </row>
    <row r="2237" spans="1:14" x14ac:dyDescent="0.25">
      <c r="A2237" s="505" t="s">
        <v>5741</v>
      </c>
      <c r="B2237" s="505" t="s">
        <v>5742</v>
      </c>
      <c r="C2237" s="512" t="s">
        <v>8534</v>
      </c>
      <c r="D2237" s="512" t="s">
        <v>8837</v>
      </c>
      <c r="E2237" s="512" t="s">
        <v>8560</v>
      </c>
      <c r="F2237" s="512" t="s">
        <v>9366</v>
      </c>
      <c r="L2237" s="505" t="s">
        <v>1233</v>
      </c>
      <c r="M2237" s="516">
        <v>16.21</v>
      </c>
      <c r="N2237" s="505" t="s">
        <v>1233</v>
      </c>
    </row>
    <row r="2238" spans="1:14" x14ac:dyDescent="0.25">
      <c r="A2238" s="505" t="s">
        <v>5743</v>
      </c>
      <c r="B2238" s="505" t="s">
        <v>5744</v>
      </c>
      <c r="C2238" s="512" t="s">
        <v>8534</v>
      </c>
      <c r="D2238" s="512" t="s">
        <v>8837</v>
      </c>
      <c r="E2238" s="512" t="s">
        <v>8556</v>
      </c>
      <c r="F2238" s="512" t="s">
        <v>8561</v>
      </c>
      <c r="G2238" s="512" t="s">
        <v>9366</v>
      </c>
      <c r="L2238" s="505" t="s">
        <v>1233</v>
      </c>
      <c r="M2238" s="516">
        <v>16.21</v>
      </c>
      <c r="N2238" s="505" t="s">
        <v>1233</v>
      </c>
    </row>
    <row r="2239" spans="1:14" x14ac:dyDescent="0.25">
      <c r="A2239" s="505" t="s">
        <v>5745</v>
      </c>
      <c r="B2239" s="505" t="s">
        <v>5746</v>
      </c>
      <c r="C2239" s="512" t="s">
        <v>8534</v>
      </c>
      <c r="D2239" s="512" t="s">
        <v>8837</v>
      </c>
      <c r="E2239" s="512" t="s">
        <v>522</v>
      </c>
      <c r="F2239" s="512" t="s">
        <v>9366</v>
      </c>
      <c r="L2239" s="505" t="s">
        <v>1233</v>
      </c>
      <c r="M2239" s="516">
        <v>16.21</v>
      </c>
      <c r="N2239" s="505" t="s">
        <v>1233</v>
      </c>
    </row>
    <row r="2240" spans="1:14" x14ac:dyDescent="0.25">
      <c r="A2240" s="505" t="s">
        <v>5747</v>
      </c>
      <c r="B2240" s="505" t="s">
        <v>5748</v>
      </c>
      <c r="C2240" s="512" t="s">
        <v>8534</v>
      </c>
      <c r="D2240" s="512" t="s">
        <v>8837</v>
      </c>
      <c r="E2240" s="512" t="s">
        <v>511</v>
      </c>
      <c r="F2240" s="512" t="s">
        <v>7471</v>
      </c>
      <c r="G2240" s="512" t="s">
        <v>9366</v>
      </c>
      <c r="L2240" s="505" t="s">
        <v>1233</v>
      </c>
      <c r="M2240" s="516">
        <v>16.21</v>
      </c>
      <c r="N2240" s="505" t="s">
        <v>1233</v>
      </c>
    </row>
    <row r="2241" spans="1:14" x14ac:dyDescent="0.25">
      <c r="A2241" s="505" t="s">
        <v>5749</v>
      </c>
      <c r="B2241" s="505" t="s">
        <v>5750</v>
      </c>
      <c r="C2241" s="512" t="s">
        <v>8534</v>
      </c>
      <c r="D2241" s="512" t="s">
        <v>9480</v>
      </c>
      <c r="E2241" s="512" t="s">
        <v>9481</v>
      </c>
      <c r="F2241" s="512" t="s">
        <v>9482</v>
      </c>
      <c r="G2241" s="512" t="s">
        <v>582</v>
      </c>
      <c r="H2241" s="512" t="s">
        <v>9367</v>
      </c>
      <c r="L2241" s="505" t="s">
        <v>1233</v>
      </c>
      <c r="M2241" s="516">
        <v>8.3000000000000007</v>
      </c>
      <c r="N2241" s="505" t="s">
        <v>1233</v>
      </c>
    </row>
    <row r="2242" spans="1:14" x14ac:dyDescent="0.25">
      <c r="A2242" s="505" t="s">
        <v>5751</v>
      </c>
      <c r="B2242" s="505" t="s">
        <v>5752</v>
      </c>
      <c r="C2242" s="512" t="s">
        <v>8534</v>
      </c>
      <c r="D2242" s="512" t="s">
        <v>8792</v>
      </c>
      <c r="E2242" s="512" t="s">
        <v>8793</v>
      </c>
      <c r="F2242" s="512" t="s">
        <v>8549</v>
      </c>
      <c r="G2242" s="512" t="s">
        <v>8546</v>
      </c>
      <c r="H2242" s="512" t="s">
        <v>9238</v>
      </c>
      <c r="L2242" s="505" t="s">
        <v>1233</v>
      </c>
      <c r="M2242" s="516">
        <v>39.76</v>
      </c>
      <c r="N2242" s="505" t="s">
        <v>1233</v>
      </c>
    </row>
    <row r="2243" spans="1:14" x14ac:dyDescent="0.25">
      <c r="A2243" s="505" t="s">
        <v>5753</v>
      </c>
      <c r="B2243" s="505" t="s">
        <v>5754</v>
      </c>
      <c r="C2243" s="512" t="s">
        <v>8534</v>
      </c>
      <c r="D2243" s="512" t="s">
        <v>8792</v>
      </c>
      <c r="E2243" s="512" t="s">
        <v>8793</v>
      </c>
      <c r="F2243" s="512" t="s">
        <v>8336</v>
      </c>
      <c r="G2243" s="512" t="s">
        <v>9238</v>
      </c>
      <c r="L2243" s="505" t="s">
        <v>1233</v>
      </c>
      <c r="M2243" s="516">
        <v>39.76</v>
      </c>
      <c r="N2243" s="505" t="s">
        <v>1233</v>
      </c>
    </row>
    <row r="2244" spans="1:14" x14ac:dyDescent="0.25">
      <c r="A2244" s="505" t="s">
        <v>5755</v>
      </c>
      <c r="B2244" s="505" t="s">
        <v>5756</v>
      </c>
      <c r="C2244" s="512" t="s">
        <v>8534</v>
      </c>
      <c r="D2244" s="512" t="s">
        <v>8792</v>
      </c>
      <c r="E2244" s="512" t="s">
        <v>8793</v>
      </c>
      <c r="F2244" s="512" t="s">
        <v>472</v>
      </c>
      <c r="G2244" s="512" t="s">
        <v>9238</v>
      </c>
      <c r="L2244" s="505" t="s">
        <v>1233</v>
      </c>
      <c r="M2244" s="516">
        <v>39.76</v>
      </c>
      <c r="N2244" s="505" t="s">
        <v>1233</v>
      </c>
    </row>
    <row r="2245" spans="1:14" x14ac:dyDescent="0.25">
      <c r="A2245" s="505" t="s">
        <v>5757</v>
      </c>
      <c r="B2245" s="505" t="s">
        <v>5758</v>
      </c>
      <c r="C2245" s="512" t="s">
        <v>8534</v>
      </c>
      <c r="D2245" s="512" t="s">
        <v>8792</v>
      </c>
      <c r="E2245" s="512" t="s">
        <v>8793</v>
      </c>
      <c r="F2245" s="512" t="s">
        <v>582</v>
      </c>
      <c r="G2245" s="512" t="s">
        <v>9238</v>
      </c>
      <c r="L2245" s="505" t="s">
        <v>1233</v>
      </c>
      <c r="M2245" s="516">
        <v>39.76</v>
      </c>
      <c r="N2245" s="505" t="s">
        <v>1233</v>
      </c>
    </row>
    <row r="2246" spans="1:14" x14ac:dyDescent="0.25">
      <c r="A2246" s="505" t="s">
        <v>5759</v>
      </c>
      <c r="B2246" s="505" t="s">
        <v>5760</v>
      </c>
      <c r="C2246" s="512" t="s">
        <v>8534</v>
      </c>
      <c r="D2246" s="512" t="s">
        <v>8792</v>
      </c>
      <c r="E2246" s="512" t="s">
        <v>8793</v>
      </c>
      <c r="F2246" s="512" t="s">
        <v>8551</v>
      </c>
      <c r="G2246" s="512" t="s">
        <v>9238</v>
      </c>
      <c r="L2246" s="505" t="s">
        <v>1233</v>
      </c>
      <c r="M2246" s="516">
        <v>39.76</v>
      </c>
      <c r="N2246" s="505" t="s">
        <v>1233</v>
      </c>
    </row>
    <row r="2247" spans="1:14" x14ac:dyDescent="0.25">
      <c r="A2247" s="505" t="s">
        <v>5761</v>
      </c>
      <c r="B2247" s="505" t="s">
        <v>5762</v>
      </c>
      <c r="C2247" s="512" t="s">
        <v>8534</v>
      </c>
      <c r="D2247" s="512" t="s">
        <v>8792</v>
      </c>
      <c r="E2247" s="512" t="s">
        <v>8793</v>
      </c>
      <c r="F2247" s="512" t="s">
        <v>8553</v>
      </c>
      <c r="G2247" s="512" t="s">
        <v>9238</v>
      </c>
      <c r="L2247" s="505" t="s">
        <v>1233</v>
      </c>
      <c r="M2247" s="516">
        <v>39.76</v>
      </c>
      <c r="N2247" s="505" t="s">
        <v>1233</v>
      </c>
    </row>
    <row r="2248" spans="1:14" x14ac:dyDescent="0.25">
      <c r="A2248" s="505" t="s">
        <v>5763</v>
      </c>
      <c r="B2248" s="505" t="s">
        <v>5764</v>
      </c>
      <c r="C2248" s="512" t="s">
        <v>8534</v>
      </c>
      <c r="D2248" s="512" t="s">
        <v>8792</v>
      </c>
      <c r="E2248" s="512" t="s">
        <v>8793</v>
      </c>
      <c r="F2248" s="512" t="s">
        <v>8537</v>
      </c>
      <c r="G2248" s="512" t="s">
        <v>9483</v>
      </c>
      <c r="H2248" s="512" t="s">
        <v>9238</v>
      </c>
      <c r="L2248" s="505" t="s">
        <v>1233</v>
      </c>
      <c r="M2248" s="516">
        <v>39.76</v>
      </c>
      <c r="N2248" s="505" t="s">
        <v>1233</v>
      </c>
    </row>
    <row r="2249" spans="1:14" x14ac:dyDescent="0.25">
      <c r="A2249" s="505" t="s">
        <v>5765</v>
      </c>
      <c r="B2249" s="505" t="s">
        <v>5766</v>
      </c>
      <c r="C2249" s="512" t="s">
        <v>8534</v>
      </c>
      <c r="D2249" s="512" t="s">
        <v>8792</v>
      </c>
      <c r="E2249" s="512" t="s">
        <v>8793</v>
      </c>
      <c r="F2249" s="512" t="s">
        <v>8537</v>
      </c>
      <c r="G2249" s="512" t="s">
        <v>593</v>
      </c>
      <c r="H2249" s="512" t="s">
        <v>9238</v>
      </c>
      <c r="L2249" s="505" t="s">
        <v>1233</v>
      </c>
      <c r="M2249" s="516">
        <v>39.76</v>
      </c>
      <c r="N2249" s="505" t="s">
        <v>1233</v>
      </c>
    </row>
    <row r="2250" spans="1:14" x14ac:dyDescent="0.25">
      <c r="A2250" s="505" t="s">
        <v>5767</v>
      </c>
      <c r="B2250" s="505" t="s">
        <v>5768</v>
      </c>
      <c r="C2250" s="512" t="s">
        <v>8534</v>
      </c>
      <c r="D2250" s="512" t="s">
        <v>8792</v>
      </c>
      <c r="E2250" s="512" t="s">
        <v>8793</v>
      </c>
      <c r="F2250" s="512" t="s">
        <v>7583</v>
      </c>
      <c r="G2250" s="512" t="s">
        <v>8558</v>
      </c>
      <c r="H2250" s="512" t="s">
        <v>9238</v>
      </c>
      <c r="L2250" s="505" t="s">
        <v>1233</v>
      </c>
      <c r="M2250" s="516">
        <v>39.76</v>
      </c>
      <c r="N2250" s="505" t="s">
        <v>1233</v>
      </c>
    </row>
    <row r="2251" spans="1:14" x14ac:dyDescent="0.25">
      <c r="A2251" s="505" t="s">
        <v>5769</v>
      </c>
      <c r="B2251" s="505" t="s">
        <v>5770</v>
      </c>
      <c r="C2251" s="512" t="s">
        <v>8534</v>
      </c>
      <c r="D2251" s="512" t="s">
        <v>9484</v>
      </c>
      <c r="E2251" s="512" t="s">
        <v>8793</v>
      </c>
      <c r="F2251" s="512" t="s">
        <v>8551</v>
      </c>
      <c r="G2251" s="512" t="s">
        <v>9485</v>
      </c>
      <c r="L2251" s="505" t="s">
        <v>1233</v>
      </c>
      <c r="M2251" s="516">
        <v>39.76</v>
      </c>
      <c r="N2251" s="505" t="s">
        <v>1233</v>
      </c>
    </row>
    <row r="2252" spans="1:14" x14ac:dyDescent="0.25">
      <c r="A2252" s="505" t="s">
        <v>5771</v>
      </c>
      <c r="B2252" s="505" t="s">
        <v>5772</v>
      </c>
      <c r="C2252" s="512" t="s">
        <v>8534</v>
      </c>
      <c r="D2252" s="512" t="s">
        <v>9484</v>
      </c>
      <c r="E2252" s="512" t="s">
        <v>8793</v>
      </c>
      <c r="F2252" s="512" t="s">
        <v>8547</v>
      </c>
      <c r="G2252" s="512" t="s">
        <v>8557</v>
      </c>
      <c r="H2252" s="512" t="s">
        <v>9485</v>
      </c>
      <c r="L2252" s="505" t="s">
        <v>1233</v>
      </c>
      <c r="M2252" s="516">
        <v>39.76</v>
      </c>
      <c r="N2252" s="505" t="s">
        <v>1233</v>
      </c>
    </row>
    <row r="2253" spans="1:14" x14ac:dyDescent="0.25">
      <c r="A2253" s="505" t="s">
        <v>5773</v>
      </c>
      <c r="B2253" s="505" t="s">
        <v>5774</v>
      </c>
      <c r="C2253" s="512" t="s">
        <v>8534</v>
      </c>
      <c r="D2253" s="512" t="s">
        <v>9475</v>
      </c>
      <c r="E2253" s="512" t="s">
        <v>8574</v>
      </c>
      <c r="F2253" s="512" t="s">
        <v>8545</v>
      </c>
      <c r="G2253" s="512" t="s">
        <v>8546</v>
      </c>
      <c r="H2253" s="512" t="s">
        <v>9486</v>
      </c>
      <c r="L2253" s="505" t="s">
        <v>1233</v>
      </c>
      <c r="M2253" s="516">
        <v>17.71</v>
      </c>
      <c r="N2253" s="505" t="s">
        <v>1233</v>
      </c>
    </row>
    <row r="2254" spans="1:14" x14ac:dyDescent="0.25">
      <c r="A2254" s="505" t="s">
        <v>5775</v>
      </c>
      <c r="B2254" s="505" t="s">
        <v>5776</v>
      </c>
      <c r="C2254" s="512" t="s">
        <v>8534</v>
      </c>
      <c r="D2254" s="512" t="s">
        <v>9475</v>
      </c>
      <c r="E2254" s="512" t="s">
        <v>8574</v>
      </c>
      <c r="F2254" s="512" t="s">
        <v>8551</v>
      </c>
      <c r="G2254" s="512" t="s">
        <v>9486</v>
      </c>
      <c r="L2254" s="505" t="s">
        <v>1233</v>
      </c>
      <c r="M2254" s="516">
        <v>17.71</v>
      </c>
      <c r="N2254" s="505" t="s">
        <v>1233</v>
      </c>
    </row>
    <row r="2255" spans="1:14" x14ac:dyDescent="0.25">
      <c r="A2255" s="505" t="s">
        <v>5777</v>
      </c>
      <c r="B2255" s="505" t="s">
        <v>5778</v>
      </c>
      <c r="C2255" s="512" t="s">
        <v>8534</v>
      </c>
      <c r="D2255" s="512" t="s">
        <v>9475</v>
      </c>
      <c r="E2255" s="512" t="s">
        <v>8574</v>
      </c>
      <c r="F2255" s="512" t="s">
        <v>8553</v>
      </c>
      <c r="G2255" s="512" t="s">
        <v>9486</v>
      </c>
      <c r="L2255" s="505" t="s">
        <v>1233</v>
      </c>
      <c r="M2255" s="516">
        <v>17.71</v>
      </c>
      <c r="N2255" s="505" t="s">
        <v>1233</v>
      </c>
    </row>
    <row r="2256" spans="1:14" x14ac:dyDescent="0.25">
      <c r="A2256" s="505" t="s">
        <v>5779</v>
      </c>
      <c r="B2256" s="505" t="s">
        <v>5780</v>
      </c>
      <c r="C2256" s="512" t="s">
        <v>8534</v>
      </c>
      <c r="D2256" s="512" t="s">
        <v>9475</v>
      </c>
      <c r="E2256" s="512" t="s">
        <v>8574</v>
      </c>
      <c r="F2256" s="512" t="s">
        <v>8556</v>
      </c>
      <c r="G2256" s="512" t="s">
        <v>8561</v>
      </c>
      <c r="H2256" s="512" t="s">
        <v>9486</v>
      </c>
      <c r="L2256" s="505" t="s">
        <v>1233</v>
      </c>
      <c r="M2256" s="516">
        <v>17.71</v>
      </c>
      <c r="N2256" s="505" t="s">
        <v>1233</v>
      </c>
    </row>
    <row r="2257" spans="1:14" x14ac:dyDescent="0.25">
      <c r="A2257" s="505" t="s">
        <v>5781</v>
      </c>
      <c r="B2257" s="505" t="s">
        <v>5782</v>
      </c>
      <c r="C2257" s="512" t="s">
        <v>8534</v>
      </c>
      <c r="D2257" s="512" t="s">
        <v>7763</v>
      </c>
      <c r="E2257" s="512" t="s">
        <v>7918</v>
      </c>
      <c r="F2257" s="512" t="s">
        <v>9479</v>
      </c>
      <c r="G2257" s="512" t="s">
        <v>8651</v>
      </c>
      <c r="H2257" s="512" t="s">
        <v>9487</v>
      </c>
      <c r="L2257" s="505" t="s">
        <v>1233</v>
      </c>
      <c r="M2257" s="516">
        <v>18.170000000000002</v>
      </c>
      <c r="N2257" s="505" t="s">
        <v>1233</v>
      </c>
    </row>
    <row r="2258" spans="1:14" x14ac:dyDescent="0.25">
      <c r="A2258" s="505" t="s">
        <v>5783</v>
      </c>
      <c r="B2258" s="505" t="s">
        <v>5784</v>
      </c>
      <c r="C2258" s="512" t="s">
        <v>8534</v>
      </c>
      <c r="D2258" s="512" t="s">
        <v>7763</v>
      </c>
      <c r="E2258" s="512" t="s">
        <v>7918</v>
      </c>
      <c r="F2258" s="512" t="s">
        <v>8545</v>
      </c>
      <c r="G2258" s="512" t="s">
        <v>8546</v>
      </c>
      <c r="H2258" s="512" t="s">
        <v>9487</v>
      </c>
      <c r="L2258" s="505" t="s">
        <v>1233</v>
      </c>
      <c r="M2258" s="516">
        <v>18.170000000000002</v>
      </c>
      <c r="N2258" s="505" t="s">
        <v>1233</v>
      </c>
    </row>
    <row r="2259" spans="1:14" x14ac:dyDescent="0.25">
      <c r="A2259" s="505" t="s">
        <v>5785</v>
      </c>
      <c r="B2259" s="505" t="s">
        <v>5786</v>
      </c>
      <c r="C2259" s="512" t="s">
        <v>8534</v>
      </c>
      <c r="D2259" s="512" t="s">
        <v>7763</v>
      </c>
      <c r="E2259" s="512" t="s">
        <v>7918</v>
      </c>
      <c r="F2259" s="512" t="s">
        <v>472</v>
      </c>
      <c r="G2259" s="512" t="s">
        <v>9487</v>
      </c>
      <c r="L2259" s="505" t="s">
        <v>1233</v>
      </c>
      <c r="M2259" s="516">
        <v>18.170000000000002</v>
      </c>
      <c r="N2259" s="505" t="s">
        <v>1233</v>
      </c>
    </row>
    <row r="2260" spans="1:14" x14ac:dyDescent="0.25">
      <c r="A2260" s="505" t="s">
        <v>5787</v>
      </c>
      <c r="B2260" s="505" t="s">
        <v>5788</v>
      </c>
      <c r="C2260" s="512" t="s">
        <v>8534</v>
      </c>
      <c r="D2260" s="512" t="s">
        <v>7763</v>
      </c>
      <c r="E2260" s="512" t="s">
        <v>7918</v>
      </c>
      <c r="F2260" s="512" t="s">
        <v>8537</v>
      </c>
      <c r="G2260" s="512" t="s">
        <v>530</v>
      </c>
      <c r="H2260" s="512" t="s">
        <v>9487</v>
      </c>
      <c r="L2260" s="505" t="s">
        <v>1233</v>
      </c>
      <c r="M2260" s="516">
        <v>18.170000000000002</v>
      </c>
      <c r="N2260" s="505" t="s">
        <v>1233</v>
      </c>
    </row>
    <row r="2261" spans="1:14" x14ac:dyDescent="0.25">
      <c r="A2261" s="505" t="s">
        <v>5789</v>
      </c>
      <c r="B2261" s="505" t="s">
        <v>5790</v>
      </c>
      <c r="C2261" s="512" t="s">
        <v>8534</v>
      </c>
      <c r="D2261" s="512" t="s">
        <v>9488</v>
      </c>
      <c r="E2261" s="512" t="s">
        <v>8862</v>
      </c>
      <c r="F2261" s="512" t="s">
        <v>9489</v>
      </c>
      <c r="G2261" s="512" t="s">
        <v>9490</v>
      </c>
      <c r="H2261" s="512" t="s">
        <v>9491</v>
      </c>
      <c r="L2261" s="505" t="s">
        <v>1233</v>
      </c>
      <c r="M2261" s="516">
        <v>26.79</v>
      </c>
      <c r="N2261" s="505" t="s">
        <v>1233</v>
      </c>
    </row>
    <row r="2262" spans="1:14" x14ac:dyDescent="0.25">
      <c r="A2262" s="505" t="s">
        <v>5791</v>
      </c>
      <c r="B2262" s="505" t="s">
        <v>5792</v>
      </c>
      <c r="C2262" s="512" t="s">
        <v>8534</v>
      </c>
      <c r="D2262" s="512" t="s">
        <v>9488</v>
      </c>
      <c r="E2262" s="512" t="s">
        <v>8862</v>
      </c>
      <c r="F2262" s="512" t="s">
        <v>7577</v>
      </c>
      <c r="G2262" s="512" t="s">
        <v>8559</v>
      </c>
      <c r="H2262" s="512" t="s">
        <v>9491</v>
      </c>
      <c r="L2262" s="505" t="s">
        <v>1233</v>
      </c>
      <c r="M2262" s="516">
        <v>26.79</v>
      </c>
      <c r="N2262" s="505" t="s">
        <v>1233</v>
      </c>
    </row>
    <row r="2263" spans="1:14" x14ac:dyDescent="0.25">
      <c r="A2263" s="505" t="s">
        <v>5793</v>
      </c>
      <c r="B2263" s="505" t="s">
        <v>5794</v>
      </c>
      <c r="C2263" s="512" t="s">
        <v>8534</v>
      </c>
      <c r="D2263" s="512" t="s">
        <v>9480</v>
      </c>
      <c r="E2263" s="512" t="s">
        <v>9492</v>
      </c>
      <c r="F2263" s="512" t="s">
        <v>8574</v>
      </c>
      <c r="G2263" s="512" t="s">
        <v>9493</v>
      </c>
      <c r="H2263" s="512" t="s">
        <v>472</v>
      </c>
      <c r="I2263" s="512" t="s">
        <v>9494</v>
      </c>
      <c r="L2263" s="505" t="s">
        <v>1233</v>
      </c>
      <c r="M2263" s="516">
        <v>18.68</v>
      </c>
      <c r="N2263" s="505" t="s">
        <v>1233</v>
      </c>
    </row>
    <row r="2264" spans="1:14" x14ac:dyDescent="0.25">
      <c r="A2264" s="505" t="s">
        <v>5795</v>
      </c>
      <c r="B2264" s="505" t="s">
        <v>5796</v>
      </c>
      <c r="C2264" s="512" t="s">
        <v>8534</v>
      </c>
      <c r="D2264" s="512" t="s">
        <v>9480</v>
      </c>
      <c r="E2264" s="512" t="s">
        <v>9492</v>
      </c>
      <c r="F2264" s="512" t="s">
        <v>8574</v>
      </c>
      <c r="G2264" s="512" t="s">
        <v>9493</v>
      </c>
      <c r="H2264" s="512" t="s">
        <v>7537</v>
      </c>
      <c r="I2264" s="512" t="s">
        <v>9494</v>
      </c>
      <c r="L2264" s="505" t="s">
        <v>1233</v>
      </c>
      <c r="M2264" s="516">
        <v>18.68</v>
      </c>
      <c r="N2264" s="505" t="s">
        <v>1233</v>
      </c>
    </row>
    <row r="2265" spans="1:14" x14ac:dyDescent="0.25">
      <c r="A2265" s="505" t="s">
        <v>5797</v>
      </c>
      <c r="B2265" s="505" t="s">
        <v>5798</v>
      </c>
      <c r="C2265" s="512" t="s">
        <v>8534</v>
      </c>
      <c r="D2265" s="512" t="s">
        <v>8859</v>
      </c>
      <c r="E2265" s="512" t="s">
        <v>8862</v>
      </c>
      <c r="F2265" s="512" t="s">
        <v>9495</v>
      </c>
      <c r="G2265" s="512" t="s">
        <v>9496</v>
      </c>
      <c r="H2265" s="512" t="s">
        <v>9497</v>
      </c>
      <c r="I2265" s="512" t="s">
        <v>9498</v>
      </c>
      <c r="L2265" s="505" t="s">
        <v>1233</v>
      </c>
      <c r="M2265" s="516">
        <v>55</v>
      </c>
      <c r="N2265" s="505" t="s">
        <v>1233</v>
      </c>
    </row>
    <row r="2266" spans="1:14" x14ac:dyDescent="0.25">
      <c r="A2266" s="505" t="s">
        <v>5799</v>
      </c>
      <c r="B2266" s="505" t="s">
        <v>5800</v>
      </c>
      <c r="C2266" s="512" t="s">
        <v>8534</v>
      </c>
      <c r="D2266" s="512" t="s">
        <v>8859</v>
      </c>
      <c r="E2266" s="512" t="s">
        <v>8862</v>
      </c>
      <c r="F2266" s="512" t="s">
        <v>9495</v>
      </c>
      <c r="G2266" s="512" t="s">
        <v>148</v>
      </c>
      <c r="H2266" s="512" t="s">
        <v>7471</v>
      </c>
      <c r="I2266" s="512" t="s">
        <v>9498</v>
      </c>
      <c r="L2266" s="505" t="s">
        <v>1233</v>
      </c>
      <c r="M2266" s="516">
        <v>55</v>
      </c>
      <c r="N2266" s="505" t="s">
        <v>1233</v>
      </c>
    </row>
    <row r="2267" spans="1:14" x14ac:dyDescent="0.25">
      <c r="A2267" s="505" t="s">
        <v>5801</v>
      </c>
      <c r="B2267" s="505" t="s">
        <v>5802</v>
      </c>
      <c r="C2267" s="512" t="s">
        <v>8534</v>
      </c>
      <c r="D2267" s="512" t="s">
        <v>8859</v>
      </c>
      <c r="E2267" s="512" t="s">
        <v>8862</v>
      </c>
      <c r="F2267" s="512" t="s">
        <v>9495</v>
      </c>
      <c r="G2267" s="512" t="s">
        <v>8549</v>
      </c>
      <c r="H2267" s="512" t="s">
        <v>8546</v>
      </c>
      <c r="I2267" s="512" t="s">
        <v>9498</v>
      </c>
      <c r="L2267" s="505" t="s">
        <v>1233</v>
      </c>
      <c r="M2267" s="516">
        <v>55</v>
      </c>
      <c r="N2267" s="505" t="s">
        <v>1233</v>
      </c>
    </row>
    <row r="2268" spans="1:14" x14ac:dyDescent="0.25">
      <c r="A2268" s="505" t="s">
        <v>5803</v>
      </c>
      <c r="B2268" s="505" t="s">
        <v>5804</v>
      </c>
      <c r="C2268" s="512" t="s">
        <v>8534</v>
      </c>
      <c r="D2268" s="512" t="s">
        <v>8859</v>
      </c>
      <c r="E2268" s="512" t="s">
        <v>8862</v>
      </c>
      <c r="F2268" s="512" t="s">
        <v>9495</v>
      </c>
      <c r="G2268" s="512" t="s">
        <v>8336</v>
      </c>
      <c r="H2268" s="512" t="s">
        <v>9498</v>
      </c>
      <c r="L2268" s="505" t="s">
        <v>1233</v>
      </c>
      <c r="M2268" s="516">
        <v>55</v>
      </c>
      <c r="N2268" s="505" t="s">
        <v>1233</v>
      </c>
    </row>
    <row r="2269" spans="1:14" x14ac:dyDescent="0.25">
      <c r="A2269" s="505" t="s">
        <v>5805</v>
      </c>
      <c r="B2269" s="505" t="s">
        <v>5806</v>
      </c>
      <c r="C2269" s="512" t="s">
        <v>8534</v>
      </c>
      <c r="D2269" s="512" t="s">
        <v>8859</v>
      </c>
      <c r="E2269" s="512" t="s">
        <v>8862</v>
      </c>
      <c r="F2269" s="512" t="s">
        <v>9495</v>
      </c>
      <c r="G2269" s="512" t="s">
        <v>472</v>
      </c>
      <c r="H2269" s="512" t="s">
        <v>9498</v>
      </c>
      <c r="L2269" s="505" t="s">
        <v>1233</v>
      </c>
      <c r="M2269" s="516">
        <v>55</v>
      </c>
      <c r="N2269" s="505" t="s">
        <v>1233</v>
      </c>
    </row>
    <row r="2270" spans="1:14" x14ac:dyDescent="0.25">
      <c r="A2270" s="505" t="s">
        <v>5807</v>
      </c>
      <c r="B2270" s="505" t="s">
        <v>5808</v>
      </c>
      <c r="C2270" s="512" t="s">
        <v>8534</v>
      </c>
      <c r="D2270" s="512" t="s">
        <v>8859</v>
      </c>
      <c r="E2270" s="512" t="s">
        <v>8862</v>
      </c>
      <c r="F2270" s="512" t="s">
        <v>9495</v>
      </c>
      <c r="G2270" s="512" t="s">
        <v>8551</v>
      </c>
      <c r="H2270" s="512" t="s">
        <v>9498</v>
      </c>
      <c r="L2270" s="505" t="s">
        <v>1233</v>
      </c>
      <c r="M2270" s="516">
        <v>55</v>
      </c>
      <c r="N2270" s="505" t="s">
        <v>1233</v>
      </c>
    </row>
    <row r="2271" spans="1:14" x14ac:dyDescent="0.25">
      <c r="A2271" s="505" t="s">
        <v>5809</v>
      </c>
      <c r="B2271" s="505" t="s">
        <v>5810</v>
      </c>
      <c r="C2271" s="512" t="s">
        <v>8534</v>
      </c>
      <c r="D2271" s="512" t="s">
        <v>8859</v>
      </c>
      <c r="E2271" s="512" t="s">
        <v>8862</v>
      </c>
      <c r="F2271" s="512" t="s">
        <v>9495</v>
      </c>
      <c r="G2271" s="512" t="s">
        <v>8537</v>
      </c>
      <c r="H2271" s="512" t="s">
        <v>8764</v>
      </c>
      <c r="I2271" s="512" t="s">
        <v>9498</v>
      </c>
      <c r="L2271" s="505" t="s">
        <v>1233</v>
      </c>
      <c r="M2271" s="516">
        <v>55</v>
      </c>
      <c r="N2271" s="505" t="s">
        <v>1233</v>
      </c>
    </row>
    <row r="2272" spans="1:14" x14ac:dyDescent="0.25">
      <c r="A2272" s="505" t="s">
        <v>5811</v>
      </c>
      <c r="B2272" s="505" t="s">
        <v>5812</v>
      </c>
      <c r="C2272" s="512" t="s">
        <v>8534</v>
      </c>
      <c r="D2272" s="512" t="s">
        <v>8859</v>
      </c>
      <c r="E2272" s="512" t="s">
        <v>8862</v>
      </c>
      <c r="F2272" s="512" t="s">
        <v>9495</v>
      </c>
      <c r="G2272" s="512" t="s">
        <v>8547</v>
      </c>
      <c r="H2272" s="512" t="s">
        <v>9499</v>
      </c>
      <c r="I2272" s="512" t="s">
        <v>9498</v>
      </c>
      <c r="L2272" s="505" t="s">
        <v>1233</v>
      </c>
      <c r="M2272" s="516">
        <v>55</v>
      </c>
      <c r="N2272" s="505" t="s">
        <v>1233</v>
      </c>
    </row>
    <row r="2273" spans="1:14" x14ac:dyDescent="0.25">
      <c r="A2273" s="505" t="s">
        <v>5813</v>
      </c>
      <c r="B2273" s="505" t="s">
        <v>5814</v>
      </c>
      <c r="C2273" s="512" t="s">
        <v>8534</v>
      </c>
      <c r="D2273" s="512" t="s">
        <v>8859</v>
      </c>
      <c r="E2273" s="512" t="s">
        <v>8862</v>
      </c>
      <c r="F2273" s="512" t="s">
        <v>9495</v>
      </c>
      <c r="G2273" s="512" t="s">
        <v>8553</v>
      </c>
      <c r="H2273" s="512" t="s">
        <v>9498</v>
      </c>
      <c r="L2273" s="505" t="s">
        <v>1233</v>
      </c>
      <c r="M2273" s="516">
        <v>55</v>
      </c>
      <c r="N2273" s="505" t="s">
        <v>1233</v>
      </c>
    </row>
    <row r="2274" spans="1:14" x14ac:dyDescent="0.25">
      <c r="A2274" s="505" t="s">
        <v>5815</v>
      </c>
      <c r="B2274" s="505" t="s">
        <v>5816</v>
      </c>
      <c r="C2274" s="512" t="s">
        <v>8534</v>
      </c>
      <c r="D2274" s="512" t="s">
        <v>8859</v>
      </c>
      <c r="E2274" s="512" t="s">
        <v>8862</v>
      </c>
      <c r="F2274" s="512" t="s">
        <v>9495</v>
      </c>
      <c r="G2274" s="512" t="s">
        <v>8537</v>
      </c>
      <c r="H2274" s="512" t="s">
        <v>9483</v>
      </c>
      <c r="I2274" s="512" t="s">
        <v>9498</v>
      </c>
      <c r="L2274" s="505" t="s">
        <v>1233</v>
      </c>
      <c r="M2274" s="516">
        <v>55</v>
      </c>
      <c r="N2274" s="505" t="s">
        <v>1233</v>
      </c>
    </row>
    <row r="2275" spans="1:14" x14ac:dyDescent="0.25">
      <c r="A2275" s="505" t="s">
        <v>5817</v>
      </c>
      <c r="B2275" s="505" t="s">
        <v>5818</v>
      </c>
      <c r="C2275" s="512" t="s">
        <v>8534</v>
      </c>
      <c r="D2275" s="512" t="s">
        <v>8859</v>
      </c>
      <c r="E2275" s="512" t="s">
        <v>8862</v>
      </c>
      <c r="F2275" s="512" t="s">
        <v>9495</v>
      </c>
      <c r="G2275" s="512" t="s">
        <v>8537</v>
      </c>
      <c r="H2275" s="512" t="s">
        <v>593</v>
      </c>
      <c r="I2275" s="512" t="s">
        <v>9498</v>
      </c>
      <c r="L2275" s="505" t="s">
        <v>1233</v>
      </c>
      <c r="M2275" s="516">
        <v>55</v>
      </c>
      <c r="N2275" s="505" t="s">
        <v>1233</v>
      </c>
    </row>
    <row r="2276" spans="1:14" x14ac:dyDescent="0.25">
      <c r="A2276" s="505" t="s">
        <v>5819</v>
      </c>
      <c r="B2276" s="505" t="s">
        <v>5820</v>
      </c>
      <c r="C2276" s="512" t="s">
        <v>8534</v>
      </c>
      <c r="D2276" s="512" t="s">
        <v>8859</v>
      </c>
      <c r="E2276" s="512" t="s">
        <v>8862</v>
      </c>
      <c r="F2276" s="512" t="s">
        <v>9495</v>
      </c>
      <c r="G2276" s="512" t="s">
        <v>7583</v>
      </c>
      <c r="H2276" s="512" t="s">
        <v>8558</v>
      </c>
      <c r="I2276" s="512" t="s">
        <v>9498</v>
      </c>
      <c r="L2276" s="505" t="s">
        <v>1233</v>
      </c>
      <c r="M2276" s="516">
        <v>55</v>
      </c>
      <c r="N2276" s="505" t="s">
        <v>1233</v>
      </c>
    </row>
    <row r="2277" spans="1:14" x14ac:dyDescent="0.25">
      <c r="A2277" s="505" t="s">
        <v>5821</v>
      </c>
      <c r="B2277" s="505" t="s">
        <v>5822</v>
      </c>
      <c r="C2277" s="512" t="s">
        <v>8534</v>
      </c>
      <c r="D2277" s="512" t="s">
        <v>8859</v>
      </c>
      <c r="E2277" s="512" t="s">
        <v>8862</v>
      </c>
      <c r="F2277" s="512" t="s">
        <v>9495</v>
      </c>
      <c r="G2277" s="512" t="s">
        <v>8560</v>
      </c>
      <c r="H2277" s="512" t="s">
        <v>9498</v>
      </c>
      <c r="L2277" s="505" t="s">
        <v>1233</v>
      </c>
      <c r="M2277" s="516">
        <v>55</v>
      </c>
      <c r="N2277" s="505" t="s">
        <v>1233</v>
      </c>
    </row>
    <row r="2278" spans="1:14" x14ac:dyDescent="0.25">
      <c r="A2278" s="505" t="s">
        <v>5823</v>
      </c>
      <c r="B2278" s="505" t="s">
        <v>5824</v>
      </c>
      <c r="C2278" s="512" t="s">
        <v>8534</v>
      </c>
      <c r="D2278" s="512" t="s">
        <v>8859</v>
      </c>
      <c r="E2278" s="512" t="s">
        <v>8862</v>
      </c>
      <c r="F2278" s="512" t="s">
        <v>9495</v>
      </c>
      <c r="G2278" s="512" t="s">
        <v>8505</v>
      </c>
      <c r="H2278" s="512" t="s">
        <v>9498</v>
      </c>
      <c r="L2278" s="505" t="s">
        <v>1233</v>
      </c>
      <c r="M2278" s="516">
        <v>55</v>
      </c>
      <c r="N2278" s="505" t="s">
        <v>1233</v>
      </c>
    </row>
    <row r="2279" spans="1:14" x14ac:dyDescent="0.25">
      <c r="A2279" s="505" t="s">
        <v>5825</v>
      </c>
      <c r="B2279" s="505" t="s">
        <v>5826</v>
      </c>
      <c r="C2279" s="512" t="s">
        <v>8534</v>
      </c>
      <c r="D2279" s="512" t="s">
        <v>8859</v>
      </c>
      <c r="E2279" s="512" t="s">
        <v>8862</v>
      </c>
      <c r="F2279" s="512" t="s">
        <v>9495</v>
      </c>
      <c r="G2279" s="512" t="s">
        <v>522</v>
      </c>
      <c r="H2279" s="512" t="s">
        <v>9498</v>
      </c>
      <c r="L2279" s="505" t="s">
        <v>1233</v>
      </c>
      <c r="M2279" s="516">
        <v>55</v>
      </c>
      <c r="N2279" s="505" t="s">
        <v>1233</v>
      </c>
    </row>
    <row r="2280" spans="1:14" x14ac:dyDescent="0.25">
      <c r="A2280" s="505" t="s">
        <v>5827</v>
      </c>
      <c r="B2280" s="505" t="s">
        <v>5828</v>
      </c>
      <c r="C2280" s="512" t="s">
        <v>8534</v>
      </c>
      <c r="D2280" s="512" t="s">
        <v>8859</v>
      </c>
      <c r="E2280" s="512" t="s">
        <v>8862</v>
      </c>
      <c r="F2280" s="512" t="s">
        <v>9495</v>
      </c>
      <c r="G2280" s="512" t="s">
        <v>511</v>
      </c>
      <c r="H2280" s="512" t="s">
        <v>7471</v>
      </c>
      <c r="I2280" s="512" t="s">
        <v>9498</v>
      </c>
      <c r="L2280" s="505" t="s">
        <v>1233</v>
      </c>
      <c r="M2280" s="516">
        <v>55</v>
      </c>
      <c r="N2280" s="505" t="s">
        <v>1233</v>
      </c>
    </row>
    <row r="2281" spans="1:14" x14ac:dyDescent="0.25">
      <c r="A2281" s="505" t="s">
        <v>5829</v>
      </c>
      <c r="B2281" s="505" t="s">
        <v>5830</v>
      </c>
      <c r="C2281" s="512" t="s">
        <v>8534</v>
      </c>
      <c r="D2281" s="512" t="s">
        <v>8859</v>
      </c>
      <c r="E2281" s="512" t="s">
        <v>8837</v>
      </c>
      <c r="F2281" s="512" t="s">
        <v>9479</v>
      </c>
      <c r="G2281" s="512" t="s">
        <v>9500</v>
      </c>
      <c r="H2281" s="512" t="s">
        <v>9501</v>
      </c>
      <c r="L2281" s="505" t="s">
        <v>1233</v>
      </c>
      <c r="M2281" s="516">
        <v>24.88</v>
      </c>
      <c r="N2281" s="505" t="s">
        <v>1233</v>
      </c>
    </row>
    <row r="2282" spans="1:14" x14ac:dyDescent="0.25">
      <c r="A2282" s="505" t="s">
        <v>5831</v>
      </c>
      <c r="B2282" s="505" t="s">
        <v>5832</v>
      </c>
      <c r="C2282" s="512" t="s">
        <v>8534</v>
      </c>
      <c r="D2282" s="512" t="s">
        <v>8859</v>
      </c>
      <c r="E2282" s="512" t="s">
        <v>8837</v>
      </c>
      <c r="F2282" s="512" t="s">
        <v>148</v>
      </c>
      <c r="G2282" s="512" t="s">
        <v>7497</v>
      </c>
      <c r="H2282" s="512" t="s">
        <v>9501</v>
      </c>
      <c r="L2282" s="505" t="s">
        <v>1233</v>
      </c>
      <c r="M2282" s="516">
        <v>24.88</v>
      </c>
      <c r="N2282" s="505" t="s">
        <v>1233</v>
      </c>
    </row>
    <row r="2283" spans="1:14" x14ac:dyDescent="0.25">
      <c r="A2283" s="505" t="s">
        <v>5833</v>
      </c>
      <c r="B2283" s="505" t="s">
        <v>5834</v>
      </c>
      <c r="C2283" s="512" t="s">
        <v>8534</v>
      </c>
      <c r="D2283" s="512" t="s">
        <v>8859</v>
      </c>
      <c r="E2283" s="512" t="s">
        <v>8837</v>
      </c>
      <c r="F2283" s="512" t="s">
        <v>8549</v>
      </c>
      <c r="G2283" s="512" t="s">
        <v>8546</v>
      </c>
      <c r="H2283" s="512" t="s">
        <v>9501</v>
      </c>
      <c r="L2283" s="505" t="s">
        <v>1233</v>
      </c>
      <c r="M2283" s="516">
        <v>24.88</v>
      </c>
      <c r="N2283" s="505" t="s">
        <v>1233</v>
      </c>
    </row>
    <row r="2284" spans="1:14" x14ac:dyDescent="0.25">
      <c r="A2284" s="505" t="s">
        <v>5835</v>
      </c>
      <c r="B2284" s="505" t="s">
        <v>5836</v>
      </c>
      <c r="C2284" s="512" t="s">
        <v>8534</v>
      </c>
      <c r="D2284" s="512" t="s">
        <v>8859</v>
      </c>
      <c r="E2284" s="512" t="s">
        <v>8837</v>
      </c>
      <c r="F2284" s="512" t="s">
        <v>8336</v>
      </c>
      <c r="G2284" s="512" t="s">
        <v>9501</v>
      </c>
      <c r="L2284" s="505" t="s">
        <v>1233</v>
      </c>
      <c r="M2284" s="516">
        <v>24.88</v>
      </c>
      <c r="N2284" s="505" t="s">
        <v>1233</v>
      </c>
    </row>
    <row r="2285" spans="1:14" x14ac:dyDescent="0.25">
      <c r="A2285" s="505" t="s">
        <v>5837</v>
      </c>
      <c r="B2285" s="505" t="s">
        <v>5838</v>
      </c>
      <c r="C2285" s="512" t="s">
        <v>8534</v>
      </c>
      <c r="D2285" s="512" t="s">
        <v>8859</v>
      </c>
      <c r="E2285" s="512" t="s">
        <v>8837</v>
      </c>
      <c r="F2285" s="512" t="s">
        <v>8879</v>
      </c>
      <c r="G2285" s="512" t="s">
        <v>9501</v>
      </c>
      <c r="L2285" s="505" t="s">
        <v>1233</v>
      </c>
      <c r="M2285" s="516">
        <v>24.88</v>
      </c>
      <c r="N2285" s="505" t="s">
        <v>1233</v>
      </c>
    </row>
    <row r="2286" spans="1:14" x14ac:dyDescent="0.25">
      <c r="A2286" s="505" t="s">
        <v>5839</v>
      </c>
      <c r="B2286" s="505" t="s">
        <v>5840</v>
      </c>
      <c r="C2286" s="512" t="s">
        <v>8534</v>
      </c>
      <c r="D2286" s="512" t="s">
        <v>8859</v>
      </c>
      <c r="E2286" s="512" t="s">
        <v>8837</v>
      </c>
      <c r="F2286" s="512" t="s">
        <v>472</v>
      </c>
      <c r="G2286" s="512" t="s">
        <v>9501</v>
      </c>
      <c r="L2286" s="505" t="s">
        <v>1233</v>
      </c>
      <c r="M2286" s="516">
        <v>24.88</v>
      </c>
      <c r="N2286" s="505" t="s">
        <v>1233</v>
      </c>
    </row>
    <row r="2287" spans="1:14" x14ac:dyDescent="0.25">
      <c r="A2287" s="505" t="s">
        <v>5841</v>
      </c>
      <c r="B2287" s="505" t="s">
        <v>5842</v>
      </c>
      <c r="C2287" s="512" t="s">
        <v>8534</v>
      </c>
      <c r="D2287" s="512" t="s">
        <v>8859</v>
      </c>
      <c r="E2287" s="512" t="s">
        <v>8837</v>
      </c>
      <c r="F2287" s="512" t="s">
        <v>582</v>
      </c>
      <c r="G2287" s="512" t="s">
        <v>9501</v>
      </c>
      <c r="L2287" s="505" t="s">
        <v>1233</v>
      </c>
      <c r="M2287" s="516">
        <v>24.88</v>
      </c>
      <c r="N2287" s="505" t="s">
        <v>1233</v>
      </c>
    </row>
    <row r="2288" spans="1:14" x14ac:dyDescent="0.25">
      <c r="A2288" s="505" t="s">
        <v>5843</v>
      </c>
      <c r="B2288" s="505" t="s">
        <v>5844</v>
      </c>
      <c r="C2288" s="512" t="s">
        <v>8534</v>
      </c>
      <c r="D2288" s="512" t="s">
        <v>8859</v>
      </c>
      <c r="E2288" s="512" t="s">
        <v>8837</v>
      </c>
      <c r="F2288" s="512" t="s">
        <v>563</v>
      </c>
      <c r="G2288" s="512" t="s">
        <v>9501</v>
      </c>
      <c r="L2288" s="505" t="s">
        <v>1233</v>
      </c>
      <c r="M2288" s="516">
        <v>24.88</v>
      </c>
      <c r="N2288" s="505" t="s">
        <v>1233</v>
      </c>
    </row>
    <row r="2289" spans="1:14" x14ac:dyDescent="0.25">
      <c r="A2289" s="505" t="s">
        <v>5845</v>
      </c>
      <c r="B2289" s="505" t="s">
        <v>5846</v>
      </c>
      <c r="C2289" s="512" t="s">
        <v>8534</v>
      </c>
      <c r="D2289" s="512" t="s">
        <v>8859</v>
      </c>
      <c r="E2289" s="512" t="s">
        <v>8837</v>
      </c>
      <c r="F2289" s="512" t="s">
        <v>8551</v>
      </c>
      <c r="G2289" s="512" t="s">
        <v>9501</v>
      </c>
      <c r="L2289" s="505" t="s">
        <v>1233</v>
      </c>
      <c r="M2289" s="516">
        <v>24.88</v>
      </c>
      <c r="N2289" s="505" t="s">
        <v>1233</v>
      </c>
    </row>
    <row r="2290" spans="1:14" x14ac:dyDescent="0.25">
      <c r="A2290" s="505" t="s">
        <v>5847</v>
      </c>
      <c r="B2290" s="505" t="s">
        <v>5848</v>
      </c>
      <c r="C2290" s="512" t="s">
        <v>8534</v>
      </c>
      <c r="D2290" s="512" t="s">
        <v>8859</v>
      </c>
      <c r="E2290" s="512" t="s">
        <v>8837</v>
      </c>
      <c r="F2290" s="512" t="s">
        <v>8547</v>
      </c>
      <c r="G2290" s="512" t="s">
        <v>7931</v>
      </c>
      <c r="H2290" s="512" t="s">
        <v>9501</v>
      </c>
      <c r="L2290" s="505" t="s">
        <v>1233</v>
      </c>
      <c r="M2290" s="516">
        <v>24.88</v>
      </c>
      <c r="N2290" s="505" t="s">
        <v>1233</v>
      </c>
    </row>
    <row r="2291" spans="1:14" x14ac:dyDescent="0.25">
      <c r="A2291" s="505" t="s">
        <v>5849</v>
      </c>
      <c r="B2291" s="505" t="s">
        <v>5850</v>
      </c>
      <c r="C2291" s="512" t="s">
        <v>8534</v>
      </c>
      <c r="D2291" s="512" t="s">
        <v>8859</v>
      </c>
      <c r="E2291" s="512" t="s">
        <v>8837</v>
      </c>
      <c r="F2291" s="512" t="s">
        <v>8547</v>
      </c>
      <c r="G2291" s="512" t="s">
        <v>8557</v>
      </c>
      <c r="H2291" s="512" t="s">
        <v>9501</v>
      </c>
      <c r="L2291" s="505" t="s">
        <v>1233</v>
      </c>
      <c r="M2291" s="516">
        <v>24.88</v>
      </c>
      <c r="N2291" s="505" t="s">
        <v>1233</v>
      </c>
    </row>
    <row r="2292" spans="1:14" x14ac:dyDescent="0.25">
      <c r="A2292" s="505" t="s">
        <v>5851</v>
      </c>
      <c r="B2292" s="505" t="s">
        <v>5852</v>
      </c>
      <c r="C2292" s="512" t="s">
        <v>8534</v>
      </c>
      <c r="D2292" s="512" t="s">
        <v>8859</v>
      </c>
      <c r="E2292" s="512" t="s">
        <v>8837</v>
      </c>
      <c r="F2292" s="512" t="s">
        <v>8553</v>
      </c>
      <c r="G2292" s="512" t="s">
        <v>9501</v>
      </c>
      <c r="L2292" s="505" t="s">
        <v>1233</v>
      </c>
      <c r="M2292" s="516">
        <v>24.88</v>
      </c>
      <c r="N2292" s="505" t="s">
        <v>1233</v>
      </c>
    </row>
    <row r="2293" spans="1:14" x14ac:dyDescent="0.25">
      <c r="A2293" s="505" t="s">
        <v>5853</v>
      </c>
      <c r="B2293" s="505" t="s">
        <v>5854</v>
      </c>
      <c r="C2293" s="512" t="s">
        <v>8534</v>
      </c>
      <c r="D2293" s="512" t="s">
        <v>8859</v>
      </c>
      <c r="E2293" s="512" t="s">
        <v>8837</v>
      </c>
      <c r="F2293" s="512" t="s">
        <v>8547</v>
      </c>
      <c r="G2293" s="512" t="s">
        <v>530</v>
      </c>
      <c r="H2293" s="512" t="s">
        <v>9501</v>
      </c>
      <c r="L2293" s="505" t="s">
        <v>1233</v>
      </c>
      <c r="M2293" s="516">
        <v>24.88</v>
      </c>
      <c r="N2293" s="505" t="s">
        <v>1233</v>
      </c>
    </row>
    <row r="2294" spans="1:14" x14ac:dyDescent="0.25">
      <c r="A2294" s="505" t="s">
        <v>5855</v>
      </c>
      <c r="B2294" s="505" t="s">
        <v>5856</v>
      </c>
      <c r="C2294" s="512" t="s">
        <v>8534</v>
      </c>
      <c r="D2294" s="512" t="s">
        <v>8859</v>
      </c>
      <c r="E2294" s="512" t="s">
        <v>8837</v>
      </c>
      <c r="F2294" s="512" t="s">
        <v>8537</v>
      </c>
      <c r="G2294" s="512" t="s">
        <v>593</v>
      </c>
      <c r="H2294" s="512" t="s">
        <v>9501</v>
      </c>
      <c r="L2294" s="505" t="s">
        <v>1233</v>
      </c>
      <c r="M2294" s="516">
        <v>24.88</v>
      </c>
      <c r="N2294" s="505" t="s">
        <v>1233</v>
      </c>
    </row>
    <row r="2295" spans="1:14" x14ac:dyDescent="0.25">
      <c r="A2295" s="505" t="s">
        <v>5857</v>
      </c>
      <c r="B2295" s="505" t="s">
        <v>5858</v>
      </c>
      <c r="C2295" s="512" t="s">
        <v>8534</v>
      </c>
      <c r="D2295" s="512" t="s">
        <v>8859</v>
      </c>
      <c r="E2295" s="512" t="s">
        <v>8837</v>
      </c>
      <c r="F2295" s="512" t="s">
        <v>7583</v>
      </c>
      <c r="G2295" s="512" t="s">
        <v>8558</v>
      </c>
      <c r="H2295" s="512" t="s">
        <v>9501</v>
      </c>
      <c r="L2295" s="505" t="s">
        <v>1233</v>
      </c>
      <c r="M2295" s="516">
        <v>24.88</v>
      </c>
      <c r="N2295" s="505" t="s">
        <v>1233</v>
      </c>
    </row>
    <row r="2296" spans="1:14" x14ac:dyDescent="0.25">
      <c r="A2296" s="505" t="s">
        <v>5859</v>
      </c>
      <c r="B2296" s="505" t="s">
        <v>5860</v>
      </c>
      <c r="C2296" s="512" t="s">
        <v>8534</v>
      </c>
      <c r="D2296" s="512" t="s">
        <v>8859</v>
      </c>
      <c r="E2296" s="512" t="s">
        <v>8837</v>
      </c>
      <c r="F2296" s="512" t="s">
        <v>7583</v>
      </c>
      <c r="G2296" s="512" t="s">
        <v>8559</v>
      </c>
      <c r="H2296" s="512" t="s">
        <v>9501</v>
      </c>
      <c r="L2296" s="505" t="s">
        <v>1233</v>
      </c>
      <c r="M2296" s="516">
        <v>24.88</v>
      </c>
      <c r="N2296" s="505" t="s">
        <v>1233</v>
      </c>
    </row>
    <row r="2297" spans="1:14" x14ac:dyDescent="0.25">
      <c r="A2297" s="505" t="s">
        <v>5861</v>
      </c>
      <c r="B2297" s="505" t="s">
        <v>5862</v>
      </c>
      <c r="C2297" s="512" t="s">
        <v>8534</v>
      </c>
      <c r="D2297" s="512" t="s">
        <v>8859</v>
      </c>
      <c r="E2297" s="512" t="s">
        <v>8837</v>
      </c>
      <c r="F2297" s="512" t="s">
        <v>8560</v>
      </c>
      <c r="G2297" s="512" t="s">
        <v>9501</v>
      </c>
      <c r="L2297" s="505" t="s">
        <v>1233</v>
      </c>
      <c r="M2297" s="516">
        <v>24.88</v>
      </c>
      <c r="N2297" s="505" t="s">
        <v>1233</v>
      </c>
    </row>
    <row r="2298" spans="1:14" x14ac:dyDescent="0.25">
      <c r="A2298" s="505" t="s">
        <v>5863</v>
      </c>
      <c r="B2298" s="505" t="s">
        <v>5864</v>
      </c>
      <c r="C2298" s="512" t="s">
        <v>8534</v>
      </c>
      <c r="D2298" s="512" t="s">
        <v>8859</v>
      </c>
      <c r="E2298" s="512" t="s">
        <v>8837</v>
      </c>
      <c r="F2298" s="512" t="s">
        <v>8556</v>
      </c>
      <c r="G2298" s="512" t="s">
        <v>8561</v>
      </c>
      <c r="H2298" s="512" t="s">
        <v>9501</v>
      </c>
      <c r="L2298" s="505" t="s">
        <v>1233</v>
      </c>
      <c r="M2298" s="516">
        <v>24.88</v>
      </c>
      <c r="N2298" s="505" t="s">
        <v>1233</v>
      </c>
    </row>
    <row r="2299" spans="1:14" x14ac:dyDescent="0.25">
      <c r="A2299" s="505" t="s">
        <v>5865</v>
      </c>
      <c r="B2299" s="505" t="s">
        <v>5866</v>
      </c>
      <c r="C2299" s="512" t="s">
        <v>8534</v>
      </c>
      <c r="D2299" s="512" t="s">
        <v>8859</v>
      </c>
      <c r="E2299" s="512" t="s">
        <v>8837</v>
      </c>
      <c r="F2299" s="512" t="s">
        <v>522</v>
      </c>
      <c r="G2299" s="512" t="s">
        <v>9501</v>
      </c>
      <c r="L2299" s="505" t="s">
        <v>1233</v>
      </c>
      <c r="M2299" s="516">
        <v>24.88</v>
      </c>
      <c r="N2299" s="505" t="s">
        <v>1233</v>
      </c>
    </row>
    <row r="2300" spans="1:14" x14ac:dyDescent="0.25">
      <c r="A2300" s="505" t="s">
        <v>5867</v>
      </c>
      <c r="B2300" s="505" t="s">
        <v>5868</v>
      </c>
      <c r="C2300" s="512" t="s">
        <v>8534</v>
      </c>
      <c r="D2300" s="512" t="s">
        <v>8859</v>
      </c>
      <c r="E2300" s="512" t="s">
        <v>8837</v>
      </c>
      <c r="F2300" s="512" t="s">
        <v>511</v>
      </c>
      <c r="G2300" s="512" t="s">
        <v>7471</v>
      </c>
      <c r="H2300" s="512" t="s">
        <v>9501</v>
      </c>
      <c r="L2300" s="505" t="s">
        <v>1233</v>
      </c>
      <c r="M2300" s="516">
        <v>24.88</v>
      </c>
      <c r="N2300" s="505" t="s">
        <v>1233</v>
      </c>
    </row>
    <row r="2301" spans="1:14" x14ac:dyDescent="0.25">
      <c r="A2301" s="505" t="s">
        <v>5869</v>
      </c>
      <c r="B2301" s="505" t="s">
        <v>5870</v>
      </c>
      <c r="C2301" s="512" t="s">
        <v>8534</v>
      </c>
      <c r="D2301" s="512" t="s">
        <v>9475</v>
      </c>
      <c r="E2301" s="512" t="s">
        <v>8574</v>
      </c>
      <c r="F2301" s="512" t="s">
        <v>9493</v>
      </c>
      <c r="G2301" s="512" t="s">
        <v>8336</v>
      </c>
      <c r="H2301" s="512" t="s">
        <v>9502</v>
      </c>
      <c r="L2301" s="505" t="s">
        <v>1233</v>
      </c>
      <c r="M2301" s="516">
        <v>18.93</v>
      </c>
      <c r="N2301" s="505" t="s">
        <v>1233</v>
      </c>
    </row>
    <row r="2302" spans="1:14" x14ac:dyDescent="0.25">
      <c r="A2302" s="505" t="s">
        <v>5871</v>
      </c>
      <c r="B2302" s="505" t="s">
        <v>5872</v>
      </c>
      <c r="C2302" s="512" t="s">
        <v>8534</v>
      </c>
      <c r="D2302" s="512" t="s">
        <v>8859</v>
      </c>
      <c r="E2302" s="512" t="s">
        <v>9475</v>
      </c>
      <c r="F2302" s="512" t="s">
        <v>8574</v>
      </c>
      <c r="G2302" s="512" t="s">
        <v>9493</v>
      </c>
      <c r="H2302" s="512" t="s">
        <v>8386</v>
      </c>
      <c r="I2302" s="512" t="s">
        <v>9503</v>
      </c>
      <c r="J2302" s="505" t="s">
        <v>9504</v>
      </c>
      <c r="L2302" s="505" t="s">
        <v>1233</v>
      </c>
      <c r="M2302" s="516">
        <v>23.29</v>
      </c>
      <c r="N2302" s="505" t="s">
        <v>1233</v>
      </c>
    </row>
    <row r="2303" spans="1:14" x14ac:dyDescent="0.25">
      <c r="A2303" s="505" t="s">
        <v>5873</v>
      </c>
      <c r="B2303" s="505" t="s">
        <v>5874</v>
      </c>
      <c r="C2303" s="512" t="s">
        <v>8534</v>
      </c>
      <c r="D2303" s="512" t="s">
        <v>8859</v>
      </c>
      <c r="E2303" s="512" t="s">
        <v>9475</v>
      </c>
      <c r="F2303" s="512" t="s">
        <v>8574</v>
      </c>
      <c r="G2303" s="512" t="s">
        <v>9493</v>
      </c>
      <c r="H2303" s="512" t="s">
        <v>472</v>
      </c>
      <c r="I2303" s="512" t="s">
        <v>9504</v>
      </c>
      <c r="L2303" s="505" t="s">
        <v>1233</v>
      </c>
      <c r="M2303" s="516">
        <v>23.29</v>
      </c>
      <c r="N2303" s="505" t="s">
        <v>1233</v>
      </c>
    </row>
    <row r="2304" spans="1:14" x14ac:dyDescent="0.25">
      <c r="A2304" s="505" t="s">
        <v>5875</v>
      </c>
      <c r="B2304" s="505" t="s">
        <v>5876</v>
      </c>
      <c r="C2304" s="512" t="s">
        <v>8534</v>
      </c>
      <c r="D2304" s="512" t="s">
        <v>8859</v>
      </c>
      <c r="E2304" s="512" t="s">
        <v>9475</v>
      </c>
      <c r="F2304" s="512" t="s">
        <v>8574</v>
      </c>
      <c r="G2304" s="512" t="s">
        <v>9493</v>
      </c>
      <c r="H2304" s="512" t="s">
        <v>582</v>
      </c>
      <c r="I2304" s="512" t="s">
        <v>9504</v>
      </c>
      <c r="L2304" s="505" t="s">
        <v>1233</v>
      </c>
      <c r="M2304" s="516">
        <v>23.29</v>
      </c>
      <c r="N2304" s="505" t="s">
        <v>1233</v>
      </c>
    </row>
    <row r="2305" spans="1:14" x14ac:dyDescent="0.25">
      <c r="A2305" s="505" t="s">
        <v>5877</v>
      </c>
      <c r="B2305" s="505" t="s">
        <v>5878</v>
      </c>
      <c r="C2305" s="512" t="s">
        <v>8534</v>
      </c>
      <c r="D2305" s="512" t="s">
        <v>8859</v>
      </c>
      <c r="E2305" s="512" t="s">
        <v>9475</v>
      </c>
      <c r="F2305" s="512" t="s">
        <v>8574</v>
      </c>
      <c r="G2305" s="512" t="s">
        <v>9493</v>
      </c>
      <c r="H2305" s="512" t="s">
        <v>8551</v>
      </c>
      <c r="I2305" s="512" t="s">
        <v>9504</v>
      </c>
      <c r="L2305" s="505" t="s">
        <v>1233</v>
      </c>
      <c r="M2305" s="516">
        <v>23.29</v>
      </c>
      <c r="N2305" s="505" t="s">
        <v>1233</v>
      </c>
    </row>
    <row r="2306" spans="1:14" x14ac:dyDescent="0.25">
      <c r="A2306" s="505" t="s">
        <v>5879</v>
      </c>
      <c r="B2306" s="505" t="s">
        <v>5880</v>
      </c>
      <c r="C2306" s="512" t="s">
        <v>8534</v>
      </c>
      <c r="D2306" s="512" t="s">
        <v>395</v>
      </c>
      <c r="E2306" s="512" t="s">
        <v>9505</v>
      </c>
      <c r="F2306" s="512" t="s">
        <v>8837</v>
      </c>
      <c r="G2306" s="512" t="s">
        <v>8549</v>
      </c>
      <c r="H2306" s="512" t="s">
        <v>8802</v>
      </c>
      <c r="I2306" s="512" t="s">
        <v>9506</v>
      </c>
      <c r="L2306" s="505" t="s">
        <v>1233</v>
      </c>
      <c r="M2306" s="516">
        <v>17.510000000000002</v>
      </c>
      <c r="N2306" s="505" t="s">
        <v>1233</v>
      </c>
    </row>
    <row r="2307" spans="1:14" x14ac:dyDescent="0.25">
      <c r="A2307" s="505" t="s">
        <v>5881</v>
      </c>
      <c r="B2307" s="505" t="s">
        <v>5882</v>
      </c>
      <c r="C2307" s="512" t="s">
        <v>8534</v>
      </c>
      <c r="D2307" s="512" t="s">
        <v>395</v>
      </c>
      <c r="E2307" s="512" t="s">
        <v>9505</v>
      </c>
      <c r="F2307" s="512" t="s">
        <v>8837</v>
      </c>
      <c r="G2307" s="512" t="s">
        <v>8336</v>
      </c>
      <c r="H2307" s="512" t="s">
        <v>9506</v>
      </c>
      <c r="L2307" s="505" t="s">
        <v>1233</v>
      </c>
      <c r="M2307" s="516">
        <v>17.510000000000002</v>
      </c>
      <c r="N2307" s="505" t="s">
        <v>1233</v>
      </c>
    </row>
    <row r="2308" spans="1:14" x14ac:dyDescent="0.25">
      <c r="A2308" s="505" t="s">
        <v>5883</v>
      </c>
      <c r="B2308" s="505" t="s">
        <v>5884</v>
      </c>
      <c r="C2308" s="512" t="s">
        <v>8534</v>
      </c>
      <c r="D2308" s="512" t="s">
        <v>395</v>
      </c>
      <c r="E2308" s="512" t="s">
        <v>9505</v>
      </c>
      <c r="F2308" s="512" t="s">
        <v>8837</v>
      </c>
      <c r="G2308" s="512" t="s">
        <v>472</v>
      </c>
      <c r="H2308" s="512" t="s">
        <v>9506</v>
      </c>
      <c r="L2308" s="505" t="s">
        <v>1233</v>
      </c>
      <c r="M2308" s="516">
        <v>17.510000000000002</v>
      </c>
      <c r="N2308" s="505" t="s">
        <v>1233</v>
      </c>
    </row>
    <row r="2309" spans="1:14" x14ac:dyDescent="0.25">
      <c r="A2309" s="505" t="s">
        <v>5885</v>
      </c>
      <c r="B2309" s="505" t="s">
        <v>5886</v>
      </c>
      <c r="C2309" s="512" t="s">
        <v>8534</v>
      </c>
      <c r="D2309" s="512" t="s">
        <v>395</v>
      </c>
      <c r="E2309" s="512" t="s">
        <v>9505</v>
      </c>
      <c r="F2309" s="512" t="s">
        <v>8837</v>
      </c>
      <c r="G2309" s="512" t="s">
        <v>8551</v>
      </c>
      <c r="H2309" s="512" t="s">
        <v>9506</v>
      </c>
      <c r="L2309" s="505" t="s">
        <v>1233</v>
      </c>
      <c r="M2309" s="516">
        <v>17.510000000000002</v>
      </c>
      <c r="N2309" s="505" t="s">
        <v>1233</v>
      </c>
    </row>
    <row r="2310" spans="1:14" x14ac:dyDescent="0.25">
      <c r="A2310" s="505" t="s">
        <v>5887</v>
      </c>
      <c r="B2310" s="505" t="s">
        <v>5888</v>
      </c>
      <c r="C2310" s="512" t="s">
        <v>8534</v>
      </c>
      <c r="D2310" s="512" t="s">
        <v>395</v>
      </c>
      <c r="E2310" s="512" t="s">
        <v>9505</v>
      </c>
      <c r="F2310" s="512" t="s">
        <v>8837</v>
      </c>
      <c r="G2310" s="512" t="s">
        <v>8537</v>
      </c>
      <c r="H2310" s="512" t="s">
        <v>8552</v>
      </c>
      <c r="I2310" s="512" t="s">
        <v>7471</v>
      </c>
      <c r="J2310" s="505" t="s">
        <v>9506</v>
      </c>
      <c r="L2310" s="505" t="s">
        <v>1233</v>
      </c>
      <c r="M2310" s="516">
        <v>17.510000000000002</v>
      </c>
      <c r="N2310" s="505" t="s">
        <v>1233</v>
      </c>
    </row>
    <row r="2311" spans="1:14" x14ac:dyDescent="0.25">
      <c r="A2311" s="505" t="s">
        <v>5889</v>
      </c>
      <c r="B2311" s="505" t="s">
        <v>5890</v>
      </c>
      <c r="C2311" s="512" t="s">
        <v>8534</v>
      </c>
      <c r="D2311" s="512" t="s">
        <v>395</v>
      </c>
      <c r="E2311" s="512" t="s">
        <v>9505</v>
      </c>
      <c r="F2311" s="512" t="s">
        <v>8837</v>
      </c>
      <c r="G2311" s="512" t="s">
        <v>8547</v>
      </c>
      <c r="H2311" s="512" t="s">
        <v>8557</v>
      </c>
      <c r="I2311" s="512" t="s">
        <v>9506</v>
      </c>
      <c r="L2311" s="505" t="s">
        <v>1233</v>
      </c>
      <c r="M2311" s="516">
        <v>17.510000000000002</v>
      </c>
      <c r="N2311" s="505" t="s">
        <v>1233</v>
      </c>
    </row>
    <row r="2312" spans="1:14" x14ac:dyDescent="0.25">
      <c r="A2312" s="505" t="s">
        <v>5891</v>
      </c>
      <c r="B2312" s="505" t="s">
        <v>5892</v>
      </c>
      <c r="C2312" s="512" t="s">
        <v>8534</v>
      </c>
      <c r="D2312" s="512" t="s">
        <v>395</v>
      </c>
      <c r="E2312" s="512" t="s">
        <v>9505</v>
      </c>
      <c r="F2312" s="512" t="s">
        <v>8837</v>
      </c>
      <c r="G2312" s="512" t="s">
        <v>8553</v>
      </c>
      <c r="H2312" s="512" t="s">
        <v>9506</v>
      </c>
      <c r="L2312" s="505" t="s">
        <v>1233</v>
      </c>
      <c r="M2312" s="516">
        <v>17.510000000000002</v>
      </c>
      <c r="N2312" s="505" t="s">
        <v>1233</v>
      </c>
    </row>
    <row r="2313" spans="1:14" x14ac:dyDescent="0.25">
      <c r="A2313" s="505" t="s">
        <v>5893</v>
      </c>
      <c r="B2313" s="505" t="s">
        <v>5894</v>
      </c>
      <c r="C2313" s="512" t="s">
        <v>8534</v>
      </c>
      <c r="D2313" s="512" t="s">
        <v>395</v>
      </c>
      <c r="E2313" s="512" t="s">
        <v>9505</v>
      </c>
      <c r="F2313" s="512" t="s">
        <v>8837</v>
      </c>
      <c r="G2313" s="512" t="s">
        <v>8537</v>
      </c>
      <c r="H2313" s="512" t="s">
        <v>9507</v>
      </c>
      <c r="I2313" s="512" t="s">
        <v>9506</v>
      </c>
      <c r="L2313" s="505" t="s">
        <v>1233</v>
      </c>
      <c r="M2313" s="516">
        <v>17.510000000000002</v>
      </c>
      <c r="N2313" s="505" t="s">
        <v>1233</v>
      </c>
    </row>
    <row r="2314" spans="1:14" x14ac:dyDescent="0.25">
      <c r="A2314" s="505" t="s">
        <v>5895</v>
      </c>
      <c r="B2314" s="505" t="s">
        <v>5896</v>
      </c>
      <c r="C2314" s="512" t="s">
        <v>8534</v>
      </c>
      <c r="D2314" s="512" t="s">
        <v>395</v>
      </c>
      <c r="E2314" s="512" t="s">
        <v>9505</v>
      </c>
      <c r="F2314" s="512" t="s">
        <v>8837</v>
      </c>
      <c r="G2314" s="512" t="s">
        <v>8537</v>
      </c>
      <c r="H2314" s="512" t="s">
        <v>593</v>
      </c>
      <c r="I2314" s="512" t="s">
        <v>9506</v>
      </c>
      <c r="L2314" s="505" t="s">
        <v>1233</v>
      </c>
      <c r="M2314" s="516">
        <v>17.510000000000002</v>
      </c>
      <c r="N2314" s="505" t="s">
        <v>1233</v>
      </c>
    </row>
    <row r="2315" spans="1:14" x14ac:dyDescent="0.25">
      <c r="A2315" s="505" t="s">
        <v>5897</v>
      </c>
      <c r="B2315" s="505" t="s">
        <v>5898</v>
      </c>
      <c r="C2315" s="512" t="s">
        <v>8534</v>
      </c>
      <c r="D2315" s="512" t="s">
        <v>395</v>
      </c>
      <c r="E2315" s="512" t="s">
        <v>9505</v>
      </c>
      <c r="F2315" s="512" t="s">
        <v>8837</v>
      </c>
      <c r="G2315" s="512" t="s">
        <v>7577</v>
      </c>
      <c r="H2315" s="512" t="s">
        <v>9508</v>
      </c>
      <c r="I2315" s="512" t="s">
        <v>9506</v>
      </c>
      <c r="L2315" s="505" t="s">
        <v>1233</v>
      </c>
      <c r="M2315" s="516">
        <v>17.510000000000002</v>
      </c>
      <c r="N2315" s="505" t="s">
        <v>1233</v>
      </c>
    </row>
    <row r="2316" spans="1:14" x14ac:dyDescent="0.25">
      <c r="A2316" s="505" t="s">
        <v>5899</v>
      </c>
      <c r="B2316" s="505" t="s">
        <v>5900</v>
      </c>
      <c r="C2316" s="512" t="s">
        <v>8534</v>
      </c>
      <c r="D2316" s="512" t="s">
        <v>395</v>
      </c>
      <c r="E2316" s="512" t="s">
        <v>9505</v>
      </c>
      <c r="F2316" s="512" t="s">
        <v>8837</v>
      </c>
      <c r="G2316" s="512" t="s">
        <v>8505</v>
      </c>
      <c r="H2316" s="512" t="s">
        <v>9506</v>
      </c>
      <c r="L2316" s="505" t="s">
        <v>1233</v>
      </c>
      <c r="M2316" s="516">
        <v>17.510000000000002</v>
      </c>
      <c r="N2316" s="505" t="s">
        <v>1233</v>
      </c>
    </row>
    <row r="2317" spans="1:14" x14ac:dyDescent="0.25">
      <c r="A2317" s="505" t="s">
        <v>5901</v>
      </c>
      <c r="B2317" s="505" t="s">
        <v>5902</v>
      </c>
      <c r="C2317" s="512" t="s">
        <v>8534</v>
      </c>
      <c r="D2317" s="512" t="s">
        <v>395</v>
      </c>
      <c r="E2317" s="512" t="s">
        <v>9505</v>
      </c>
      <c r="F2317" s="512" t="s">
        <v>8837</v>
      </c>
      <c r="G2317" s="512" t="s">
        <v>522</v>
      </c>
      <c r="H2317" s="512" t="s">
        <v>9506</v>
      </c>
      <c r="L2317" s="505" t="s">
        <v>1233</v>
      </c>
      <c r="M2317" s="516">
        <v>17.510000000000002</v>
      </c>
      <c r="N2317" s="505" t="s">
        <v>1233</v>
      </c>
    </row>
    <row r="2318" spans="1:14" x14ac:dyDescent="0.25">
      <c r="A2318" s="505" t="s">
        <v>5903</v>
      </c>
      <c r="B2318" s="505" t="s">
        <v>5904</v>
      </c>
      <c r="C2318" s="512" t="s">
        <v>8534</v>
      </c>
      <c r="D2318" s="512" t="s">
        <v>395</v>
      </c>
      <c r="E2318" s="512" t="s">
        <v>9505</v>
      </c>
      <c r="F2318" s="512" t="s">
        <v>8837</v>
      </c>
      <c r="G2318" s="512" t="s">
        <v>511</v>
      </c>
      <c r="H2318" s="512" t="s">
        <v>7471</v>
      </c>
      <c r="I2318" s="512" t="s">
        <v>9506</v>
      </c>
      <c r="L2318" s="505" t="s">
        <v>1233</v>
      </c>
      <c r="M2318" s="516">
        <v>17.510000000000002</v>
      </c>
      <c r="N2318" s="505" t="s">
        <v>1233</v>
      </c>
    </row>
    <row r="2319" spans="1:14" x14ac:dyDescent="0.25">
      <c r="A2319" s="505" t="s">
        <v>5905</v>
      </c>
      <c r="B2319" s="505" t="s">
        <v>5906</v>
      </c>
      <c r="C2319" s="512" t="s">
        <v>8534</v>
      </c>
      <c r="D2319" s="512" t="s">
        <v>8574</v>
      </c>
      <c r="E2319" s="512" t="s">
        <v>9493</v>
      </c>
      <c r="F2319" s="512" t="s">
        <v>8075</v>
      </c>
      <c r="G2319" s="512" t="s">
        <v>7918</v>
      </c>
      <c r="H2319" s="512" t="s">
        <v>472</v>
      </c>
      <c r="I2319" s="512" t="s">
        <v>9509</v>
      </c>
      <c r="L2319" s="505" t="s">
        <v>1233</v>
      </c>
      <c r="M2319" s="516">
        <v>8.17</v>
      </c>
      <c r="N2319" s="505" t="s">
        <v>1233</v>
      </c>
    </row>
    <row r="2320" spans="1:14" x14ac:dyDescent="0.25">
      <c r="A2320" s="505" t="s">
        <v>5907</v>
      </c>
      <c r="B2320" s="505" t="s">
        <v>5908</v>
      </c>
      <c r="C2320" s="512" t="s">
        <v>8534</v>
      </c>
      <c r="D2320" s="512" t="s">
        <v>8574</v>
      </c>
      <c r="E2320" s="512" t="s">
        <v>9493</v>
      </c>
      <c r="F2320" s="512" t="s">
        <v>8075</v>
      </c>
      <c r="G2320" s="512" t="s">
        <v>7918</v>
      </c>
      <c r="H2320" s="512" t="s">
        <v>8551</v>
      </c>
      <c r="I2320" s="512" t="s">
        <v>9509</v>
      </c>
      <c r="L2320" s="505" t="s">
        <v>1233</v>
      </c>
      <c r="M2320" s="516">
        <v>8.17</v>
      </c>
      <c r="N2320" s="505" t="s">
        <v>1233</v>
      </c>
    </row>
    <row r="2321" spans="1:14" x14ac:dyDescent="0.25">
      <c r="A2321" s="505" t="s">
        <v>5909</v>
      </c>
      <c r="B2321" s="505" t="s">
        <v>5910</v>
      </c>
      <c r="C2321" s="512" t="s">
        <v>8534</v>
      </c>
      <c r="D2321" s="512" t="s">
        <v>8574</v>
      </c>
      <c r="E2321" s="512" t="s">
        <v>9493</v>
      </c>
      <c r="F2321" s="512" t="s">
        <v>8075</v>
      </c>
      <c r="G2321" s="512" t="s">
        <v>7918</v>
      </c>
      <c r="H2321" s="512" t="s">
        <v>8560</v>
      </c>
      <c r="I2321" s="512" t="s">
        <v>9509</v>
      </c>
      <c r="L2321" s="505" t="s">
        <v>1233</v>
      </c>
      <c r="M2321" s="516">
        <v>8.17</v>
      </c>
      <c r="N2321" s="505" t="s">
        <v>1233</v>
      </c>
    </row>
    <row r="2322" spans="1:14" x14ac:dyDescent="0.25">
      <c r="A2322" s="505" t="s">
        <v>5911</v>
      </c>
      <c r="B2322" s="505" t="s">
        <v>5912</v>
      </c>
      <c r="C2322" s="512" t="s">
        <v>8534</v>
      </c>
      <c r="D2322" s="512" t="s">
        <v>9091</v>
      </c>
      <c r="E2322" s="512" t="s">
        <v>8017</v>
      </c>
      <c r="F2322" s="512" t="s">
        <v>8545</v>
      </c>
      <c r="G2322" s="512" t="s">
        <v>8546</v>
      </c>
      <c r="H2322" s="512" t="s">
        <v>9510</v>
      </c>
      <c r="L2322" s="505" t="s">
        <v>1233</v>
      </c>
      <c r="M2322" s="516">
        <v>15.47</v>
      </c>
      <c r="N2322" s="505" t="s">
        <v>1233</v>
      </c>
    </row>
    <row r="2323" spans="1:14" x14ac:dyDescent="0.25">
      <c r="A2323" s="505" t="s">
        <v>5913</v>
      </c>
      <c r="B2323" s="505" t="s">
        <v>5914</v>
      </c>
      <c r="C2323" s="512" t="s">
        <v>8534</v>
      </c>
      <c r="D2323" s="512" t="s">
        <v>395</v>
      </c>
      <c r="E2323" s="512" t="s">
        <v>9505</v>
      </c>
      <c r="F2323" s="512" t="s">
        <v>8859</v>
      </c>
      <c r="G2323" s="512" t="s">
        <v>9511</v>
      </c>
      <c r="H2323" s="512" t="s">
        <v>9512</v>
      </c>
      <c r="I2323" s="512" t="s">
        <v>9513</v>
      </c>
      <c r="L2323" s="505" t="s">
        <v>1233</v>
      </c>
      <c r="M2323" s="516">
        <v>26.53</v>
      </c>
      <c r="N2323" s="505" t="s">
        <v>1233</v>
      </c>
    </row>
    <row r="2324" spans="1:14" x14ac:dyDescent="0.25">
      <c r="A2324" s="505" t="s">
        <v>5915</v>
      </c>
      <c r="B2324" s="505" t="s">
        <v>5916</v>
      </c>
      <c r="C2324" s="512" t="s">
        <v>8534</v>
      </c>
      <c r="D2324" s="512" t="s">
        <v>395</v>
      </c>
      <c r="E2324" s="512" t="s">
        <v>9505</v>
      </c>
      <c r="F2324" s="512" t="s">
        <v>8859</v>
      </c>
      <c r="G2324" s="512" t="s">
        <v>9511</v>
      </c>
      <c r="H2324" s="512" t="s">
        <v>8336</v>
      </c>
      <c r="I2324" s="512" t="s">
        <v>9513</v>
      </c>
      <c r="L2324" s="505" t="s">
        <v>1233</v>
      </c>
      <c r="M2324" s="516">
        <v>26.53</v>
      </c>
      <c r="N2324" s="505" t="s">
        <v>1233</v>
      </c>
    </row>
    <row r="2325" spans="1:14" x14ac:dyDescent="0.25">
      <c r="A2325" s="505" t="s">
        <v>5917</v>
      </c>
      <c r="B2325" s="505" t="s">
        <v>5918</v>
      </c>
      <c r="C2325" s="512" t="s">
        <v>8534</v>
      </c>
      <c r="D2325" s="512" t="s">
        <v>395</v>
      </c>
      <c r="E2325" s="512" t="s">
        <v>9505</v>
      </c>
      <c r="F2325" s="512" t="s">
        <v>8859</v>
      </c>
      <c r="G2325" s="512" t="s">
        <v>9511</v>
      </c>
      <c r="H2325" s="512" t="s">
        <v>472</v>
      </c>
      <c r="I2325" s="512" t="s">
        <v>9513</v>
      </c>
      <c r="L2325" s="505" t="s">
        <v>1233</v>
      </c>
      <c r="M2325" s="516">
        <v>26.53</v>
      </c>
      <c r="N2325" s="505" t="s">
        <v>1233</v>
      </c>
    </row>
    <row r="2326" spans="1:14" x14ac:dyDescent="0.25">
      <c r="A2326" s="505" t="s">
        <v>5919</v>
      </c>
      <c r="B2326" s="505" t="s">
        <v>5920</v>
      </c>
      <c r="C2326" s="512" t="s">
        <v>8534</v>
      </c>
      <c r="D2326" s="512" t="s">
        <v>395</v>
      </c>
      <c r="E2326" s="512" t="s">
        <v>9505</v>
      </c>
      <c r="F2326" s="512" t="s">
        <v>8859</v>
      </c>
      <c r="G2326" s="512" t="s">
        <v>9511</v>
      </c>
      <c r="H2326" s="512" t="s">
        <v>8551</v>
      </c>
      <c r="I2326" s="512" t="s">
        <v>9513</v>
      </c>
      <c r="L2326" s="505" t="s">
        <v>1233</v>
      </c>
      <c r="M2326" s="516">
        <v>26.53</v>
      </c>
      <c r="N2326" s="505" t="s">
        <v>1233</v>
      </c>
    </row>
    <row r="2327" spans="1:14" x14ac:dyDescent="0.25">
      <c r="A2327" s="505" t="s">
        <v>5921</v>
      </c>
      <c r="B2327" s="505" t="s">
        <v>5922</v>
      </c>
      <c r="C2327" s="512" t="s">
        <v>8534</v>
      </c>
      <c r="D2327" s="512" t="s">
        <v>395</v>
      </c>
      <c r="E2327" s="512" t="s">
        <v>9505</v>
      </c>
      <c r="F2327" s="512" t="s">
        <v>8859</v>
      </c>
      <c r="G2327" s="512" t="s">
        <v>9511</v>
      </c>
      <c r="H2327" s="512" t="s">
        <v>9514</v>
      </c>
      <c r="I2327" s="512" t="s">
        <v>9513</v>
      </c>
      <c r="L2327" s="505" t="s">
        <v>1233</v>
      </c>
      <c r="M2327" s="516">
        <v>26.53</v>
      </c>
      <c r="N2327" s="505" t="s">
        <v>1233</v>
      </c>
    </row>
    <row r="2328" spans="1:14" x14ac:dyDescent="0.25">
      <c r="A2328" s="505" t="s">
        <v>5923</v>
      </c>
      <c r="B2328" s="505" t="s">
        <v>5924</v>
      </c>
      <c r="C2328" s="512" t="s">
        <v>8534</v>
      </c>
      <c r="D2328" s="512" t="s">
        <v>395</v>
      </c>
      <c r="E2328" s="512" t="s">
        <v>9505</v>
      </c>
      <c r="F2328" s="512" t="s">
        <v>8859</v>
      </c>
      <c r="G2328" s="512" t="s">
        <v>9511</v>
      </c>
      <c r="H2328" s="512" t="s">
        <v>9515</v>
      </c>
      <c r="I2328" s="512" t="s">
        <v>9513</v>
      </c>
      <c r="L2328" s="505" t="s">
        <v>1233</v>
      </c>
      <c r="M2328" s="516">
        <v>26.53</v>
      </c>
      <c r="N2328" s="505" t="s">
        <v>1233</v>
      </c>
    </row>
    <row r="2329" spans="1:14" x14ac:dyDescent="0.25">
      <c r="A2329" s="505" t="s">
        <v>5925</v>
      </c>
      <c r="B2329" s="505" t="s">
        <v>5926</v>
      </c>
      <c r="C2329" s="512" t="s">
        <v>8534</v>
      </c>
      <c r="D2329" s="512" t="s">
        <v>395</v>
      </c>
      <c r="E2329" s="512" t="s">
        <v>9505</v>
      </c>
      <c r="F2329" s="512" t="s">
        <v>8859</v>
      </c>
      <c r="G2329" s="512" t="s">
        <v>9511</v>
      </c>
      <c r="H2329" s="512" t="s">
        <v>8547</v>
      </c>
      <c r="I2329" s="512" t="s">
        <v>8557</v>
      </c>
      <c r="J2329" s="505" t="s">
        <v>9513</v>
      </c>
      <c r="L2329" s="505" t="s">
        <v>1233</v>
      </c>
      <c r="M2329" s="516">
        <v>26.53</v>
      </c>
      <c r="N2329" s="505" t="s">
        <v>1233</v>
      </c>
    </row>
    <row r="2330" spans="1:14" x14ac:dyDescent="0.25">
      <c r="A2330" s="505" t="s">
        <v>5927</v>
      </c>
      <c r="B2330" s="505" t="s">
        <v>5928</v>
      </c>
      <c r="C2330" s="512" t="s">
        <v>8534</v>
      </c>
      <c r="D2330" s="512" t="s">
        <v>395</v>
      </c>
      <c r="E2330" s="512" t="s">
        <v>9505</v>
      </c>
      <c r="F2330" s="512" t="s">
        <v>8859</v>
      </c>
      <c r="G2330" s="512" t="s">
        <v>9511</v>
      </c>
      <c r="H2330" s="512" t="s">
        <v>8553</v>
      </c>
      <c r="I2330" s="512" t="s">
        <v>9513</v>
      </c>
      <c r="L2330" s="505" t="s">
        <v>1233</v>
      </c>
      <c r="M2330" s="516">
        <v>26.53</v>
      </c>
      <c r="N2330" s="505" t="s">
        <v>1233</v>
      </c>
    </row>
    <row r="2331" spans="1:14" x14ac:dyDescent="0.25">
      <c r="A2331" s="505" t="s">
        <v>5929</v>
      </c>
      <c r="B2331" s="505" t="s">
        <v>5930</v>
      </c>
      <c r="C2331" s="512" t="s">
        <v>8534</v>
      </c>
      <c r="D2331" s="512" t="s">
        <v>395</v>
      </c>
      <c r="E2331" s="512" t="s">
        <v>9505</v>
      </c>
      <c r="F2331" s="512" t="s">
        <v>8859</v>
      </c>
      <c r="G2331" s="512" t="s">
        <v>9511</v>
      </c>
      <c r="H2331" s="512" t="s">
        <v>8537</v>
      </c>
      <c r="I2331" s="512" t="s">
        <v>7934</v>
      </c>
      <c r="J2331" s="505" t="s">
        <v>9513</v>
      </c>
      <c r="L2331" s="505" t="s">
        <v>1233</v>
      </c>
      <c r="M2331" s="516">
        <v>26.53</v>
      </c>
      <c r="N2331" s="505" t="s">
        <v>1233</v>
      </c>
    </row>
    <row r="2332" spans="1:14" x14ac:dyDescent="0.25">
      <c r="A2332" s="505" t="s">
        <v>5931</v>
      </c>
      <c r="B2332" s="505" t="s">
        <v>5932</v>
      </c>
      <c r="C2332" s="512" t="s">
        <v>8534</v>
      </c>
      <c r="D2332" s="512" t="s">
        <v>395</v>
      </c>
      <c r="E2332" s="512" t="s">
        <v>9505</v>
      </c>
      <c r="F2332" s="512" t="s">
        <v>8859</v>
      </c>
      <c r="G2332" s="512" t="s">
        <v>9511</v>
      </c>
      <c r="H2332" s="512" t="s">
        <v>8537</v>
      </c>
      <c r="I2332" s="512" t="s">
        <v>9516</v>
      </c>
      <c r="J2332" s="505" t="s">
        <v>9513</v>
      </c>
      <c r="L2332" s="505" t="s">
        <v>1233</v>
      </c>
      <c r="M2332" s="516">
        <v>26.53</v>
      </c>
      <c r="N2332" s="505" t="s">
        <v>1233</v>
      </c>
    </row>
    <row r="2333" spans="1:14" x14ac:dyDescent="0.25">
      <c r="A2333" s="505" t="s">
        <v>5933</v>
      </c>
      <c r="B2333" s="505" t="s">
        <v>5934</v>
      </c>
      <c r="C2333" s="512" t="s">
        <v>8534</v>
      </c>
      <c r="D2333" s="512" t="s">
        <v>395</v>
      </c>
      <c r="E2333" s="512" t="s">
        <v>9505</v>
      </c>
      <c r="F2333" s="512" t="s">
        <v>8859</v>
      </c>
      <c r="G2333" s="512" t="s">
        <v>9511</v>
      </c>
      <c r="H2333" s="512" t="s">
        <v>8505</v>
      </c>
      <c r="I2333" s="512" t="s">
        <v>9513</v>
      </c>
      <c r="L2333" s="505" t="s">
        <v>1233</v>
      </c>
      <c r="M2333" s="516">
        <v>26.53</v>
      </c>
      <c r="N2333" s="505" t="s">
        <v>1233</v>
      </c>
    </row>
    <row r="2334" spans="1:14" x14ac:dyDescent="0.25">
      <c r="A2334" s="505" t="s">
        <v>5935</v>
      </c>
      <c r="B2334" s="505" t="s">
        <v>5936</v>
      </c>
      <c r="C2334" s="512" t="s">
        <v>8534</v>
      </c>
      <c r="D2334" s="512" t="s">
        <v>395</v>
      </c>
      <c r="E2334" s="512" t="s">
        <v>9505</v>
      </c>
      <c r="F2334" s="512" t="s">
        <v>8859</v>
      </c>
      <c r="G2334" s="512" t="s">
        <v>9511</v>
      </c>
      <c r="H2334" s="512" t="s">
        <v>522</v>
      </c>
      <c r="I2334" s="512" t="s">
        <v>9513</v>
      </c>
      <c r="L2334" s="505" t="s">
        <v>1233</v>
      </c>
      <c r="M2334" s="516">
        <v>26.53</v>
      </c>
      <c r="N2334" s="505" t="s">
        <v>1233</v>
      </c>
    </row>
    <row r="2335" spans="1:14" x14ac:dyDescent="0.25">
      <c r="A2335" s="505" t="s">
        <v>5937</v>
      </c>
      <c r="B2335" s="505" t="s">
        <v>5938</v>
      </c>
      <c r="C2335" s="512" t="s">
        <v>8534</v>
      </c>
      <c r="D2335" s="512" t="s">
        <v>395</v>
      </c>
      <c r="E2335" s="512" t="s">
        <v>9505</v>
      </c>
      <c r="F2335" s="512" t="s">
        <v>8859</v>
      </c>
      <c r="G2335" s="512" t="s">
        <v>9511</v>
      </c>
      <c r="H2335" s="512" t="s">
        <v>511</v>
      </c>
      <c r="I2335" s="512" t="s">
        <v>7471</v>
      </c>
      <c r="J2335" s="505" t="s">
        <v>9513</v>
      </c>
      <c r="L2335" s="505" t="s">
        <v>1233</v>
      </c>
      <c r="M2335" s="516">
        <v>26.53</v>
      </c>
      <c r="N2335" s="505" t="s">
        <v>1233</v>
      </c>
    </row>
    <row r="2336" spans="1:14" x14ac:dyDescent="0.25">
      <c r="A2336" s="505" t="s">
        <v>5939</v>
      </c>
      <c r="B2336" s="505" t="s">
        <v>5940</v>
      </c>
      <c r="C2336" s="512" t="s">
        <v>8534</v>
      </c>
      <c r="D2336" s="512" t="s">
        <v>8043</v>
      </c>
      <c r="E2336" s="512" t="s">
        <v>9517</v>
      </c>
      <c r="F2336" s="512" t="s">
        <v>1193</v>
      </c>
      <c r="G2336" s="512" t="s">
        <v>8037</v>
      </c>
      <c r="H2336" s="512" t="s">
        <v>148</v>
      </c>
      <c r="I2336" s="512" t="s">
        <v>8613</v>
      </c>
      <c r="L2336" s="505" t="s">
        <v>1233</v>
      </c>
      <c r="M2336" s="516">
        <v>32.119999999999997</v>
      </c>
      <c r="N2336" s="505" t="s">
        <v>1233</v>
      </c>
    </row>
    <row r="2337" spans="1:14" s="530" customFormat="1" x14ac:dyDescent="0.25">
      <c r="A2337" s="530" t="s">
        <v>5941</v>
      </c>
      <c r="B2337" s="530" t="s">
        <v>5942</v>
      </c>
      <c r="C2337" s="531" t="s">
        <v>8534</v>
      </c>
      <c r="D2337" s="531" t="s">
        <v>8043</v>
      </c>
      <c r="E2337" s="531" t="s">
        <v>9517</v>
      </c>
      <c r="F2337" s="531" t="s">
        <v>1193</v>
      </c>
      <c r="G2337" s="531" t="s">
        <v>8037</v>
      </c>
      <c r="H2337" s="531" t="s">
        <v>8551</v>
      </c>
      <c r="I2337" s="531" t="s">
        <v>8613</v>
      </c>
      <c r="L2337" s="530" t="s">
        <v>1233</v>
      </c>
      <c r="M2337" s="532">
        <v>0</v>
      </c>
      <c r="N2337" s="530" t="s">
        <v>1544</v>
      </c>
    </row>
    <row r="2338" spans="1:14" x14ac:dyDescent="0.25">
      <c r="A2338" s="505" t="s">
        <v>5943</v>
      </c>
      <c r="B2338" s="505" t="s">
        <v>5944</v>
      </c>
      <c r="C2338" s="512" t="s">
        <v>8534</v>
      </c>
      <c r="D2338" s="512" t="s">
        <v>9013</v>
      </c>
      <c r="E2338" s="512" t="s">
        <v>8547</v>
      </c>
      <c r="F2338" s="512" t="s">
        <v>7931</v>
      </c>
      <c r="G2338" s="512" t="s">
        <v>9518</v>
      </c>
      <c r="L2338" s="505" t="s">
        <v>1233</v>
      </c>
      <c r="M2338" s="516">
        <v>12.21</v>
      </c>
      <c r="N2338" s="505" t="s">
        <v>1233</v>
      </c>
    </row>
    <row r="2339" spans="1:14" x14ac:dyDescent="0.25">
      <c r="A2339" s="505" t="s">
        <v>5945</v>
      </c>
      <c r="B2339" s="505" t="s">
        <v>5946</v>
      </c>
      <c r="C2339" s="512" t="s">
        <v>8534</v>
      </c>
      <c r="D2339" s="512" t="s">
        <v>7822</v>
      </c>
      <c r="E2339" s="512" t="s">
        <v>9480</v>
      </c>
      <c r="F2339" s="512" t="s">
        <v>8859</v>
      </c>
      <c r="G2339" s="512" t="s">
        <v>9511</v>
      </c>
      <c r="H2339" s="512" t="s">
        <v>8537</v>
      </c>
      <c r="I2339" s="512" t="s">
        <v>7934</v>
      </c>
      <c r="J2339" s="505" t="s">
        <v>9519</v>
      </c>
      <c r="L2339" s="505" t="s">
        <v>1233</v>
      </c>
      <c r="M2339" s="516">
        <v>23.59</v>
      </c>
      <c r="N2339" s="505" t="s">
        <v>1233</v>
      </c>
    </row>
    <row r="2340" spans="1:14" x14ac:dyDescent="0.25">
      <c r="A2340" s="505" t="s">
        <v>5947</v>
      </c>
      <c r="B2340" s="505" t="s">
        <v>5948</v>
      </c>
      <c r="C2340" s="512" t="s">
        <v>8534</v>
      </c>
      <c r="D2340" s="512" t="s">
        <v>7827</v>
      </c>
      <c r="E2340" s="512" t="s">
        <v>8017</v>
      </c>
      <c r="F2340" s="512" t="s">
        <v>7782</v>
      </c>
      <c r="G2340" s="512" t="s">
        <v>8537</v>
      </c>
      <c r="H2340" s="512" t="s">
        <v>530</v>
      </c>
      <c r="I2340" s="512" t="s">
        <v>9520</v>
      </c>
      <c r="L2340" s="505" t="s">
        <v>1233</v>
      </c>
      <c r="M2340" s="516">
        <v>21.51</v>
      </c>
      <c r="N2340" s="505" t="s">
        <v>1233</v>
      </c>
    </row>
    <row r="2341" spans="1:14" x14ac:dyDescent="0.25">
      <c r="A2341" s="505" t="s">
        <v>5949</v>
      </c>
      <c r="B2341" s="505" t="s">
        <v>5950</v>
      </c>
      <c r="C2341" s="512" t="s">
        <v>8534</v>
      </c>
      <c r="D2341" s="512" t="s">
        <v>8862</v>
      </c>
      <c r="E2341" s="512" t="s">
        <v>7533</v>
      </c>
      <c r="F2341" s="512" t="s">
        <v>7719</v>
      </c>
      <c r="G2341" s="512" t="s">
        <v>8537</v>
      </c>
      <c r="H2341" s="512" t="s">
        <v>593</v>
      </c>
      <c r="I2341" s="512" t="s">
        <v>9521</v>
      </c>
      <c r="L2341" s="505" t="s">
        <v>1233</v>
      </c>
      <c r="M2341" s="516">
        <v>17.41</v>
      </c>
      <c r="N2341" s="505" t="s">
        <v>1233</v>
      </c>
    </row>
    <row r="2342" spans="1:14" x14ac:dyDescent="0.25">
      <c r="A2342" s="505" t="s">
        <v>5951</v>
      </c>
      <c r="B2342" s="505" t="s">
        <v>5952</v>
      </c>
      <c r="C2342" s="512" t="s">
        <v>8534</v>
      </c>
      <c r="D2342" s="512" t="s">
        <v>8862</v>
      </c>
      <c r="E2342" s="512" t="s">
        <v>7533</v>
      </c>
      <c r="F2342" s="512" t="s">
        <v>8556</v>
      </c>
      <c r="G2342" s="512" t="s">
        <v>7497</v>
      </c>
      <c r="H2342" s="512" t="s">
        <v>148</v>
      </c>
      <c r="I2342" s="512" t="s">
        <v>9521</v>
      </c>
      <c r="L2342" s="505" t="s">
        <v>1233</v>
      </c>
      <c r="M2342" s="516">
        <v>17.41</v>
      </c>
      <c r="N2342" s="505" t="s">
        <v>1233</v>
      </c>
    </row>
    <row r="2343" spans="1:14" x14ac:dyDescent="0.25">
      <c r="A2343" s="505" t="s">
        <v>5953</v>
      </c>
      <c r="B2343" s="505" t="s">
        <v>5954</v>
      </c>
      <c r="C2343" s="512" t="s">
        <v>8534</v>
      </c>
      <c r="D2343" s="512" t="s">
        <v>9522</v>
      </c>
      <c r="E2343" s="512" t="s">
        <v>7763</v>
      </c>
      <c r="F2343" s="512" t="s">
        <v>7918</v>
      </c>
      <c r="G2343" s="512" t="s">
        <v>7719</v>
      </c>
      <c r="H2343" s="512" t="s">
        <v>8547</v>
      </c>
      <c r="I2343" s="512" t="s">
        <v>593</v>
      </c>
      <c r="J2343" s="505" t="s">
        <v>9523</v>
      </c>
      <c r="L2343" s="505" t="s">
        <v>1233</v>
      </c>
      <c r="M2343" s="516">
        <v>16.600000000000001</v>
      </c>
      <c r="N2343" s="505" t="s">
        <v>1233</v>
      </c>
    </row>
    <row r="2344" spans="1:14" x14ac:dyDescent="0.25">
      <c r="A2344" s="505" t="s">
        <v>5955</v>
      </c>
      <c r="B2344" s="505" t="s">
        <v>5956</v>
      </c>
      <c r="C2344" s="512" t="s">
        <v>8534</v>
      </c>
      <c r="D2344" s="512" t="s">
        <v>9402</v>
      </c>
      <c r="E2344" s="512" t="s">
        <v>9403</v>
      </c>
      <c r="F2344" s="512" t="s">
        <v>9524</v>
      </c>
      <c r="G2344" s="512" t="s">
        <v>8336</v>
      </c>
      <c r="L2344" s="505" t="s">
        <v>114</v>
      </c>
      <c r="M2344" s="516">
        <v>20.5</v>
      </c>
      <c r="N2344" s="505" t="s">
        <v>114</v>
      </c>
    </row>
    <row r="2345" spans="1:14" x14ac:dyDescent="0.25">
      <c r="A2345" s="505" t="s">
        <v>5957</v>
      </c>
      <c r="B2345" s="505" t="s">
        <v>5958</v>
      </c>
      <c r="C2345" s="512" t="s">
        <v>8534</v>
      </c>
      <c r="D2345" s="512" t="s">
        <v>9402</v>
      </c>
      <c r="E2345" s="512" t="s">
        <v>9403</v>
      </c>
      <c r="F2345" s="512" t="s">
        <v>9524</v>
      </c>
      <c r="G2345" s="512" t="s">
        <v>472</v>
      </c>
      <c r="L2345" s="505" t="s">
        <v>114</v>
      </c>
      <c r="M2345" s="516">
        <v>20.5</v>
      </c>
      <c r="N2345" s="505" t="s">
        <v>114</v>
      </c>
    </row>
    <row r="2346" spans="1:14" s="530" customFormat="1" x14ac:dyDescent="0.25">
      <c r="A2346" s="530" t="s">
        <v>5959</v>
      </c>
      <c r="B2346" s="530" t="s">
        <v>5960</v>
      </c>
      <c r="C2346" s="531" t="s">
        <v>8534</v>
      </c>
      <c r="D2346" s="531" t="s">
        <v>9402</v>
      </c>
      <c r="E2346" s="531" t="s">
        <v>9403</v>
      </c>
      <c r="F2346" s="531" t="s">
        <v>9524</v>
      </c>
      <c r="G2346" s="531" t="s">
        <v>8551</v>
      </c>
      <c r="H2346" s="531"/>
      <c r="I2346" s="531"/>
      <c r="L2346" s="530" t="s">
        <v>114</v>
      </c>
      <c r="M2346" s="532">
        <v>0</v>
      </c>
      <c r="N2346" s="530" t="s">
        <v>1544</v>
      </c>
    </row>
    <row r="2347" spans="1:14" x14ac:dyDescent="0.25">
      <c r="A2347" s="505" t="s">
        <v>5961</v>
      </c>
      <c r="B2347" s="505" t="s">
        <v>5962</v>
      </c>
      <c r="C2347" s="512" t="s">
        <v>8534</v>
      </c>
      <c r="D2347" s="512" t="s">
        <v>9402</v>
      </c>
      <c r="E2347" s="512" t="s">
        <v>9403</v>
      </c>
      <c r="F2347" s="512" t="s">
        <v>9524</v>
      </c>
      <c r="G2347" s="512" t="s">
        <v>8547</v>
      </c>
      <c r="H2347" s="512" t="s">
        <v>7931</v>
      </c>
      <c r="L2347" s="505" t="s">
        <v>114</v>
      </c>
      <c r="M2347" s="516">
        <v>20.5</v>
      </c>
      <c r="N2347" s="505" t="s">
        <v>114</v>
      </c>
    </row>
    <row r="2348" spans="1:14" x14ac:dyDescent="0.25">
      <c r="A2348" s="505" t="s">
        <v>5963</v>
      </c>
      <c r="B2348" s="505" t="s">
        <v>5964</v>
      </c>
      <c r="C2348" s="512" t="s">
        <v>8534</v>
      </c>
      <c r="D2348" s="512" t="s">
        <v>9402</v>
      </c>
      <c r="E2348" s="512" t="s">
        <v>9403</v>
      </c>
      <c r="F2348" s="512" t="s">
        <v>9524</v>
      </c>
      <c r="G2348" s="512" t="s">
        <v>8553</v>
      </c>
      <c r="L2348" s="505" t="s">
        <v>114</v>
      </c>
      <c r="M2348" s="516">
        <v>20.5</v>
      </c>
      <c r="N2348" s="505" t="s">
        <v>114</v>
      </c>
    </row>
    <row r="2349" spans="1:14" s="530" customFormat="1" x14ac:dyDescent="0.25">
      <c r="A2349" s="530" t="s">
        <v>5965</v>
      </c>
      <c r="B2349" s="530" t="s">
        <v>5966</v>
      </c>
      <c r="C2349" s="531" t="s">
        <v>8534</v>
      </c>
      <c r="D2349" s="531" t="s">
        <v>9402</v>
      </c>
      <c r="E2349" s="531" t="s">
        <v>9403</v>
      </c>
      <c r="F2349" s="531" t="s">
        <v>9524</v>
      </c>
      <c r="G2349" s="531" t="s">
        <v>8547</v>
      </c>
      <c r="H2349" s="531" t="s">
        <v>593</v>
      </c>
      <c r="I2349" s="531"/>
      <c r="L2349" s="530" t="s">
        <v>114</v>
      </c>
      <c r="M2349" s="532">
        <v>0</v>
      </c>
      <c r="N2349" s="530" t="s">
        <v>1544</v>
      </c>
    </row>
    <row r="2350" spans="1:14" x14ac:dyDescent="0.25">
      <c r="A2350" s="505" t="s">
        <v>5967</v>
      </c>
      <c r="B2350" s="505" t="s">
        <v>5968</v>
      </c>
      <c r="C2350" s="512" t="s">
        <v>8534</v>
      </c>
      <c r="D2350" s="512" t="s">
        <v>9402</v>
      </c>
      <c r="E2350" s="512" t="s">
        <v>9403</v>
      </c>
      <c r="F2350" s="512" t="s">
        <v>9524</v>
      </c>
      <c r="G2350" s="512" t="s">
        <v>522</v>
      </c>
      <c r="L2350" s="505" t="s">
        <v>114</v>
      </c>
      <c r="M2350" s="516">
        <v>20.5</v>
      </c>
      <c r="N2350" s="505" t="s">
        <v>114</v>
      </c>
    </row>
    <row r="2351" spans="1:14" x14ac:dyDescent="0.25">
      <c r="A2351" s="505" t="s">
        <v>5969</v>
      </c>
      <c r="B2351" s="505" t="s">
        <v>5970</v>
      </c>
      <c r="C2351" s="512" t="s">
        <v>8534</v>
      </c>
      <c r="D2351" s="512" t="s">
        <v>9402</v>
      </c>
      <c r="E2351" s="512" t="s">
        <v>9403</v>
      </c>
      <c r="F2351" s="512" t="s">
        <v>9524</v>
      </c>
      <c r="G2351" s="512" t="s">
        <v>9422</v>
      </c>
      <c r="H2351" s="512" t="s">
        <v>9423</v>
      </c>
      <c r="I2351" s="512" t="s">
        <v>7577</v>
      </c>
      <c r="J2351" s="505" t="s">
        <v>9525</v>
      </c>
      <c r="L2351" s="505" t="s">
        <v>114</v>
      </c>
      <c r="M2351" s="516">
        <v>20.5</v>
      </c>
      <c r="N2351" s="505" t="s">
        <v>114</v>
      </c>
    </row>
    <row r="2352" spans="1:14" x14ac:dyDescent="0.25">
      <c r="A2352" s="505" t="s">
        <v>5971</v>
      </c>
      <c r="B2352" s="505" t="s">
        <v>5972</v>
      </c>
      <c r="C2352" s="512" t="s">
        <v>7847</v>
      </c>
      <c r="D2352" s="512" t="s">
        <v>7848</v>
      </c>
      <c r="E2352" s="512" t="s">
        <v>9526</v>
      </c>
      <c r="F2352" s="512" t="s">
        <v>9527</v>
      </c>
      <c r="G2352" s="512" t="s">
        <v>8570</v>
      </c>
      <c r="H2352" s="512" t="s">
        <v>9528</v>
      </c>
      <c r="L2352" s="505" t="s">
        <v>1233</v>
      </c>
      <c r="M2352" s="516">
        <v>2.1</v>
      </c>
      <c r="N2352" s="505" t="s">
        <v>1233</v>
      </c>
    </row>
    <row r="2353" spans="1:14" x14ac:dyDescent="0.25">
      <c r="A2353" s="505" t="s">
        <v>5973</v>
      </c>
      <c r="B2353" s="505" t="s">
        <v>5974</v>
      </c>
      <c r="C2353" s="512" t="s">
        <v>7847</v>
      </c>
      <c r="D2353" s="512" t="s">
        <v>7848</v>
      </c>
      <c r="E2353" s="512" t="s">
        <v>9526</v>
      </c>
      <c r="F2353" s="512" t="s">
        <v>9527</v>
      </c>
      <c r="G2353" s="512" t="s">
        <v>8570</v>
      </c>
      <c r="H2353" s="512" t="s">
        <v>8568</v>
      </c>
      <c r="L2353" s="505" t="s">
        <v>1233</v>
      </c>
      <c r="M2353" s="516">
        <v>2.1</v>
      </c>
      <c r="N2353" s="505" t="s">
        <v>1233</v>
      </c>
    </row>
    <row r="2354" spans="1:14" x14ac:dyDescent="0.25">
      <c r="A2354" s="505" t="s">
        <v>5975</v>
      </c>
      <c r="B2354" s="505" t="s">
        <v>5976</v>
      </c>
      <c r="C2354" s="512" t="s">
        <v>7847</v>
      </c>
      <c r="D2354" s="512" t="s">
        <v>7848</v>
      </c>
      <c r="E2354" s="512" t="s">
        <v>9526</v>
      </c>
      <c r="F2354" s="512" t="s">
        <v>9527</v>
      </c>
      <c r="G2354" s="512" t="s">
        <v>8043</v>
      </c>
      <c r="H2354" s="512" t="s">
        <v>9529</v>
      </c>
      <c r="L2354" s="505" t="s">
        <v>1233</v>
      </c>
      <c r="M2354" s="516">
        <v>2</v>
      </c>
      <c r="N2354" s="505" t="s">
        <v>1233</v>
      </c>
    </row>
    <row r="2355" spans="1:14" x14ac:dyDescent="0.25">
      <c r="A2355" s="505" t="s">
        <v>5977</v>
      </c>
      <c r="B2355" s="505" t="s">
        <v>5978</v>
      </c>
      <c r="C2355" s="512" t="s">
        <v>7847</v>
      </c>
      <c r="D2355" s="512" t="s">
        <v>7848</v>
      </c>
      <c r="E2355" s="512" t="s">
        <v>9526</v>
      </c>
      <c r="F2355" s="512" t="s">
        <v>9527</v>
      </c>
      <c r="G2355" s="512" t="s">
        <v>8043</v>
      </c>
      <c r="H2355" s="512" t="s">
        <v>148</v>
      </c>
      <c r="L2355" s="505" t="s">
        <v>1233</v>
      </c>
      <c r="M2355" s="516">
        <v>2</v>
      </c>
      <c r="N2355" s="505" t="s">
        <v>1233</v>
      </c>
    </row>
    <row r="2356" spans="1:14" x14ac:dyDescent="0.25">
      <c r="A2356" s="505" t="s">
        <v>5979</v>
      </c>
      <c r="B2356" s="505" t="s">
        <v>5980</v>
      </c>
      <c r="C2356" s="512" t="s">
        <v>7847</v>
      </c>
      <c r="D2356" s="512" t="s">
        <v>7848</v>
      </c>
      <c r="E2356" s="512" t="s">
        <v>9526</v>
      </c>
      <c r="F2356" s="512" t="s">
        <v>9527</v>
      </c>
      <c r="G2356" s="512" t="s">
        <v>8043</v>
      </c>
      <c r="H2356" s="512" t="s">
        <v>9368</v>
      </c>
      <c r="L2356" s="505" t="s">
        <v>1233</v>
      </c>
      <c r="M2356" s="516">
        <v>2</v>
      </c>
      <c r="N2356" s="505" t="s">
        <v>1233</v>
      </c>
    </row>
    <row r="2357" spans="1:14" x14ac:dyDescent="0.25">
      <c r="A2357" s="505" t="s">
        <v>5981</v>
      </c>
      <c r="B2357" s="505" t="s">
        <v>5982</v>
      </c>
      <c r="C2357" s="512" t="s">
        <v>7847</v>
      </c>
      <c r="D2357" s="512" t="s">
        <v>7848</v>
      </c>
      <c r="E2357" s="512" t="s">
        <v>9526</v>
      </c>
      <c r="F2357" s="512" t="s">
        <v>9527</v>
      </c>
      <c r="G2357" s="512" t="s">
        <v>8043</v>
      </c>
      <c r="H2357" s="512" t="s">
        <v>8564</v>
      </c>
      <c r="L2357" s="505" t="s">
        <v>1233</v>
      </c>
      <c r="M2357" s="516">
        <v>2</v>
      </c>
      <c r="N2357" s="505" t="s">
        <v>1233</v>
      </c>
    </row>
    <row r="2358" spans="1:14" x14ac:dyDescent="0.25">
      <c r="A2358" s="505" t="s">
        <v>5983</v>
      </c>
      <c r="B2358" s="505" t="s">
        <v>5984</v>
      </c>
      <c r="C2358" s="512" t="s">
        <v>7847</v>
      </c>
      <c r="D2358" s="512" t="s">
        <v>7848</v>
      </c>
      <c r="E2358" s="512" t="s">
        <v>9526</v>
      </c>
      <c r="F2358" s="512" t="s">
        <v>9527</v>
      </c>
      <c r="G2358" s="512" t="s">
        <v>8043</v>
      </c>
      <c r="H2358" s="512" t="s">
        <v>524</v>
      </c>
      <c r="L2358" s="505" t="s">
        <v>1233</v>
      </c>
      <c r="M2358" s="516">
        <v>2</v>
      </c>
      <c r="N2358" s="505" t="s">
        <v>1233</v>
      </c>
    </row>
    <row r="2359" spans="1:14" x14ac:dyDescent="0.25">
      <c r="A2359" s="505" t="s">
        <v>5985</v>
      </c>
      <c r="B2359" s="505" t="s">
        <v>5986</v>
      </c>
      <c r="C2359" s="512" t="s">
        <v>7847</v>
      </c>
      <c r="D2359" s="512" t="s">
        <v>7848</v>
      </c>
      <c r="E2359" s="512" t="s">
        <v>9526</v>
      </c>
      <c r="F2359" s="512" t="s">
        <v>9527</v>
      </c>
      <c r="G2359" s="512" t="s">
        <v>8043</v>
      </c>
      <c r="H2359" s="512" t="s">
        <v>7531</v>
      </c>
      <c r="I2359" s="512" t="s">
        <v>8565</v>
      </c>
      <c r="L2359" s="505" t="s">
        <v>1233</v>
      </c>
      <c r="M2359" s="516">
        <v>2</v>
      </c>
      <c r="N2359" s="505" t="s">
        <v>1233</v>
      </c>
    </row>
    <row r="2360" spans="1:14" x14ac:dyDescent="0.25">
      <c r="A2360" s="505" t="s">
        <v>5987</v>
      </c>
      <c r="B2360" s="505" t="s">
        <v>5988</v>
      </c>
      <c r="C2360" s="512" t="s">
        <v>7847</v>
      </c>
      <c r="D2360" s="512" t="s">
        <v>7848</v>
      </c>
      <c r="E2360" s="512" t="s">
        <v>9526</v>
      </c>
      <c r="F2360" s="512" t="s">
        <v>9527</v>
      </c>
      <c r="G2360" s="512" t="s">
        <v>8043</v>
      </c>
      <c r="H2360" s="512" t="s">
        <v>510</v>
      </c>
      <c r="L2360" s="505" t="s">
        <v>1233</v>
      </c>
      <c r="M2360" s="516">
        <v>2</v>
      </c>
      <c r="N2360" s="505" t="s">
        <v>1233</v>
      </c>
    </row>
    <row r="2361" spans="1:14" x14ac:dyDescent="0.25">
      <c r="A2361" s="505" t="s">
        <v>5989</v>
      </c>
      <c r="B2361" s="505" t="s">
        <v>5990</v>
      </c>
      <c r="C2361" s="512" t="s">
        <v>7847</v>
      </c>
      <c r="D2361" s="512" t="s">
        <v>7848</v>
      </c>
      <c r="E2361" s="512" t="s">
        <v>9526</v>
      </c>
      <c r="F2361" s="512" t="s">
        <v>9527</v>
      </c>
      <c r="G2361" s="512" t="s">
        <v>8043</v>
      </c>
      <c r="H2361" s="512" t="s">
        <v>8567</v>
      </c>
      <c r="L2361" s="505" t="s">
        <v>1233</v>
      </c>
      <c r="M2361" s="516">
        <v>2</v>
      </c>
      <c r="N2361" s="505" t="s">
        <v>1233</v>
      </c>
    </row>
    <row r="2362" spans="1:14" x14ac:dyDescent="0.25">
      <c r="A2362" s="505" t="s">
        <v>5991</v>
      </c>
      <c r="B2362" s="505" t="s">
        <v>5992</v>
      </c>
      <c r="C2362" s="512" t="s">
        <v>7847</v>
      </c>
      <c r="D2362" s="512" t="s">
        <v>7848</v>
      </c>
      <c r="E2362" s="512" t="s">
        <v>9526</v>
      </c>
      <c r="F2362" s="512" t="s">
        <v>9527</v>
      </c>
      <c r="G2362" s="512" t="s">
        <v>8043</v>
      </c>
      <c r="H2362" s="512" t="s">
        <v>7499</v>
      </c>
      <c r="L2362" s="505" t="s">
        <v>1233</v>
      </c>
      <c r="M2362" s="516">
        <v>2</v>
      </c>
      <c r="N2362" s="505" t="s">
        <v>1233</v>
      </c>
    </row>
    <row r="2363" spans="1:14" x14ac:dyDescent="0.25">
      <c r="A2363" s="505" t="s">
        <v>5993</v>
      </c>
      <c r="B2363" s="505" t="s">
        <v>5994</v>
      </c>
      <c r="C2363" s="512" t="s">
        <v>7847</v>
      </c>
      <c r="D2363" s="512" t="s">
        <v>7848</v>
      </c>
      <c r="E2363" s="512" t="s">
        <v>9526</v>
      </c>
      <c r="F2363" s="512" t="s">
        <v>9527</v>
      </c>
      <c r="G2363" s="512" t="s">
        <v>8043</v>
      </c>
      <c r="H2363" s="512" t="s">
        <v>9530</v>
      </c>
      <c r="L2363" s="505" t="s">
        <v>1233</v>
      </c>
      <c r="M2363" s="516">
        <v>2</v>
      </c>
      <c r="N2363" s="505" t="s">
        <v>1233</v>
      </c>
    </row>
    <row r="2364" spans="1:14" x14ac:dyDescent="0.25">
      <c r="A2364" s="505" t="s">
        <v>5995</v>
      </c>
      <c r="B2364" s="505" t="s">
        <v>5996</v>
      </c>
      <c r="C2364" s="512" t="s">
        <v>7847</v>
      </c>
      <c r="D2364" s="512" t="s">
        <v>7848</v>
      </c>
      <c r="E2364" s="512" t="s">
        <v>9526</v>
      </c>
      <c r="F2364" s="512" t="s">
        <v>9527</v>
      </c>
      <c r="G2364" s="512" t="s">
        <v>8043</v>
      </c>
      <c r="H2364" s="512" t="s">
        <v>9531</v>
      </c>
      <c r="L2364" s="505" t="s">
        <v>1233</v>
      </c>
      <c r="M2364" s="516">
        <v>2</v>
      </c>
      <c r="N2364" s="505" t="s">
        <v>1233</v>
      </c>
    </row>
    <row r="2365" spans="1:14" x14ac:dyDescent="0.25">
      <c r="A2365" s="505" t="s">
        <v>5997</v>
      </c>
      <c r="B2365" s="505" t="s">
        <v>5998</v>
      </c>
      <c r="C2365" s="512" t="s">
        <v>7847</v>
      </c>
      <c r="D2365" s="512" t="s">
        <v>7848</v>
      </c>
      <c r="E2365" s="512" t="s">
        <v>9526</v>
      </c>
      <c r="F2365" s="512" t="s">
        <v>9527</v>
      </c>
      <c r="G2365" s="512" t="s">
        <v>8043</v>
      </c>
      <c r="H2365" s="512" t="s">
        <v>522</v>
      </c>
      <c r="L2365" s="505" t="s">
        <v>1233</v>
      </c>
      <c r="M2365" s="516">
        <v>2</v>
      </c>
      <c r="N2365" s="505" t="s">
        <v>1233</v>
      </c>
    </row>
    <row r="2366" spans="1:14" x14ac:dyDescent="0.25">
      <c r="A2366" s="505" t="s">
        <v>5999</v>
      </c>
      <c r="B2366" s="505" t="s">
        <v>6000</v>
      </c>
      <c r="C2366" s="512" t="s">
        <v>7847</v>
      </c>
      <c r="D2366" s="512" t="s">
        <v>7848</v>
      </c>
      <c r="E2366" s="512" t="s">
        <v>9526</v>
      </c>
      <c r="F2366" s="512" t="s">
        <v>9527</v>
      </c>
      <c r="G2366" s="512" t="s">
        <v>8043</v>
      </c>
      <c r="H2366" s="512" t="s">
        <v>511</v>
      </c>
      <c r="L2366" s="505" t="s">
        <v>1233</v>
      </c>
      <c r="M2366" s="516">
        <v>2</v>
      </c>
      <c r="N2366" s="505" t="s">
        <v>1233</v>
      </c>
    </row>
    <row r="2367" spans="1:14" x14ac:dyDescent="0.25">
      <c r="A2367" s="505" t="s">
        <v>6001</v>
      </c>
      <c r="B2367" s="505" t="s">
        <v>6002</v>
      </c>
      <c r="C2367" s="512" t="s">
        <v>7847</v>
      </c>
      <c r="D2367" s="512" t="s">
        <v>7848</v>
      </c>
      <c r="E2367" s="512" t="s">
        <v>9526</v>
      </c>
      <c r="F2367" s="512" t="s">
        <v>9527</v>
      </c>
      <c r="G2367" s="512" t="s">
        <v>8043</v>
      </c>
      <c r="H2367" s="512" t="s">
        <v>9532</v>
      </c>
      <c r="L2367" s="505" t="s">
        <v>1233</v>
      </c>
      <c r="M2367" s="516">
        <v>2</v>
      </c>
      <c r="N2367" s="505" t="s">
        <v>1233</v>
      </c>
    </row>
    <row r="2368" spans="1:14" s="530" customFormat="1" x14ac:dyDescent="0.25">
      <c r="A2368" s="530" t="s">
        <v>6003</v>
      </c>
      <c r="B2368" s="530" t="s">
        <v>6004</v>
      </c>
      <c r="C2368" s="531" t="s">
        <v>7847</v>
      </c>
      <c r="D2368" s="531" t="s">
        <v>9402</v>
      </c>
      <c r="E2368" s="531" t="s">
        <v>8696</v>
      </c>
      <c r="F2368" s="531" t="s">
        <v>156</v>
      </c>
      <c r="G2368" s="531">
        <v>9.6</v>
      </c>
      <c r="H2368" s="531" t="s">
        <v>9190</v>
      </c>
      <c r="I2368" s="531" t="s">
        <v>7850</v>
      </c>
      <c r="L2368" s="530" t="s">
        <v>2854</v>
      </c>
      <c r="M2368" s="532">
        <v>0</v>
      </c>
      <c r="N2368" s="530" t="s">
        <v>1544</v>
      </c>
    </row>
    <row r="2369" spans="1:14" s="530" customFormat="1" x14ac:dyDescent="0.25">
      <c r="A2369" s="530" t="s">
        <v>6005</v>
      </c>
      <c r="B2369" s="530" t="s">
        <v>6006</v>
      </c>
      <c r="C2369" s="531" t="s">
        <v>7847</v>
      </c>
      <c r="D2369" s="531" t="s">
        <v>9402</v>
      </c>
      <c r="E2369" s="531" t="s">
        <v>9403</v>
      </c>
      <c r="F2369" s="531" t="s">
        <v>156</v>
      </c>
      <c r="G2369" s="531">
        <v>9.6</v>
      </c>
      <c r="H2369" s="531" t="s">
        <v>9190</v>
      </c>
      <c r="I2369" s="531" t="s">
        <v>7950</v>
      </c>
      <c r="J2369" s="530" t="s">
        <v>363</v>
      </c>
      <c r="L2369" s="530" t="s">
        <v>2854</v>
      </c>
      <c r="M2369" s="532">
        <v>0</v>
      </c>
      <c r="N2369" s="530" t="s">
        <v>1544</v>
      </c>
    </row>
    <row r="2370" spans="1:14" x14ac:dyDescent="0.25">
      <c r="A2370" s="505" t="s">
        <v>6007</v>
      </c>
      <c r="B2370" s="505" t="s">
        <v>6008</v>
      </c>
      <c r="C2370" s="512" t="s">
        <v>8371</v>
      </c>
      <c r="D2370" s="512" t="s">
        <v>9461</v>
      </c>
      <c r="E2370" s="512" t="s">
        <v>7797</v>
      </c>
      <c r="F2370" s="512" t="s">
        <v>7736</v>
      </c>
      <c r="G2370" s="512" t="s">
        <v>8676</v>
      </c>
      <c r="H2370" s="512" t="s">
        <v>9533</v>
      </c>
      <c r="I2370" s="512" t="s">
        <v>9534</v>
      </c>
      <c r="J2370" s="505" t="s">
        <v>9535</v>
      </c>
      <c r="L2370" s="505" t="s">
        <v>1233</v>
      </c>
      <c r="M2370" s="516">
        <v>93.79</v>
      </c>
      <c r="N2370" s="505" t="s">
        <v>1233</v>
      </c>
    </row>
    <row r="2371" spans="1:14" s="530" customFormat="1" x14ac:dyDescent="0.25">
      <c r="A2371" s="530" t="s">
        <v>6009</v>
      </c>
      <c r="B2371" s="530" t="s">
        <v>6010</v>
      </c>
      <c r="C2371" s="531" t="s">
        <v>8371</v>
      </c>
      <c r="D2371" s="531" t="s">
        <v>7585</v>
      </c>
      <c r="E2371" s="531" t="s">
        <v>7782</v>
      </c>
      <c r="F2371" s="531" t="s">
        <v>9468</v>
      </c>
      <c r="G2371" s="531" t="s">
        <v>9536</v>
      </c>
      <c r="H2371" s="531" t="s">
        <v>7949</v>
      </c>
      <c r="I2371" s="531" t="s">
        <v>9537</v>
      </c>
      <c r="L2371" s="530" t="s">
        <v>1233</v>
      </c>
      <c r="M2371" s="532">
        <v>0</v>
      </c>
      <c r="N2371" s="530" t="s">
        <v>1544</v>
      </c>
    </row>
    <row r="2372" spans="1:14" x14ac:dyDescent="0.25">
      <c r="A2372" s="505" t="s">
        <v>6011</v>
      </c>
      <c r="B2372" s="505" t="s">
        <v>6012</v>
      </c>
      <c r="C2372" s="512" t="s">
        <v>8371</v>
      </c>
      <c r="D2372" s="512" t="s">
        <v>9461</v>
      </c>
      <c r="E2372" s="512" t="s">
        <v>7797</v>
      </c>
      <c r="F2372" s="512" t="s">
        <v>9538</v>
      </c>
      <c r="G2372" s="512" t="s">
        <v>9539</v>
      </c>
      <c r="H2372" s="512" t="s">
        <v>9535</v>
      </c>
      <c r="L2372" s="505" t="s">
        <v>1233</v>
      </c>
      <c r="M2372" s="516">
        <v>15.63</v>
      </c>
      <c r="N2372" s="505" t="s">
        <v>1233</v>
      </c>
    </row>
    <row r="2373" spans="1:14" x14ac:dyDescent="0.25">
      <c r="A2373" s="505" t="s">
        <v>6013</v>
      </c>
      <c r="B2373" s="505" t="s">
        <v>6014</v>
      </c>
      <c r="C2373" s="512" t="s">
        <v>8371</v>
      </c>
      <c r="D2373" s="512" t="s">
        <v>9461</v>
      </c>
      <c r="E2373" s="512" t="s">
        <v>7797</v>
      </c>
      <c r="F2373" s="512" t="s">
        <v>9538</v>
      </c>
      <c r="G2373" s="512" t="s">
        <v>9540</v>
      </c>
      <c r="H2373" s="512" t="s">
        <v>9535</v>
      </c>
      <c r="L2373" s="505" t="s">
        <v>1233</v>
      </c>
      <c r="M2373" s="516">
        <v>64.86</v>
      </c>
      <c r="N2373" s="505" t="s">
        <v>1233</v>
      </c>
    </row>
    <row r="2374" spans="1:14" x14ac:dyDescent="0.25">
      <c r="A2374" s="505" t="s">
        <v>6015</v>
      </c>
      <c r="B2374" s="505" t="s">
        <v>6016</v>
      </c>
      <c r="C2374" s="512" t="s">
        <v>8371</v>
      </c>
      <c r="D2374" s="512" t="s">
        <v>9461</v>
      </c>
      <c r="E2374" s="512" t="s">
        <v>7797</v>
      </c>
      <c r="F2374" s="512" t="s">
        <v>9541</v>
      </c>
      <c r="G2374" s="512" t="s">
        <v>8676</v>
      </c>
      <c r="H2374" s="512" t="s">
        <v>7742</v>
      </c>
      <c r="L2374" s="505" t="s">
        <v>1233</v>
      </c>
      <c r="M2374" s="516">
        <v>12.76</v>
      </c>
      <c r="N2374" s="505" t="s">
        <v>1233</v>
      </c>
    </row>
    <row r="2375" spans="1:14" x14ac:dyDescent="0.25">
      <c r="A2375" s="505" t="s">
        <v>6017</v>
      </c>
      <c r="B2375" s="505" t="s">
        <v>6018</v>
      </c>
      <c r="C2375" s="512" t="s">
        <v>8371</v>
      </c>
      <c r="D2375" s="512" t="s">
        <v>9461</v>
      </c>
      <c r="E2375" s="512" t="s">
        <v>7797</v>
      </c>
      <c r="F2375" s="512" t="s">
        <v>9542</v>
      </c>
      <c r="G2375" s="512" t="s">
        <v>8676</v>
      </c>
      <c r="H2375" s="512" t="s">
        <v>7719</v>
      </c>
      <c r="L2375" s="505" t="s">
        <v>1233</v>
      </c>
      <c r="M2375" s="516">
        <v>19.38</v>
      </c>
      <c r="N2375" s="505" t="s">
        <v>1233</v>
      </c>
    </row>
    <row r="2376" spans="1:14" x14ac:dyDescent="0.25">
      <c r="A2376" s="505" t="s">
        <v>6019</v>
      </c>
      <c r="B2376" s="505" t="s">
        <v>6020</v>
      </c>
      <c r="C2376" s="512" t="s">
        <v>8371</v>
      </c>
      <c r="D2376" s="512" t="s">
        <v>7585</v>
      </c>
      <c r="E2376" s="512" t="s">
        <v>7782</v>
      </c>
      <c r="F2376" s="512" t="s">
        <v>9468</v>
      </c>
      <c r="G2376" s="512" t="s">
        <v>7949</v>
      </c>
      <c r="H2376" s="512" t="s">
        <v>9537</v>
      </c>
      <c r="I2376" s="512" t="s">
        <v>9543</v>
      </c>
      <c r="J2376" s="505" t="s">
        <v>8528</v>
      </c>
      <c r="L2376" s="505" t="s">
        <v>1233</v>
      </c>
      <c r="M2376" s="516">
        <v>10.97</v>
      </c>
      <c r="N2376" s="505" t="s">
        <v>1233</v>
      </c>
    </row>
    <row r="2377" spans="1:14" x14ac:dyDescent="0.25">
      <c r="A2377" s="505" t="s">
        <v>6021</v>
      </c>
      <c r="B2377" s="505" t="s">
        <v>6022</v>
      </c>
      <c r="C2377" s="512" t="s">
        <v>8371</v>
      </c>
      <c r="D2377" s="512" t="s">
        <v>7585</v>
      </c>
      <c r="E2377" s="512" t="s">
        <v>7782</v>
      </c>
      <c r="F2377" s="512" t="s">
        <v>7949</v>
      </c>
      <c r="G2377" s="512" t="s">
        <v>9537</v>
      </c>
      <c r="H2377" s="512" t="s">
        <v>8481</v>
      </c>
      <c r="I2377" s="512" t="s">
        <v>8382</v>
      </c>
      <c r="L2377" s="505" t="s">
        <v>1233</v>
      </c>
      <c r="M2377" s="516">
        <v>8.26</v>
      </c>
      <c r="N2377" s="505" t="s">
        <v>1233</v>
      </c>
    </row>
    <row r="2378" spans="1:14" x14ac:dyDescent="0.25">
      <c r="A2378" s="505" t="s">
        <v>6023</v>
      </c>
      <c r="B2378" s="505" t="s">
        <v>6024</v>
      </c>
      <c r="C2378" s="512" t="s">
        <v>9544</v>
      </c>
      <c r="D2378" s="512" t="s">
        <v>9545</v>
      </c>
      <c r="E2378" s="512" t="s">
        <v>9546</v>
      </c>
      <c r="F2378" s="512" t="s">
        <v>7917</v>
      </c>
      <c r="G2378" s="512" t="s">
        <v>511</v>
      </c>
      <c r="L2378" s="505" t="s">
        <v>1233</v>
      </c>
      <c r="M2378" s="516">
        <v>15.7</v>
      </c>
      <c r="N2378" s="505" t="s">
        <v>1233</v>
      </c>
    </row>
    <row r="2379" spans="1:14" s="530" customFormat="1" x14ac:dyDescent="0.25">
      <c r="A2379" s="530" t="s">
        <v>6025</v>
      </c>
      <c r="B2379" s="530" t="s">
        <v>6026</v>
      </c>
      <c r="C2379" s="531" t="s">
        <v>7919</v>
      </c>
      <c r="D2379" s="531" t="s">
        <v>9547</v>
      </c>
      <c r="E2379" s="531" t="s">
        <v>8407</v>
      </c>
      <c r="F2379" s="531" t="s">
        <v>8955</v>
      </c>
      <c r="G2379" s="531" t="s">
        <v>9548</v>
      </c>
      <c r="H2379" s="531" t="s">
        <v>7742</v>
      </c>
      <c r="I2379" s="531"/>
      <c r="L2379" s="530" t="s">
        <v>1233</v>
      </c>
      <c r="M2379" s="532">
        <v>0</v>
      </c>
      <c r="N2379" s="530" t="s">
        <v>1544</v>
      </c>
    </row>
    <row r="2380" spans="1:14" x14ac:dyDescent="0.25">
      <c r="A2380" s="505" t="s">
        <v>6027</v>
      </c>
      <c r="B2380" s="505" t="s">
        <v>6028</v>
      </c>
      <c r="C2380" s="512" t="s">
        <v>8371</v>
      </c>
      <c r="D2380" s="512" t="s">
        <v>7585</v>
      </c>
      <c r="E2380" s="512" t="s">
        <v>7782</v>
      </c>
      <c r="F2380" s="512" t="s">
        <v>9468</v>
      </c>
      <c r="G2380" s="512" t="s">
        <v>9549</v>
      </c>
      <c r="H2380" s="512" t="s">
        <v>9537</v>
      </c>
      <c r="I2380" s="512" t="s">
        <v>9543</v>
      </c>
      <c r="J2380" s="505" t="s">
        <v>8493</v>
      </c>
      <c r="L2380" s="505" t="s">
        <v>1233</v>
      </c>
      <c r="M2380" s="516">
        <v>10.49</v>
      </c>
      <c r="N2380" s="505" t="s">
        <v>1233</v>
      </c>
    </row>
    <row r="2381" spans="1:14" x14ac:dyDescent="0.25">
      <c r="A2381" s="505" t="s">
        <v>6029</v>
      </c>
      <c r="B2381" s="505" t="s">
        <v>6030</v>
      </c>
      <c r="C2381" s="512" t="s">
        <v>9550</v>
      </c>
      <c r="D2381" s="512" t="s">
        <v>9551</v>
      </c>
      <c r="E2381" s="512" t="s">
        <v>8587</v>
      </c>
      <c r="F2381" s="512" t="s">
        <v>9552</v>
      </c>
      <c r="G2381" s="512" t="s">
        <v>9383</v>
      </c>
      <c r="H2381" s="512">
        <v>0</v>
      </c>
      <c r="L2381" s="505" t="s">
        <v>1233</v>
      </c>
      <c r="M2381" s="516">
        <v>12.19</v>
      </c>
      <c r="N2381" s="505" t="s">
        <v>1233</v>
      </c>
    </row>
    <row r="2382" spans="1:14" x14ac:dyDescent="0.25">
      <c r="A2382" s="505" t="s">
        <v>6031</v>
      </c>
      <c r="B2382" s="505" t="s">
        <v>6032</v>
      </c>
      <c r="C2382" s="512" t="s">
        <v>9550</v>
      </c>
      <c r="D2382" s="512" t="s">
        <v>9551</v>
      </c>
      <c r="E2382" s="512" t="s">
        <v>8587</v>
      </c>
      <c r="F2382" s="512" t="s">
        <v>9552</v>
      </c>
      <c r="G2382" s="512" t="s">
        <v>9383</v>
      </c>
      <c r="H2382" s="512">
        <v>2</v>
      </c>
      <c r="L2382" s="505" t="s">
        <v>114</v>
      </c>
      <c r="M2382" s="516">
        <v>14.78</v>
      </c>
      <c r="N2382" s="505" t="s">
        <v>114</v>
      </c>
    </row>
    <row r="2383" spans="1:14" x14ac:dyDescent="0.25">
      <c r="A2383" s="505" t="s">
        <v>6033</v>
      </c>
      <c r="B2383" s="505" t="s">
        <v>6034</v>
      </c>
      <c r="C2383" s="512" t="s">
        <v>9553</v>
      </c>
      <c r="D2383" s="512" t="s">
        <v>9554</v>
      </c>
      <c r="E2383" s="512" t="s">
        <v>9555</v>
      </c>
      <c r="F2383" s="512" t="s">
        <v>8955</v>
      </c>
      <c r="G2383" s="512" t="s">
        <v>9556</v>
      </c>
      <c r="L2383" s="505" t="s">
        <v>1233</v>
      </c>
      <c r="M2383" s="516">
        <v>60.74</v>
      </c>
      <c r="N2383" s="505" t="s">
        <v>1233</v>
      </c>
    </row>
    <row r="2384" spans="1:14" x14ac:dyDescent="0.25">
      <c r="A2384" s="505" t="s">
        <v>6035</v>
      </c>
      <c r="B2384" s="505" t="s">
        <v>6036</v>
      </c>
      <c r="C2384" s="512" t="s">
        <v>9553</v>
      </c>
      <c r="D2384" s="512" t="s">
        <v>9554</v>
      </c>
      <c r="E2384" s="512" t="s">
        <v>8460</v>
      </c>
      <c r="F2384" s="512" t="s">
        <v>7797</v>
      </c>
      <c r="G2384" s="512" t="s">
        <v>9557</v>
      </c>
      <c r="L2384" s="505" t="s">
        <v>1233</v>
      </c>
      <c r="M2384" s="516">
        <v>46.25</v>
      </c>
      <c r="N2384" s="505" t="s">
        <v>1233</v>
      </c>
    </row>
    <row r="2385" spans="1:14" x14ac:dyDescent="0.25">
      <c r="A2385" s="505" t="s">
        <v>6037</v>
      </c>
      <c r="B2385" s="505" t="s">
        <v>6038</v>
      </c>
      <c r="C2385" s="512" t="s">
        <v>9553</v>
      </c>
      <c r="D2385" s="512" t="s">
        <v>9554</v>
      </c>
      <c r="E2385" s="512" t="s">
        <v>8460</v>
      </c>
      <c r="F2385" s="512" t="s">
        <v>7797</v>
      </c>
      <c r="G2385" s="512" t="s">
        <v>9558</v>
      </c>
      <c r="L2385" s="505" t="s">
        <v>1233</v>
      </c>
      <c r="M2385" s="516">
        <v>57.06</v>
      </c>
      <c r="N2385" s="505" t="s">
        <v>1233</v>
      </c>
    </row>
    <row r="2386" spans="1:14" x14ac:dyDescent="0.25">
      <c r="A2386" s="505" t="s">
        <v>6039</v>
      </c>
      <c r="B2386" s="505" t="s">
        <v>6040</v>
      </c>
      <c r="C2386" s="512" t="s">
        <v>9553</v>
      </c>
      <c r="D2386" s="512" t="s">
        <v>9554</v>
      </c>
      <c r="E2386" s="512" t="s">
        <v>8460</v>
      </c>
      <c r="F2386" s="512" t="s">
        <v>7797</v>
      </c>
      <c r="G2386" s="512" t="s">
        <v>9399</v>
      </c>
      <c r="L2386" s="505" t="s">
        <v>1233</v>
      </c>
      <c r="M2386" s="516">
        <v>17.55</v>
      </c>
      <c r="N2386" s="505" t="s">
        <v>1233</v>
      </c>
    </row>
    <row r="2387" spans="1:14" x14ac:dyDescent="0.25">
      <c r="A2387" s="505" t="s">
        <v>6041</v>
      </c>
      <c r="B2387" s="505" t="s">
        <v>6042</v>
      </c>
      <c r="C2387" s="512" t="s">
        <v>9553</v>
      </c>
      <c r="D2387" s="512" t="s">
        <v>9554</v>
      </c>
      <c r="E2387" s="512" t="s">
        <v>8460</v>
      </c>
      <c r="F2387" s="512" t="s">
        <v>7797</v>
      </c>
      <c r="G2387" s="512" t="s">
        <v>9400</v>
      </c>
      <c r="L2387" s="505" t="s">
        <v>1233</v>
      </c>
      <c r="M2387" s="516">
        <v>26.5</v>
      </c>
      <c r="N2387" s="505" t="s">
        <v>1233</v>
      </c>
    </row>
    <row r="2388" spans="1:14" x14ac:dyDescent="0.25">
      <c r="A2388" s="505" t="s">
        <v>6043</v>
      </c>
      <c r="B2388" s="505" t="s">
        <v>6044</v>
      </c>
      <c r="C2388" s="512" t="s">
        <v>9553</v>
      </c>
      <c r="D2388" s="512" t="s">
        <v>9554</v>
      </c>
      <c r="E2388" s="512" t="s">
        <v>8460</v>
      </c>
      <c r="F2388" s="512" t="s">
        <v>7797</v>
      </c>
      <c r="G2388" s="512" t="s">
        <v>9401</v>
      </c>
      <c r="L2388" s="505" t="s">
        <v>1233</v>
      </c>
      <c r="M2388" s="516">
        <v>36.25</v>
      </c>
      <c r="N2388" s="505" t="s">
        <v>1233</v>
      </c>
    </row>
    <row r="2389" spans="1:14" s="530" customFormat="1" x14ac:dyDescent="0.25">
      <c r="A2389" s="530" t="s">
        <v>6045</v>
      </c>
      <c r="B2389" s="530" t="s">
        <v>6046</v>
      </c>
      <c r="C2389" s="531" t="s">
        <v>9559</v>
      </c>
      <c r="D2389" s="531" t="s">
        <v>9560</v>
      </c>
      <c r="E2389" s="531" t="s">
        <v>7763</v>
      </c>
      <c r="F2389" s="531" t="s">
        <v>7764</v>
      </c>
      <c r="G2389" s="531" t="s">
        <v>7782</v>
      </c>
      <c r="H2389" s="531" t="s">
        <v>511</v>
      </c>
      <c r="I2389" s="531" t="s">
        <v>9561</v>
      </c>
      <c r="L2389" s="530" t="s">
        <v>1233</v>
      </c>
      <c r="M2389" s="532">
        <v>0</v>
      </c>
      <c r="N2389" s="530" t="s">
        <v>1544</v>
      </c>
    </row>
    <row r="2390" spans="1:14" x14ac:dyDescent="0.25">
      <c r="A2390" s="505" t="s">
        <v>6047</v>
      </c>
      <c r="B2390" s="505" t="s">
        <v>6048</v>
      </c>
      <c r="C2390" s="512" t="s">
        <v>8106</v>
      </c>
      <c r="D2390" s="512" t="s">
        <v>9562</v>
      </c>
      <c r="E2390" s="512" t="s">
        <v>7735</v>
      </c>
      <c r="F2390" s="512" t="s">
        <v>9563</v>
      </c>
      <c r="G2390" s="512" t="s">
        <v>7721</v>
      </c>
      <c r="H2390" s="512" t="s">
        <v>9564</v>
      </c>
      <c r="L2390" s="505" t="s">
        <v>114</v>
      </c>
      <c r="M2390" s="516">
        <v>9.5399999999999991</v>
      </c>
      <c r="N2390" s="505" t="s">
        <v>114</v>
      </c>
    </row>
    <row r="2391" spans="1:14" x14ac:dyDescent="0.25">
      <c r="A2391" s="505" t="s">
        <v>6049</v>
      </c>
      <c r="B2391" s="505" t="s">
        <v>6050</v>
      </c>
      <c r="C2391" s="512" t="s">
        <v>8106</v>
      </c>
      <c r="D2391" s="512" t="s">
        <v>9562</v>
      </c>
      <c r="E2391" s="512" t="s">
        <v>7736</v>
      </c>
      <c r="F2391" s="512" t="s">
        <v>9563</v>
      </c>
      <c r="G2391" s="512" t="s">
        <v>7437</v>
      </c>
      <c r="H2391" s="512" t="s">
        <v>9565</v>
      </c>
      <c r="L2391" s="505" t="s">
        <v>114</v>
      </c>
      <c r="M2391" s="516">
        <v>9.5399999999999991</v>
      </c>
      <c r="N2391" s="505" t="s">
        <v>114</v>
      </c>
    </row>
    <row r="2392" spans="1:14" x14ac:dyDescent="0.25">
      <c r="A2392" s="505" t="s">
        <v>6051</v>
      </c>
      <c r="B2392" s="505" t="s">
        <v>6052</v>
      </c>
      <c r="C2392" s="512" t="s">
        <v>8106</v>
      </c>
      <c r="D2392" s="512" t="s">
        <v>9562</v>
      </c>
      <c r="E2392" s="512" t="s">
        <v>7736</v>
      </c>
      <c r="F2392" s="512" t="s">
        <v>9563</v>
      </c>
      <c r="G2392" s="512" t="s">
        <v>7721</v>
      </c>
      <c r="H2392" s="512" t="s">
        <v>9565</v>
      </c>
      <c r="L2392" s="505" t="s">
        <v>114</v>
      </c>
      <c r="M2392" s="516">
        <v>9.5399999999999991</v>
      </c>
      <c r="N2392" s="505" t="s">
        <v>114</v>
      </c>
    </row>
    <row r="2393" spans="1:14" x14ac:dyDescent="0.25">
      <c r="A2393" s="505" t="s">
        <v>6053</v>
      </c>
      <c r="B2393" s="505" t="s">
        <v>6054</v>
      </c>
      <c r="C2393" s="512" t="s">
        <v>8671</v>
      </c>
      <c r="D2393" s="512" t="s">
        <v>9566</v>
      </c>
      <c r="E2393" s="512" t="s">
        <v>8669</v>
      </c>
      <c r="F2393" s="512" t="s">
        <v>9567</v>
      </c>
      <c r="L2393" s="505" t="s">
        <v>114</v>
      </c>
      <c r="M2393" s="516">
        <v>59.48</v>
      </c>
      <c r="N2393" s="505" t="s">
        <v>114</v>
      </c>
    </row>
    <row r="2394" spans="1:14" x14ac:dyDescent="0.25">
      <c r="A2394" s="505" t="s">
        <v>6055</v>
      </c>
      <c r="B2394" s="505" t="s">
        <v>6056</v>
      </c>
      <c r="C2394" s="512" t="s">
        <v>8671</v>
      </c>
      <c r="D2394" s="512" t="s">
        <v>9566</v>
      </c>
      <c r="E2394" s="512" t="s">
        <v>8669</v>
      </c>
      <c r="F2394" s="512" t="s">
        <v>9568</v>
      </c>
      <c r="L2394" s="505" t="s">
        <v>114</v>
      </c>
      <c r="M2394" s="516">
        <v>69.739999999999995</v>
      </c>
      <c r="N2394" s="505" t="s">
        <v>114</v>
      </c>
    </row>
    <row r="2395" spans="1:14" x14ac:dyDescent="0.25">
      <c r="A2395" s="505" t="s">
        <v>6057</v>
      </c>
      <c r="B2395" s="505" t="s">
        <v>6058</v>
      </c>
      <c r="C2395" s="512" t="s">
        <v>9569</v>
      </c>
      <c r="D2395" s="512" t="s">
        <v>9570</v>
      </c>
      <c r="E2395" s="512" t="s">
        <v>1098</v>
      </c>
      <c r="F2395" s="512" t="s">
        <v>148</v>
      </c>
      <c r="L2395" s="505" t="s">
        <v>114</v>
      </c>
      <c r="M2395" s="516">
        <v>9.98</v>
      </c>
      <c r="N2395" s="505" t="s">
        <v>114</v>
      </c>
    </row>
    <row r="2396" spans="1:14" x14ac:dyDescent="0.25">
      <c r="A2396" s="505" t="s">
        <v>6059</v>
      </c>
      <c r="B2396" s="505" t="s">
        <v>6060</v>
      </c>
      <c r="C2396" s="512" t="s">
        <v>9569</v>
      </c>
      <c r="D2396" s="512" t="s">
        <v>9570</v>
      </c>
      <c r="E2396" s="512" t="s">
        <v>1098</v>
      </c>
      <c r="F2396" s="512" t="s">
        <v>511</v>
      </c>
      <c r="L2396" s="505" t="s">
        <v>114</v>
      </c>
      <c r="M2396" s="516">
        <v>11.92</v>
      </c>
      <c r="N2396" s="505" t="s">
        <v>114</v>
      </c>
    </row>
    <row r="2397" spans="1:14" x14ac:dyDescent="0.25">
      <c r="A2397" s="505" t="s">
        <v>6061</v>
      </c>
      <c r="B2397" s="505" t="s">
        <v>6062</v>
      </c>
      <c r="C2397" s="512" t="s">
        <v>9569</v>
      </c>
      <c r="D2397" s="512" t="s">
        <v>9571</v>
      </c>
      <c r="E2397" s="512" t="s">
        <v>9572</v>
      </c>
      <c r="F2397" s="512" t="s">
        <v>148</v>
      </c>
      <c r="L2397" s="505" t="s">
        <v>114</v>
      </c>
      <c r="M2397" s="516">
        <v>8.15</v>
      </c>
      <c r="N2397" s="505" t="s">
        <v>114</v>
      </c>
    </row>
    <row r="2398" spans="1:14" x14ac:dyDescent="0.25">
      <c r="A2398" s="505" t="s">
        <v>6063</v>
      </c>
      <c r="B2398" s="505" t="s">
        <v>6064</v>
      </c>
      <c r="C2398" s="512" t="s">
        <v>9569</v>
      </c>
      <c r="D2398" s="512" t="s">
        <v>9571</v>
      </c>
      <c r="E2398" s="512" t="s">
        <v>9572</v>
      </c>
      <c r="F2398" s="512" t="s">
        <v>511</v>
      </c>
      <c r="L2398" s="505" t="s">
        <v>114</v>
      </c>
      <c r="M2398" s="516">
        <v>8.15</v>
      </c>
      <c r="N2398" s="505" t="s">
        <v>114</v>
      </c>
    </row>
    <row r="2399" spans="1:14" x14ac:dyDescent="0.25">
      <c r="A2399" s="505" t="s">
        <v>6065</v>
      </c>
      <c r="B2399" s="505" t="s">
        <v>6066</v>
      </c>
      <c r="C2399" s="512" t="s">
        <v>9569</v>
      </c>
      <c r="D2399" s="512" t="s">
        <v>7949</v>
      </c>
      <c r="E2399" s="512" t="s">
        <v>9537</v>
      </c>
      <c r="F2399" s="512" t="s">
        <v>148</v>
      </c>
      <c r="L2399" s="505" t="s">
        <v>114</v>
      </c>
      <c r="M2399" s="516">
        <v>4.41</v>
      </c>
      <c r="N2399" s="505" t="s">
        <v>114</v>
      </c>
    </row>
    <row r="2400" spans="1:14" x14ac:dyDescent="0.25">
      <c r="A2400" s="505" t="s">
        <v>6067</v>
      </c>
      <c r="B2400" s="505" t="s">
        <v>6068</v>
      </c>
      <c r="C2400" s="512" t="s">
        <v>9569</v>
      </c>
      <c r="D2400" s="512" t="s">
        <v>7949</v>
      </c>
      <c r="E2400" s="512" t="s">
        <v>9537</v>
      </c>
      <c r="F2400" s="512" t="s">
        <v>511</v>
      </c>
      <c r="L2400" s="505" t="s">
        <v>114</v>
      </c>
      <c r="M2400" s="516">
        <v>4.41</v>
      </c>
      <c r="N2400" s="505" t="s">
        <v>114</v>
      </c>
    </row>
    <row r="2401" spans="1:14" x14ac:dyDescent="0.25">
      <c r="A2401" s="505" t="s">
        <v>6069</v>
      </c>
      <c r="B2401" s="505" t="s">
        <v>6070</v>
      </c>
      <c r="C2401" s="512" t="s">
        <v>9569</v>
      </c>
      <c r="D2401" s="512" t="s">
        <v>9549</v>
      </c>
      <c r="E2401" s="512" t="s">
        <v>9537</v>
      </c>
      <c r="F2401" s="512" t="s">
        <v>148</v>
      </c>
      <c r="L2401" s="505" t="s">
        <v>114</v>
      </c>
      <c r="M2401" s="516">
        <v>3.99</v>
      </c>
      <c r="N2401" s="505" t="s">
        <v>114</v>
      </c>
    </row>
    <row r="2402" spans="1:14" x14ac:dyDescent="0.25">
      <c r="A2402" s="505" t="s">
        <v>6071</v>
      </c>
      <c r="B2402" s="505" t="s">
        <v>6072</v>
      </c>
      <c r="C2402" s="512" t="s">
        <v>9569</v>
      </c>
      <c r="D2402" s="512" t="s">
        <v>9549</v>
      </c>
      <c r="E2402" s="512" t="s">
        <v>9537</v>
      </c>
      <c r="F2402" s="512" t="s">
        <v>511</v>
      </c>
      <c r="L2402" s="505" t="s">
        <v>114</v>
      </c>
      <c r="M2402" s="516">
        <v>3.99</v>
      </c>
      <c r="N2402" s="505" t="s">
        <v>114</v>
      </c>
    </row>
    <row r="2403" spans="1:14" x14ac:dyDescent="0.25">
      <c r="A2403" s="505" t="s">
        <v>6073</v>
      </c>
      <c r="B2403" s="505" t="s">
        <v>6074</v>
      </c>
      <c r="C2403" s="512" t="s">
        <v>7762</v>
      </c>
      <c r="D2403" s="512" t="s">
        <v>8698</v>
      </c>
      <c r="E2403" s="512" t="s">
        <v>8676</v>
      </c>
      <c r="F2403" s="512" t="s">
        <v>7489</v>
      </c>
      <c r="G2403" s="512" t="s">
        <v>7892</v>
      </c>
      <c r="H2403" s="512" t="s">
        <v>9573</v>
      </c>
      <c r="L2403" s="505" t="s">
        <v>1233</v>
      </c>
      <c r="M2403" s="516">
        <v>26.5</v>
      </c>
      <c r="N2403" s="505" t="s">
        <v>1233</v>
      </c>
    </row>
    <row r="2404" spans="1:14" x14ac:dyDescent="0.25">
      <c r="A2404" s="505" t="s">
        <v>6075</v>
      </c>
      <c r="B2404" s="505" t="s">
        <v>6076</v>
      </c>
      <c r="C2404" s="512" t="s">
        <v>7762</v>
      </c>
      <c r="D2404" s="512" t="s">
        <v>8698</v>
      </c>
      <c r="E2404" s="512" t="s">
        <v>8676</v>
      </c>
      <c r="F2404" s="512" t="s">
        <v>9574</v>
      </c>
      <c r="G2404" s="512" t="s">
        <v>9573</v>
      </c>
      <c r="L2404" s="505" t="s">
        <v>1233</v>
      </c>
      <c r="M2404" s="516">
        <v>26.5</v>
      </c>
      <c r="N2404" s="505" t="s">
        <v>1233</v>
      </c>
    </row>
    <row r="2405" spans="1:14" x14ac:dyDescent="0.25">
      <c r="A2405" s="505" t="s">
        <v>6077</v>
      </c>
      <c r="B2405" s="505" t="s">
        <v>6078</v>
      </c>
      <c r="C2405" s="512" t="s">
        <v>7762</v>
      </c>
      <c r="D2405" s="512" t="s">
        <v>8698</v>
      </c>
      <c r="E2405" s="512" t="s">
        <v>8676</v>
      </c>
      <c r="F2405" s="512" t="s">
        <v>9575</v>
      </c>
      <c r="G2405" s="512" t="s">
        <v>8701</v>
      </c>
      <c r="H2405" s="512" t="s">
        <v>9573</v>
      </c>
      <c r="L2405" s="505" t="s">
        <v>1233</v>
      </c>
      <c r="M2405" s="516">
        <v>29</v>
      </c>
      <c r="N2405" s="505" t="s">
        <v>1233</v>
      </c>
    </row>
    <row r="2406" spans="1:14" x14ac:dyDescent="0.25">
      <c r="A2406" s="505" t="s">
        <v>6079</v>
      </c>
      <c r="B2406" s="505" t="s">
        <v>6080</v>
      </c>
      <c r="C2406" s="512" t="s">
        <v>7762</v>
      </c>
      <c r="D2406" s="512" t="s">
        <v>8326</v>
      </c>
      <c r="E2406" s="512" t="s">
        <v>8331</v>
      </c>
      <c r="F2406" s="512" t="s">
        <v>9005</v>
      </c>
      <c r="G2406" s="512" t="s">
        <v>8676</v>
      </c>
      <c r="H2406" s="512" t="s">
        <v>9576</v>
      </c>
      <c r="I2406" s="512">
        <v>1356</v>
      </c>
      <c r="L2406" s="505" t="s">
        <v>1233</v>
      </c>
      <c r="M2406" s="516">
        <v>33.090000000000003</v>
      </c>
      <c r="N2406" s="505" t="s">
        <v>1233</v>
      </c>
    </row>
    <row r="2407" spans="1:14" x14ac:dyDescent="0.25">
      <c r="A2407" s="505" t="s">
        <v>6081</v>
      </c>
      <c r="B2407" s="505" t="s">
        <v>6082</v>
      </c>
      <c r="C2407" s="512" t="s">
        <v>7762</v>
      </c>
      <c r="D2407" s="512" t="s">
        <v>8322</v>
      </c>
      <c r="E2407" s="512" t="s">
        <v>8989</v>
      </c>
      <c r="F2407" s="512" t="s">
        <v>9005</v>
      </c>
      <c r="G2407" s="512" t="s">
        <v>8676</v>
      </c>
      <c r="H2407" s="512" t="s">
        <v>9577</v>
      </c>
      <c r="I2407" s="512" t="s">
        <v>7970</v>
      </c>
      <c r="J2407" s="505">
        <v>1356</v>
      </c>
      <c r="L2407" s="505" t="s">
        <v>1233</v>
      </c>
      <c r="M2407" s="516">
        <v>33.090000000000003</v>
      </c>
      <c r="N2407" s="505" t="s">
        <v>1233</v>
      </c>
    </row>
    <row r="2408" spans="1:14" x14ac:dyDescent="0.25">
      <c r="A2408" s="505" t="s">
        <v>6083</v>
      </c>
      <c r="B2408" s="505" t="s">
        <v>6084</v>
      </c>
      <c r="C2408" s="512" t="s">
        <v>7762</v>
      </c>
      <c r="D2408" s="512" t="s">
        <v>8322</v>
      </c>
      <c r="E2408" s="512" t="s">
        <v>8989</v>
      </c>
      <c r="F2408" s="512" t="s">
        <v>9005</v>
      </c>
      <c r="G2408" s="512" t="s">
        <v>8676</v>
      </c>
      <c r="H2408" s="512" t="s">
        <v>8325</v>
      </c>
      <c r="I2408" s="512">
        <v>1356</v>
      </c>
      <c r="L2408" s="505" t="s">
        <v>1233</v>
      </c>
      <c r="M2408" s="516">
        <v>33.090000000000003</v>
      </c>
      <c r="N2408" s="505" t="s">
        <v>1233</v>
      </c>
    </row>
    <row r="2409" spans="1:14" x14ac:dyDescent="0.25">
      <c r="A2409" s="505" t="s">
        <v>6085</v>
      </c>
      <c r="B2409" s="505" t="s">
        <v>6086</v>
      </c>
      <c r="C2409" s="512" t="s">
        <v>7762</v>
      </c>
      <c r="D2409" s="512" t="s">
        <v>8703</v>
      </c>
      <c r="E2409" s="512" t="s">
        <v>8676</v>
      </c>
      <c r="F2409" s="512" t="s">
        <v>7447</v>
      </c>
      <c r="G2409" s="512" t="s">
        <v>9578</v>
      </c>
      <c r="L2409" s="505" t="s">
        <v>1233</v>
      </c>
      <c r="M2409" s="516">
        <v>21.32</v>
      </c>
      <c r="N2409" s="505" t="s">
        <v>1233</v>
      </c>
    </row>
    <row r="2410" spans="1:14" x14ac:dyDescent="0.25">
      <c r="A2410" s="505" t="s">
        <v>6087</v>
      </c>
      <c r="B2410" s="505" t="s">
        <v>6088</v>
      </c>
      <c r="C2410" s="512" t="s">
        <v>7762</v>
      </c>
      <c r="D2410" s="512" t="s">
        <v>8703</v>
      </c>
      <c r="E2410" s="512" t="s">
        <v>9579</v>
      </c>
      <c r="F2410" s="512" t="s">
        <v>148</v>
      </c>
      <c r="G2410" s="512" t="s">
        <v>522</v>
      </c>
      <c r="H2410" s="512" t="s">
        <v>9578</v>
      </c>
      <c r="L2410" s="505" t="s">
        <v>1233</v>
      </c>
      <c r="M2410" s="516">
        <v>21.32</v>
      </c>
      <c r="N2410" s="505" t="s">
        <v>1233</v>
      </c>
    </row>
    <row r="2411" spans="1:14" x14ac:dyDescent="0.25">
      <c r="A2411" s="505" t="s">
        <v>6089</v>
      </c>
      <c r="B2411" s="505" t="s">
        <v>6090</v>
      </c>
      <c r="C2411" s="512" t="s">
        <v>7762</v>
      </c>
      <c r="D2411" s="512" t="s">
        <v>8703</v>
      </c>
      <c r="E2411" s="512" t="s">
        <v>8676</v>
      </c>
      <c r="F2411" s="512" t="s">
        <v>8140</v>
      </c>
      <c r="G2411" s="512" t="s">
        <v>9578</v>
      </c>
      <c r="L2411" s="505" t="s">
        <v>1233</v>
      </c>
      <c r="M2411" s="516">
        <v>21.32</v>
      </c>
      <c r="N2411" s="505" t="s">
        <v>1233</v>
      </c>
    </row>
    <row r="2412" spans="1:14" x14ac:dyDescent="0.25">
      <c r="A2412" s="505" t="s">
        <v>6091</v>
      </c>
      <c r="B2412" s="505" t="s">
        <v>6092</v>
      </c>
      <c r="C2412" s="512" t="s">
        <v>7762</v>
      </c>
      <c r="D2412" s="512" t="s">
        <v>8703</v>
      </c>
      <c r="E2412" s="512" t="s">
        <v>9579</v>
      </c>
      <c r="F2412" s="512" t="s">
        <v>9580</v>
      </c>
      <c r="G2412" s="512" t="s">
        <v>9578</v>
      </c>
      <c r="L2412" s="505" t="s">
        <v>1233</v>
      </c>
      <c r="M2412" s="516">
        <v>21.32</v>
      </c>
      <c r="N2412" s="505" t="s">
        <v>1233</v>
      </c>
    </row>
    <row r="2413" spans="1:14" x14ac:dyDescent="0.25">
      <c r="A2413" s="505" t="s">
        <v>6093</v>
      </c>
      <c r="B2413" s="505" t="s">
        <v>6094</v>
      </c>
      <c r="C2413" s="512" t="s">
        <v>7762</v>
      </c>
      <c r="D2413" s="512" t="s">
        <v>8703</v>
      </c>
      <c r="E2413" s="512" t="s">
        <v>9579</v>
      </c>
      <c r="F2413" s="512" t="s">
        <v>474</v>
      </c>
      <c r="G2413" s="512" t="s">
        <v>9578</v>
      </c>
      <c r="L2413" s="505" t="s">
        <v>1233</v>
      </c>
      <c r="M2413" s="516">
        <v>21.32</v>
      </c>
      <c r="N2413" s="505" t="s">
        <v>1233</v>
      </c>
    </row>
    <row r="2414" spans="1:14" x14ac:dyDescent="0.25">
      <c r="A2414" s="505" t="s">
        <v>6095</v>
      </c>
      <c r="B2414" s="505" t="s">
        <v>6096</v>
      </c>
      <c r="C2414" s="512" t="s">
        <v>7762</v>
      </c>
      <c r="D2414" s="512" t="s">
        <v>8703</v>
      </c>
      <c r="E2414" s="512" t="s">
        <v>9579</v>
      </c>
      <c r="F2414" s="512" t="s">
        <v>7426</v>
      </c>
      <c r="G2414" s="512" t="s">
        <v>7945</v>
      </c>
      <c r="H2414" s="512" t="s">
        <v>9578</v>
      </c>
      <c r="L2414" s="505" t="s">
        <v>1233</v>
      </c>
      <c r="M2414" s="516">
        <v>21.32</v>
      </c>
      <c r="N2414" s="505" t="s">
        <v>1233</v>
      </c>
    </row>
    <row r="2415" spans="1:14" x14ac:dyDescent="0.25">
      <c r="A2415" s="505" t="s">
        <v>6097</v>
      </c>
      <c r="B2415" s="505" t="s">
        <v>6098</v>
      </c>
      <c r="C2415" s="512" t="s">
        <v>7762</v>
      </c>
      <c r="D2415" s="512" t="s">
        <v>8703</v>
      </c>
      <c r="E2415" s="512" t="s">
        <v>8676</v>
      </c>
      <c r="F2415" s="512" t="s">
        <v>524</v>
      </c>
      <c r="G2415" s="512" t="s">
        <v>9578</v>
      </c>
      <c r="L2415" s="505" t="s">
        <v>1233</v>
      </c>
      <c r="M2415" s="516">
        <v>21.32</v>
      </c>
      <c r="N2415" s="505" t="s">
        <v>1233</v>
      </c>
    </row>
    <row r="2416" spans="1:14" x14ac:dyDescent="0.25">
      <c r="A2416" s="505" t="s">
        <v>6099</v>
      </c>
      <c r="B2416" s="505" t="s">
        <v>6100</v>
      </c>
      <c r="C2416" s="512" t="s">
        <v>7762</v>
      </c>
      <c r="D2416" s="512" t="s">
        <v>8703</v>
      </c>
      <c r="E2416" s="512" t="s">
        <v>8676</v>
      </c>
      <c r="F2416" s="512" t="s">
        <v>8162</v>
      </c>
      <c r="G2416" s="512" t="s">
        <v>7445</v>
      </c>
      <c r="H2416" s="512" t="s">
        <v>9578</v>
      </c>
      <c r="L2416" s="505" t="s">
        <v>1233</v>
      </c>
      <c r="M2416" s="516">
        <v>21.32</v>
      </c>
      <c r="N2416" s="505" t="s">
        <v>1233</v>
      </c>
    </row>
    <row r="2417" spans="1:14" x14ac:dyDescent="0.25">
      <c r="A2417" s="505" t="s">
        <v>6101</v>
      </c>
      <c r="B2417" s="505" t="s">
        <v>6102</v>
      </c>
      <c r="C2417" s="512" t="s">
        <v>7762</v>
      </c>
      <c r="D2417" s="512" t="s">
        <v>8703</v>
      </c>
      <c r="E2417" s="512" t="s">
        <v>8676</v>
      </c>
      <c r="F2417" s="512" t="s">
        <v>8176</v>
      </c>
      <c r="G2417" s="512" t="s">
        <v>9578</v>
      </c>
      <c r="L2417" s="505" t="s">
        <v>1233</v>
      </c>
      <c r="M2417" s="516">
        <v>21.32</v>
      </c>
      <c r="N2417" s="505" t="s">
        <v>1233</v>
      </c>
    </row>
    <row r="2418" spans="1:14" x14ac:dyDescent="0.25">
      <c r="A2418" s="505" t="s">
        <v>6103</v>
      </c>
      <c r="B2418" s="505" t="s">
        <v>6104</v>
      </c>
      <c r="C2418" s="512" t="s">
        <v>7762</v>
      </c>
      <c r="D2418" s="512" t="s">
        <v>8703</v>
      </c>
      <c r="E2418" s="512" t="s">
        <v>8676</v>
      </c>
      <c r="F2418" s="512" t="s">
        <v>7440</v>
      </c>
      <c r="G2418" s="512" t="s">
        <v>7441</v>
      </c>
      <c r="H2418" s="512" t="s">
        <v>9578</v>
      </c>
      <c r="L2418" s="505" t="s">
        <v>1233</v>
      </c>
      <c r="M2418" s="516">
        <v>21.32</v>
      </c>
      <c r="N2418" s="505" t="s">
        <v>1233</v>
      </c>
    </row>
    <row r="2419" spans="1:14" x14ac:dyDescent="0.25">
      <c r="A2419" s="505" t="s">
        <v>6105</v>
      </c>
      <c r="B2419" s="505" t="s">
        <v>6106</v>
      </c>
      <c r="C2419" s="512" t="s">
        <v>7762</v>
      </c>
      <c r="D2419" s="512" t="s">
        <v>8703</v>
      </c>
      <c r="E2419" s="512" t="s">
        <v>8676</v>
      </c>
      <c r="F2419" s="512" t="s">
        <v>7888</v>
      </c>
      <c r="G2419" s="512" t="s">
        <v>9578</v>
      </c>
      <c r="L2419" s="505" t="s">
        <v>1233</v>
      </c>
      <c r="M2419" s="516">
        <v>21.32</v>
      </c>
      <c r="N2419" s="505" t="s">
        <v>1233</v>
      </c>
    </row>
    <row r="2420" spans="1:14" x14ac:dyDescent="0.25">
      <c r="A2420" s="505" t="s">
        <v>6107</v>
      </c>
      <c r="B2420" s="505" t="s">
        <v>6108</v>
      </c>
      <c r="C2420" s="512" t="s">
        <v>7762</v>
      </c>
      <c r="D2420" s="512" t="s">
        <v>8703</v>
      </c>
      <c r="E2420" s="512" t="s">
        <v>8676</v>
      </c>
      <c r="F2420" s="512" t="s">
        <v>7889</v>
      </c>
      <c r="G2420" s="512" t="s">
        <v>9578</v>
      </c>
      <c r="L2420" s="505" t="s">
        <v>1233</v>
      </c>
      <c r="M2420" s="516">
        <v>21.32</v>
      </c>
      <c r="N2420" s="505" t="s">
        <v>1233</v>
      </c>
    </row>
    <row r="2421" spans="1:14" x14ac:dyDescent="0.25">
      <c r="A2421" s="505" t="s">
        <v>6109</v>
      </c>
      <c r="B2421" s="505" t="s">
        <v>6110</v>
      </c>
      <c r="C2421" s="512" t="s">
        <v>7762</v>
      </c>
      <c r="D2421" s="512" t="s">
        <v>8703</v>
      </c>
      <c r="E2421" s="512" t="s">
        <v>8676</v>
      </c>
      <c r="F2421" s="512" t="s">
        <v>7953</v>
      </c>
      <c r="G2421" s="512" t="s">
        <v>480</v>
      </c>
      <c r="H2421" s="512" t="s">
        <v>9578</v>
      </c>
      <c r="L2421" s="505" t="s">
        <v>1233</v>
      </c>
      <c r="M2421" s="516">
        <v>21.32</v>
      </c>
      <c r="N2421" s="505" t="s">
        <v>1233</v>
      </c>
    </row>
    <row r="2422" spans="1:14" x14ac:dyDescent="0.25">
      <c r="A2422" s="505" t="s">
        <v>6111</v>
      </c>
      <c r="B2422" s="505" t="s">
        <v>6112</v>
      </c>
      <c r="C2422" s="512" t="s">
        <v>7762</v>
      </c>
      <c r="D2422" s="512" t="s">
        <v>8703</v>
      </c>
      <c r="E2422" s="512" t="s">
        <v>8676</v>
      </c>
      <c r="F2422" s="512" t="s">
        <v>8144</v>
      </c>
      <c r="G2422" s="512" t="s">
        <v>7445</v>
      </c>
      <c r="H2422" s="512" t="s">
        <v>9578</v>
      </c>
      <c r="L2422" s="505" t="s">
        <v>1233</v>
      </c>
      <c r="M2422" s="516">
        <v>21.32</v>
      </c>
      <c r="N2422" s="505" t="s">
        <v>1233</v>
      </c>
    </row>
    <row r="2423" spans="1:14" x14ac:dyDescent="0.25">
      <c r="A2423" s="505" t="s">
        <v>6113</v>
      </c>
      <c r="B2423" s="505" t="s">
        <v>6114</v>
      </c>
      <c r="C2423" s="512" t="s">
        <v>7762</v>
      </c>
      <c r="D2423" s="512" t="s">
        <v>8703</v>
      </c>
      <c r="E2423" s="512" t="s">
        <v>9579</v>
      </c>
      <c r="F2423" s="512" t="s">
        <v>7531</v>
      </c>
      <c r="G2423" s="512" t="s">
        <v>9581</v>
      </c>
      <c r="H2423" s="512" t="s">
        <v>9578</v>
      </c>
      <c r="L2423" s="505" t="s">
        <v>1233</v>
      </c>
      <c r="M2423" s="516">
        <v>21.32</v>
      </c>
      <c r="N2423" s="505" t="s">
        <v>1233</v>
      </c>
    </row>
    <row r="2424" spans="1:14" x14ac:dyDescent="0.25">
      <c r="A2424" s="505" t="s">
        <v>6115</v>
      </c>
      <c r="B2424" s="505" t="s">
        <v>6116</v>
      </c>
      <c r="C2424" s="512" t="s">
        <v>7762</v>
      </c>
      <c r="D2424" s="512" t="s">
        <v>8703</v>
      </c>
      <c r="E2424" s="512" t="s">
        <v>8676</v>
      </c>
      <c r="F2424" s="512" t="s">
        <v>8401</v>
      </c>
      <c r="G2424" s="512" t="s">
        <v>7426</v>
      </c>
      <c r="H2424" s="512" t="s">
        <v>9578</v>
      </c>
      <c r="L2424" s="505" t="s">
        <v>1233</v>
      </c>
      <c r="M2424" s="516">
        <v>21.32</v>
      </c>
      <c r="N2424" s="505" t="s">
        <v>1233</v>
      </c>
    </row>
    <row r="2425" spans="1:14" x14ac:dyDescent="0.25">
      <c r="A2425" s="505" t="s">
        <v>6117</v>
      </c>
      <c r="B2425" s="505" t="s">
        <v>6118</v>
      </c>
      <c r="C2425" s="512" t="s">
        <v>7762</v>
      </c>
      <c r="D2425" s="512" t="s">
        <v>8703</v>
      </c>
      <c r="E2425" s="512" t="s">
        <v>8676</v>
      </c>
      <c r="F2425" s="512" t="s">
        <v>8148</v>
      </c>
      <c r="G2425" s="512" t="s">
        <v>9578</v>
      </c>
      <c r="L2425" s="505" t="s">
        <v>1233</v>
      </c>
      <c r="M2425" s="516">
        <v>21.32</v>
      </c>
      <c r="N2425" s="505" t="s">
        <v>1233</v>
      </c>
    </row>
    <row r="2426" spans="1:14" x14ac:dyDescent="0.25">
      <c r="A2426" s="505" t="s">
        <v>6119</v>
      </c>
      <c r="B2426" s="505" t="s">
        <v>6120</v>
      </c>
      <c r="C2426" s="512" t="s">
        <v>7762</v>
      </c>
      <c r="D2426" s="512" t="s">
        <v>8703</v>
      </c>
      <c r="E2426" s="512" t="s">
        <v>8676</v>
      </c>
      <c r="F2426" s="512" t="s">
        <v>7568</v>
      </c>
      <c r="G2426" s="512" t="s">
        <v>9578</v>
      </c>
      <c r="L2426" s="505" t="s">
        <v>1233</v>
      </c>
      <c r="M2426" s="516">
        <v>21.32</v>
      </c>
      <c r="N2426" s="505" t="s">
        <v>1233</v>
      </c>
    </row>
    <row r="2427" spans="1:14" x14ac:dyDescent="0.25">
      <c r="A2427" s="505" t="s">
        <v>6121</v>
      </c>
      <c r="B2427" s="505" t="s">
        <v>6122</v>
      </c>
      <c r="C2427" s="512" t="s">
        <v>7762</v>
      </c>
      <c r="D2427" s="512" t="s">
        <v>8703</v>
      </c>
      <c r="E2427" s="512" t="s">
        <v>8676</v>
      </c>
      <c r="F2427" s="512" t="s">
        <v>7803</v>
      </c>
      <c r="G2427" s="512" t="s">
        <v>9578</v>
      </c>
      <c r="L2427" s="505" t="s">
        <v>1233</v>
      </c>
      <c r="M2427" s="516">
        <v>21.32</v>
      </c>
      <c r="N2427" s="505" t="s">
        <v>1233</v>
      </c>
    </row>
    <row r="2428" spans="1:14" x14ac:dyDescent="0.25">
      <c r="A2428" s="505" t="s">
        <v>6123</v>
      </c>
      <c r="B2428" s="505" t="s">
        <v>6124</v>
      </c>
      <c r="C2428" s="512" t="s">
        <v>7762</v>
      </c>
      <c r="D2428" s="512" t="s">
        <v>8703</v>
      </c>
      <c r="E2428" s="512" t="s">
        <v>8676</v>
      </c>
      <c r="F2428" s="512" t="s">
        <v>8150</v>
      </c>
      <c r="G2428" s="512" t="s">
        <v>9578</v>
      </c>
      <c r="L2428" s="505" t="s">
        <v>1233</v>
      </c>
      <c r="M2428" s="516">
        <v>21.32</v>
      </c>
      <c r="N2428" s="505" t="s">
        <v>1233</v>
      </c>
    </row>
    <row r="2429" spans="1:14" x14ac:dyDescent="0.25">
      <c r="A2429" s="505" t="s">
        <v>6125</v>
      </c>
      <c r="B2429" s="505" t="s">
        <v>6126</v>
      </c>
      <c r="C2429" s="512" t="s">
        <v>7762</v>
      </c>
      <c r="D2429" s="512" t="s">
        <v>8703</v>
      </c>
      <c r="E2429" s="512" t="s">
        <v>8676</v>
      </c>
      <c r="F2429" s="512" t="s">
        <v>8842</v>
      </c>
      <c r="G2429" s="512" t="s">
        <v>8722</v>
      </c>
      <c r="H2429" s="512" t="s">
        <v>9578</v>
      </c>
      <c r="L2429" s="505" t="s">
        <v>1233</v>
      </c>
      <c r="M2429" s="516">
        <v>21.32</v>
      </c>
      <c r="N2429" s="505" t="s">
        <v>1233</v>
      </c>
    </row>
    <row r="2430" spans="1:14" x14ac:dyDescent="0.25">
      <c r="A2430" s="505" t="s">
        <v>6127</v>
      </c>
      <c r="B2430" s="505" t="s">
        <v>6128</v>
      </c>
      <c r="C2430" s="512" t="s">
        <v>7762</v>
      </c>
      <c r="D2430" s="512" t="s">
        <v>8703</v>
      </c>
      <c r="E2430" s="512" t="s">
        <v>8676</v>
      </c>
      <c r="F2430" s="512" t="s">
        <v>8030</v>
      </c>
      <c r="G2430" s="512" t="s">
        <v>9578</v>
      </c>
      <c r="L2430" s="505" t="s">
        <v>1233</v>
      </c>
      <c r="M2430" s="516">
        <v>21.32</v>
      </c>
      <c r="N2430" s="505" t="s">
        <v>1233</v>
      </c>
    </row>
    <row r="2431" spans="1:14" x14ac:dyDescent="0.25">
      <c r="A2431" s="505" t="s">
        <v>6129</v>
      </c>
      <c r="B2431" s="505" t="s">
        <v>6130</v>
      </c>
      <c r="C2431" s="512" t="s">
        <v>7762</v>
      </c>
      <c r="D2431" s="512" t="s">
        <v>8703</v>
      </c>
      <c r="E2431" s="512" t="s">
        <v>8676</v>
      </c>
      <c r="F2431" s="512" t="s">
        <v>702</v>
      </c>
      <c r="G2431" s="512" t="s">
        <v>9582</v>
      </c>
      <c r="H2431" s="512" t="s">
        <v>9578</v>
      </c>
      <c r="L2431" s="505" t="s">
        <v>1233</v>
      </c>
      <c r="M2431" s="516">
        <v>21.32</v>
      </c>
      <c r="N2431" s="505" t="s">
        <v>1233</v>
      </c>
    </row>
    <row r="2432" spans="1:14" x14ac:dyDescent="0.25">
      <c r="A2432" s="505" t="s">
        <v>6131</v>
      </c>
      <c r="B2432" s="505" t="s">
        <v>6132</v>
      </c>
      <c r="C2432" s="512" t="s">
        <v>7762</v>
      </c>
      <c r="D2432" s="512" t="s">
        <v>8703</v>
      </c>
      <c r="E2432" s="512" t="s">
        <v>8676</v>
      </c>
      <c r="F2432" s="512" t="s">
        <v>8177</v>
      </c>
      <c r="G2432" s="512" t="s">
        <v>9578</v>
      </c>
      <c r="L2432" s="505" t="s">
        <v>1233</v>
      </c>
      <c r="M2432" s="516">
        <v>21.32</v>
      </c>
      <c r="N2432" s="505" t="s">
        <v>1233</v>
      </c>
    </row>
    <row r="2433" spans="1:14" x14ac:dyDescent="0.25">
      <c r="A2433" s="505" t="s">
        <v>6133</v>
      </c>
      <c r="B2433" s="505" t="s">
        <v>6134</v>
      </c>
      <c r="C2433" s="512" t="s">
        <v>7762</v>
      </c>
      <c r="D2433" s="512" t="s">
        <v>8703</v>
      </c>
      <c r="E2433" s="512" t="s">
        <v>8676</v>
      </c>
      <c r="F2433" s="512" t="s">
        <v>8166</v>
      </c>
      <c r="G2433" s="512" t="s">
        <v>8167</v>
      </c>
      <c r="H2433" s="512" t="s">
        <v>9578</v>
      </c>
      <c r="L2433" s="505" t="s">
        <v>1233</v>
      </c>
      <c r="M2433" s="516">
        <v>21.32</v>
      </c>
      <c r="N2433" s="505" t="s">
        <v>1233</v>
      </c>
    </row>
    <row r="2434" spans="1:14" x14ac:dyDescent="0.25">
      <c r="A2434" s="505" t="s">
        <v>6135</v>
      </c>
      <c r="B2434" s="505" t="s">
        <v>6136</v>
      </c>
      <c r="C2434" s="512" t="s">
        <v>7762</v>
      </c>
      <c r="D2434" s="512" t="s">
        <v>8703</v>
      </c>
      <c r="E2434" s="512" t="s">
        <v>8676</v>
      </c>
      <c r="F2434" s="512" t="s">
        <v>8158</v>
      </c>
      <c r="G2434" s="512" t="s">
        <v>9578</v>
      </c>
      <c r="L2434" s="505" t="s">
        <v>1233</v>
      </c>
      <c r="M2434" s="516">
        <v>21.32</v>
      </c>
      <c r="N2434" s="505" t="s">
        <v>1233</v>
      </c>
    </row>
    <row r="2435" spans="1:14" x14ac:dyDescent="0.25">
      <c r="A2435" s="505" t="s">
        <v>6137</v>
      </c>
      <c r="B2435" s="505" t="s">
        <v>6138</v>
      </c>
      <c r="C2435" s="512" t="s">
        <v>7762</v>
      </c>
      <c r="D2435" s="512" t="s">
        <v>8703</v>
      </c>
      <c r="E2435" s="512" t="s">
        <v>8676</v>
      </c>
      <c r="F2435" s="512" t="s">
        <v>8169</v>
      </c>
      <c r="G2435" s="512" t="s">
        <v>7489</v>
      </c>
      <c r="H2435" s="512" t="s">
        <v>9578</v>
      </c>
      <c r="L2435" s="505" t="s">
        <v>1233</v>
      </c>
      <c r="M2435" s="516">
        <v>21.32</v>
      </c>
      <c r="N2435" s="505" t="s">
        <v>1233</v>
      </c>
    </row>
    <row r="2436" spans="1:14" x14ac:dyDescent="0.25">
      <c r="A2436" s="505" t="s">
        <v>6139</v>
      </c>
      <c r="B2436" s="505" t="s">
        <v>6140</v>
      </c>
      <c r="C2436" s="512" t="s">
        <v>7762</v>
      </c>
      <c r="D2436" s="512" t="s">
        <v>8703</v>
      </c>
      <c r="E2436" s="512" t="s">
        <v>8676</v>
      </c>
      <c r="F2436" s="512" t="s">
        <v>7721</v>
      </c>
      <c r="G2436" s="512" t="s">
        <v>9578</v>
      </c>
      <c r="L2436" s="505" t="s">
        <v>1233</v>
      </c>
      <c r="M2436" s="516">
        <v>21.32</v>
      </c>
      <c r="N2436" s="505" t="s">
        <v>1233</v>
      </c>
    </row>
    <row r="2437" spans="1:14" x14ac:dyDescent="0.25">
      <c r="A2437" s="505" t="s">
        <v>6141</v>
      </c>
      <c r="B2437" s="505" t="s">
        <v>6142</v>
      </c>
      <c r="C2437" s="512" t="s">
        <v>7762</v>
      </c>
      <c r="D2437" s="512" t="s">
        <v>8703</v>
      </c>
      <c r="E2437" s="512" t="s">
        <v>8676</v>
      </c>
      <c r="F2437" s="512" t="s">
        <v>7804</v>
      </c>
      <c r="G2437" s="512" t="s">
        <v>9578</v>
      </c>
      <c r="L2437" s="505" t="s">
        <v>1233</v>
      </c>
      <c r="M2437" s="516">
        <v>21.32</v>
      </c>
      <c r="N2437" s="505" t="s">
        <v>1233</v>
      </c>
    </row>
    <row r="2438" spans="1:14" x14ac:dyDescent="0.25">
      <c r="A2438" s="505" t="s">
        <v>6143</v>
      </c>
      <c r="B2438" s="505" t="s">
        <v>6144</v>
      </c>
      <c r="C2438" s="512" t="s">
        <v>7762</v>
      </c>
      <c r="D2438" s="512" t="s">
        <v>8703</v>
      </c>
      <c r="E2438" s="512" t="s">
        <v>9579</v>
      </c>
      <c r="F2438" s="512" t="s">
        <v>534</v>
      </c>
      <c r="G2438" s="512" t="s">
        <v>9578</v>
      </c>
      <c r="L2438" s="505" t="s">
        <v>1233</v>
      </c>
      <c r="M2438" s="516">
        <v>21.32</v>
      </c>
      <c r="N2438" s="505" t="s">
        <v>1233</v>
      </c>
    </row>
    <row r="2439" spans="1:14" x14ac:dyDescent="0.25">
      <c r="A2439" s="505" t="s">
        <v>6145</v>
      </c>
      <c r="B2439" s="505" t="s">
        <v>6146</v>
      </c>
      <c r="C2439" s="512" t="s">
        <v>9583</v>
      </c>
      <c r="D2439" s="512" t="s">
        <v>9584</v>
      </c>
      <c r="E2439" s="512" t="s">
        <v>8768</v>
      </c>
      <c r="F2439" s="512" t="s">
        <v>9585</v>
      </c>
      <c r="G2439" s="512" t="s">
        <v>9493</v>
      </c>
      <c r="L2439" s="505" t="s">
        <v>1233</v>
      </c>
      <c r="M2439" s="516">
        <v>109.95</v>
      </c>
      <c r="N2439" s="505" t="s">
        <v>1233</v>
      </c>
    </row>
    <row r="2440" spans="1:14" x14ac:dyDescent="0.25">
      <c r="A2440" s="505" t="s">
        <v>6147</v>
      </c>
      <c r="B2440" s="505" t="s">
        <v>6148</v>
      </c>
      <c r="C2440" s="512" t="s">
        <v>9583</v>
      </c>
      <c r="D2440" s="512" t="s">
        <v>8017</v>
      </c>
      <c r="E2440" s="512" t="s">
        <v>9537</v>
      </c>
      <c r="F2440" s="512" t="s">
        <v>9586</v>
      </c>
      <c r="L2440" s="505" t="s">
        <v>1233</v>
      </c>
      <c r="M2440" s="516">
        <v>42.75</v>
      </c>
      <c r="N2440" s="505" t="s">
        <v>1233</v>
      </c>
    </row>
    <row r="2441" spans="1:14" x14ac:dyDescent="0.25">
      <c r="A2441" s="505" t="s">
        <v>6149</v>
      </c>
      <c r="B2441" s="505" t="s">
        <v>6150</v>
      </c>
      <c r="C2441" s="512" t="s">
        <v>9587</v>
      </c>
      <c r="D2441" s="512" t="s">
        <v>9588</v>
      </c>
      <c r="E2441" s="512" t="s">
        <v>8456</v>
      </c>
      <c r="F2441" s="512" t="s">
        <v>8277</v>
      </c>
      <c r="G2441" s="512" t="s">
        <v>9589</v>
      </c>
      <c r="H2441" s="512" t="s">
        <v>8456</v>
      </c>
      <c r="L2441" s="505" t="s">
        <v>1233</v>
      </c>
      <c r="M2441" s="516">
        <v>468.5</v>
      </c>
      <c r="N2441" s="505" t="s">
        <v>1233</v>
      </c>
    </row>
    <row r="2442" spans="1:14" x14ac:dyDescent="0.25">
      <c r="A2442" s="505" t="s">
        <v>6151</v>
      </c>
      <c r="B2442" s="505" t="s">
        <v>6152</v>
      </c>
      <c r="C2442" s="512" t="s">
        <v>9583</v>
      </c>
      <c r="D2442" s="512" t="s">
        <v>8020</v>
      </c>
      <c r="E2442" s="512" t="s">
        <v>9590</v>
      </c>
      <c r="L2442" s="505" t="s">
        <v>1233</v>
      </c>
      <c r="M2442" s="516">
        <v>135</v>
      </c>
      <c r="N2442" s="505" t="s">
        <v>1233</v>
      </c>
    </row>
    <row r="2443" spans="1:14" x14ac:dyDescent="0.25">
      <c r="A2443" s="505" t="s">
        <v>6153</v>
      </c>
      <c r="B2443" s="505" t="s">
        <v>6154</v>
      </c>
      <c r="C2443" s="512" t="s">
        <v>9583</v>
      </c>
      <c r="D2443" s="512" t="s">
        <v>9591</v>
      </c>
      <c r="L2443" s="505" t="s">
        <v>114</v>
      </c>
      <c r="M2443" s="516">
        <v>224.6</v>
      </c>
      <c r="N2443" s="505" t="s">
        <v>114</v>
      </c>
    </row>
    <row r="2444" spans="1:14" x14ac:dyDescent="0.25">
      <c r="A2444" s="505" t="s">
        <v>6155</v>
      </c>
      <c r="B2444" s="505" t="s">
        <v>6156</v>
      </c>
      <c r="C2444" s="512" t="s">
        <v>9583</v>
      </c>
      <c r="D2444" s="512" t="s">
        <v>7581</v>
      </c>
      <c r="E2444" s="512" t="s">
        <v>238</v>
      </c>
      <c r="F2444" s="512" t="s">
        <v>7784</v>
      </c>
      <c r="G2444" s="512">
        <v>2</v>
      </c>
      <c r="H2444" s="512" t="s">
        <v>9592</v>
      </c>
      <c r="I2444" s="512" t="s">
        <v>8452</v>
      </c>
      <c r="L2444" s="505" t="s">
        <v>1233</v>
      </c>
      <c r="M2444" s="516">
        <v>356.4</v>
      </c>
      <c r="N2444" s="505" t="s">
        <v>1233</v>
      </c>
    </row>
    <row r="2445" spans="1:14" x14ac:dyDescent="0.25">
      <c r="A2445" s="505" t="s">
        <v>6157</v>
      </c>
      <c r="B2445" s="505" t="s">
        <v>6158</v>
      </c>
      <c r="C2445" s="512" t="s">
        <v>9583</v>
      </c>
      <c r="D2445" s="512" t="s">
        <v>7581</v>
      </c>
      <c r="E2445" s="512" t="s">
        <v>238</v>
      </c>
      <c r="F2445" s="512" t="s">
        <v>9533</v>
      </c>
      <c r="G2445" s="512">
        <v>2</v>
      </c>
      <c r="H2445" s="512" t="s">
        <v>9592</v>
      </c>
      <c r="I2445" s="512" t="s">
        <v>8452</v>
      </c>
      <c r="L2445" s="505" t="s">
        <v>1233</v>
      </c>
      <c r="M2445" s="516">
        <v>511.8</v>
      </c>
      <c r="N2445" s="505" t="s">
        <v>1233</v>
      </c>
    </row>
    <row r="2446" spans="1:14" x14ac:dyDescent="0.25">
      <c r="A2446" s="505" t="s">
        <v>6159</v>
      </c>
      <c r="B2446" s="505" t="s">
        <v>6160</v>
      </c>
      <c r="C2446" s="512" t="s">
        <v>9583</v>
      </c>
      <c r="D2446" s="512" t="s">
        <v>7581</v>
      </c>
      <c r="E2446" s="512" t="s">
        <v>238</v>
      </c>
      <c r="F2446" s="512" t="s">
        <v>8815</v>
      </c>
      <c r="G2446" s="512">
        <v>2</v>
      </c>
      <c r="H2446" s="512" t="s">
        <v>9592</v>
      </c>
      <c r="I2446" s="512" t="s">
        <v>8452</v>
      </c>
      <c r="L2446" s="505" t="s">
        <v>1233</v>
      </c>
      <c r="M2446" s="516">
        <v>711</v>
      </c>
      <c r="N2446" s="505" t="s">
        <v>1233</v>
      </c>
    </row>
    <row r="2447" spans="1:14" x14ac:dyDescent="0.25">
      <c r="A2447" s="505" t="s">
        <v>6161</v>
      </c>
      <c r="B2447" s="505" t="s">
        <v>6162</v>
      </c>
      <c r="C2447" s="512" t="s">
        <v>9583</v>
      </c>
      <c r="D2447" s="512" t="s">
        <v>7581</v>
      </c>
      <c r="E2447" s="512" t="s">
        <v>238</v>
      </c>
      <c r="F2447" s="512" t="s">
        <v>9593</v>
      </c>
      <c r="G2447" s="512">
        <v>2</v>
      </c>
      <c r="H2447" s="512" t="s">
        <v>9592</v>
      </c>
      <c r="I2447" s="512" t="s">
        <v>8452</v>
      </c>
      <c r="L2447" s="505" t="s">
        <v>1233</v>
      </c>
      <c r="M2447" s="516">
        <v>843</v>
      </c>
      <c r="N2447" s="505" t="s">
        <v>1233</v>
      </c>
    </row>
    <row r="2448" spans="1:14" x14ac:dyDescent="0.25">
      <c r="A2448" s="505" t="s">
        <v>6163</v>
      </c>
      <c r="B2448" s="505" t="s">
        <v>6164</v>
      </c>
      <c r="C2448" s="512" t="s">
        <v>9583</v>
      </c>
      <c r="D2448" s="512" t="s">
        <v>9594</v>
      </c>
      <c r="E2448" s="512">
        <v>2</v>
      </c>
      <c r="F2448" s="512" t="s">
        <v>9592</v>
      </c>
      <c r="G2448" s="512" t="s">
        <v>8452</v>
      </c>
      <c r="L2448" s="505" t="s">
        <v>1233</v>
      </c>
      <c r="M2448" s="516">
        <v>517.20000000000005</v>
      </c>
      <c r="N2448" s="505" t="s">
        <v>1233</v>
      </c>
    </row>
    <row r="2449" spans="1:14" x14ac:dyDescent="0.25">
      <c r="A2449" s="505" t="s">
        <v>6165</v>
      </c>
      <c r="B2449" s="505" t="s">
        <v>6166</v>
      </c>
      <c r="C2449" s="512" t="s">
        <v>9583</v>
      </c>
      <c r="D2449" s="512" t="s">
        <v>9595</v>
      </c>
      <c r="E2449" s="512">
        <v>2</v>
      </c>
      <c r="F2449" s="512" t="s">
        <v>9592</v>
      </c>
      <c r="G2449" s="512" t="s">
        <v>8452</v>
      </c>
      <c r="L2449" s="505" t="s">
        <v>1233</v>
      </c>
      <c r="M2449" s="516">
        <v>762.75</v>
      </c>
      <c r="N2449" s="505" t="s">
        <v>1233</v>
      </c>
    </row>
    <row r="2450" spans="1:14" x14ac:dyDescent="0.25">
      <c r="A2450" s="505" t="s">
        <v>6167</v>
      </c>
      <c r="B2450" s="505" t="s">
        <v>6168</v>
      </c>
      <c r="C2450" s="512" t="s">
        <v>9583</v>
      </c>
      <c r="D2450" s="512" t="s">
        <v>9596</v>
      </c>
      <c r="E2450" s="512">
        <v>2</v>
      </c>
      <c r="F2450" s="512" t="s">
        <v>9592</v>
      </c>
      <c r="G2450" s="512" t="s">
        <v>8452</v>
      </c>
      <c r="L2450" s="505" t="s">
        <v>1233</v>
      </c>
      <c r="M2450" s="516">
        <v>896.5</v>
      </c>
      <c r="N2450" s="505" t="s">
        <v>1233</v>
      </c>
    </row>
    <row r="2451" spans="1:14" x14ac:dyDescent="0.25">
      <c r="A2451" s="505" t="s">
        <v>6169</v>
      </c>
      <c r="B2451" s="505" t="s">
        <v>6170</v>
      </c>
      <c r="C2451" s="512" t="s">
        <v>9587</v>
      </c>
      <c r="D2451" s="512" t="s">
        <v>9597</v>
      </c>
      <c r="E2451" s="512" t="s">
        <v>9555</v>
      </c>
      <c r="F2451" s="512" t="s">
        <v>9598</v>
      </c>
      <c r="G2451" s="512" t="s">
        <v>9599</v>
      </c>
      <c r="L2451" s="505" t="s">
        <v>1233</v>
      </c>
      <c r="M2451" s="516">
        <v>277.95</v>
      </c>
      <c r="N2451" s="505" t="s">
        <v>1233</v>
      </c>
    </row>
    <row r="2452" spans="1:14" x14ac:dyDescent="0.25">
      <c r="A2452" s="505" t="s">
        <v>6171</v>
      </c>
      <c r="B2452" s="505" t="s">
        <v>6172</v>
      </c>
      <c r="C2452" s="512" t="s">
        <v>9583</v>
      </c>
      <c r="D2452" s="512" t="s">
        <v>9600</v>
      </c>
      <c r="E2452" s="512" t="s">
        <v>8792</v>
      </c>
      <c r="F2452" s="512" t="s">
        <v>9598</v>
      </c>
      <c r="G2452" s="512" t="s">
        <v>9585</v>
      </c>
      <c r="L2452" s="505" t="s">
        <v>1233</v>
      </c>
      <c r="M2452" s="516">
        <v>400.55</v>
      </c>
      <c r="N2452" s="505" t="s">
        <v>1233</v>
      </c>
    </row>
    <row r="2453" spans="1:14" x14ac:dyDescent="0.25">
      <c r="A2453" s="505" t="s">
        <v>6173</v>
      </c>
      <c r="B2453" s="505" t="s">
        <v>6174</v>
      </c>
      <c r="C2453" s="512" t="s">
        <v>9587</v>
      </c>
      <c r="D2453" s="512" t="s">
        <v>9601</v>
      </c>
      <c r="E2453" s="512" t="s">
        <v>9555</v>
      </c>
      <c r="F2453" s="512" t="s">
        <v>9598</v>
      </c>
      <c r="G2453" s="512" t="s">
        <v>9599</v>
      </c>
      <c r="L2453" s="505" t="s">
        <v>1233</v>
      </c>
      <c r="M2453" s="516">
        <v>513.5</v>
      </c>
      <c r="N2453" s="505" t="s">
        <v>1233</v>
      </c>
    </row>
    <row r="2454" spans="1:14" x14ac:dyDescent="0.25">
      <c r="A2454" s="505" t="s">
        <v>6175</v>
      </c>
      <c r="B2454" s="505" t="s">
        <v>6176</v>
      </c>
      <c r="C2454" s="512" t="s">
        <v>9587</v>
      </c>
      <c r="D2454" s="512" t="s">
        <v>9602</v>
      </c>
      <c r="E2454" s="512" t="s">
        <v>9555</v>
      </c>
      <c r="F2454" s="512" t="s">
        <v>9598</v>
      </c>
      <c r="G2454" s="512" t="s">
        <v>9599</v>
      </c>
      <c r="L2454" s="505" t="s">
        <v>1233</v>
      </c>
      <c r="M2454" s="516">
        <v>141.69999999999999</v>
      </c>
      <c r="N2454" s="505" t="s">
        <v>1233</v>
      </c>
    </row>
    <row r="2455" spans="1:14" x14ac:dyDescent="0.25">
      <c r="A2455" s="505" t="s">
        <v>6177</v>
      </c>
      <c r="B2455" s="505" t="s">
        <v>6178</v>
      </c>
      <c r="C2455" s="512" t="s">
        <v>9583</v>
      </c>
      <c r="D2455" s="512" t="s">
        <v>8512</v>
      </c>
      <c r="E2455" s="512" t="s">
        <v>9603</v>
      </c>
      <c r="L2455" s="505" t="s">
        <v>114</v>
      </c>
      <c r="M2455" s="516">
        <v>65.7</v>
      </c>
      <c r="N2455" s="505" t="s">
        <v>114</v>
      </c>
    </row>
    <row r="2456" spans="1:14" x14ac:dyDescent="0.25">
      <c r="A2456" s="505" t="s">
        <v>6179</v>
      </c>
      <c r="B2456" s="505" t="s">
        <v>6180</v>
      </c>
      <c r="C2456" s="512" t="s">
        <v>9604</v>
      </c>
      <c r="D2456" s="512" t="s">
        <v>9552</v>
      </c>
      <c r="E2456" s="512" t="s">
        <v>9605</v>
      </c>
      <c r="F2456" s="512" t="s">
        <v>9606</v>
      </c>
      <c r="G2456" s="512" t="s">
        <v>9607</v>
      </c>
      <c r="L2456" s="505" t="s">
        <v>114</v>
      </c>
      <c r="M2456" s="516">
        <v>32.85</v>
      </c>
      <c r="N2456" s="505" t="s">
        <v>114</v>
      </c>
    </row>
    <row r="2457" spans="1:14" x14ac:dyDescent="0.25">
      <c r="A2457" s="505" t="s">
        <v>6181</v>
      </c>
      <c r="B2457" s="505" t="s">
        <v>6182</v>
      </c>
      <c r="C2457" s="512" t="s">
        <v>9604</v>
      </c>
      <c r="D2457" s="512" t="s">
        <v>9552</v>
      </c>
      <c r="E2457" s="512" t="s">
        <v>9605</v>
      </c>
      <c r="F2457" s="512" t="s">
        <v>9606</v>
      </c>
      <c r="G2457" s="512" t="s">
        <v>9608</v>
      </c>
      <c r="L2457" s="505" t="s">
        <v>114</v>
      </c>
      <c r="M2457" s="516">
        <v>102.06</v>
      </c>
      <c r="N2457" s="505" t="s">
        <v>114</v>
      </c>
    </row>
    <row r="2458" spans="1:14" x14ac:dyDescent="0.25">
      <c r="A2458" s="505" t="s">
        <v>6183</v>
      </c>
      <c r="B2458" s="505" t="s">
        <v>6184</v>
      </c>
      <c r="C2458" s="512" t="s">
        <v>9604</v>
      </c>
      <c r="D2458" s="512" t="s">
        <v>9552</v>
      </c>
      <c r="E2458" s="512" t="s">
        <v>9605</v>
      </c>
      <c r="F2458" s="512" t="s">
        <v>9606</v>
      </c>
      <c r="G2458" s="512" t="s">
        <v>9609</v>
      </c>
      <c r="L2458" s="505" t="s">
        <v>114</v>
      </c>
      <c r="M2458" s="516">
        <v>18.66</v>
      </c>
      <c r="N2458" s="505" t="s">
        <v>114</v>
      </c>
    </row>
    <row r="2459" spans="1:14" x14ac:dyDescent="0.25">
      <c r="A2459" s="505" t="s">
        <v>6185</v>
      </c>
      <c r="B2459" s="505" t="s">
        <v>6186</v>
      </c>
      <c r="C2459" s="512" t="s">
        <v>9604</v>
      </c>
      <c r="D2459" s="512" t="s">
        <v>9552</v>
      </c>
      <c r="E2459" s="512" t="s">
        <v>9605</v>
      </c>
      <c r="F2459" s="512" t="s">
        <v>9606</v>
      </c>
      <c r="G2459" s="512" t="s">
        <v>9610</v>
      </c>
      <c r="L2459" s="505" t="s">
        <v>114</v>
      </c>
      <c r="M2459" s="516">
        <v>123</v>
      </c>
      <c r="N2459" s="505" t="s">
        <v>114</v>
      </c>
    </row>
    <row r="2460" spans="1:14" x14ac:dyDescent="0.25">
      <c r="A2460" s="505" t="s">
        <v>6187</v>
      </c>
      <c r="B2460" s="505" t="s">
        <v>6188</v>
      </c>
      <c r="C2460" s="512" t="s">
        <v>9604</v>
      </c>
      <c r="D2460" s="512" t="s">
        <v>9552</v>
      </c>
      <c r="E2460" s="512" t="s">
        <v>9611</v>
      </c>
      <c r="F2460" s="512" t="s">
        <v>9606</v>
      </c>
      <c r="G2460" s="512" t="s">
        <v>9612</v>
      </c>
      <c r="L2460" s="505" t="s">
        <v>114</v>
      </c>
      <c r="M2460" s="516">
        <v>317.66000000000003</v>
      </c>
      <c r="N2460" s="505" t="s">
        <v>114</v>
      </c>
    </row>
    <row r="2461" spans="1:14" x14ac:dyDescent="0.25">
      <c r="A2461" s="505" t="s">
        <v>6189</v>
      </c>
      <c r="B2461" s="505" t="s">
        <v>6190</v>
      </c>
      <c r="C2461" s="512" t="s">
        <v>9613</v>
      </c>
      <c r="D2461" s="512" t="s">
        <v>7707</v>
      </c>
      <c r="E2461" s="512" t="s">
        <v>9407</v>
      </c>
      <c r="F2461" s="512" t="s">
        <v>9614</v>
      </c>
      <c r="G2461" s="512" t="s">
        <v>9615</v>
      </c>
      <c r="H2461" s="512" t="s">
        <v>9616</v>
      </c>
      <c r="L2461" s="505" t="s">
        <v>114</v>
      </c>
      <c r="M2461" s="516">
        <v>161.19</v>
      </c>
      <c r="N2461" s="505" t="s">
        <v>114</v>
      </c>
    </row>
    <row r="2462" spans="1:14" x14ac:dyDescent="0.25">
      <c r="A2462" s="505" t="s">
        <v>6191</v>
      </c>
      <c r="B2462" s="505" t="s">
        <v>6192</v>
      </c>
      <c r="C2462" s="512" t="s">
        <v>9613</v>
      </c>
      <c r="D2462" s="512" t="s">
        <v>9617</v>
      </c>
      <c r="E2462" s="512" t="s">
        <v>9618</v>
      </c>
      <c r="F2462" s="512" t="s">
        <v>7784</v>
      </c>
      <c r="G2462" s="512" t="s">
        <v>9619</v>
      </c>
      <c r="L2462" s="505" t="s">
        <v>1233</v>
      </c>
      <c r="M2462" s="516">
        <v>199.08</v>
      </c>
      <c r="N2462" s="505" t="s">
        <v>1233</v>
      </c>
    </row>
    <row r="2463" spans="1:14" s="530" customFormat="1" x14ac:dyDescent="0.25">
      <c r="A2463" s="530" t="s">
        <v>6193</v>
      </c>
      <c r="B2463" s="530" t="s">
        <v>6194</v>
      </c>
      <c r="C2463" s="531" t="s">
        <v>8732</v>
      </c>
      <c r="D2463" s="531" t="s">
        <v>8741</v>
      </c>
      <c r="E2463" s="531" t="s">
        <v>9402</v>
      </c>
      <c r="F2463" s="531" t="s">
        <v>9524</v>
      </c>
      <c r="G2463" s="531" t="s">
        <v>511</v>
      </c>
      <c r="H2463" s="531" t="s">
        <v>7471</v>
      </c>
      <c r="I2463" s="531"/>
      <c r="L2463" s="530" t="s">
        <v>114</v>
      </c>
      <c r="M2463" s="532">
        <v>0</v>
      </c>
      <c r="N2463" s="530" t="s">
        <v>1544</v>
      </c>
    </row>
    <row r="2464" spans="1:14" s="530" customFormat="1" x14ac:dyDescent="0.25">
      <c r="A2464" s="530" t="s">
        <v>6195</v>
      </c>
      <c r="B2464" s="530" t="s">
        <v>6196</v>
      </c>
      <c r="C2464" s="531" t="s">
        <v>8732</v>
      </c>
      <c r="D2464" s="531" t="s">
        <v>8741</v>
      </c>
      <c r="E2464" s="531" t="s">
        <v>9402</v>
      </c>
      <c r="F2464" s="531" t="s">
        <v>9524</v>
      </c>
      <c r="G2464" s="531" t="s">
        <v>8736</v>
      </c>
      <c r="H2464" s="531" t="s">
        <v>8709</v>
      </c>
      <c r="I2464" s="531"/>
      <c r="L2464" s="530" t="s">
        <v>114</v>
      </c>
      <c r="M2464" s="532">
        <v>0</v>
      </c>
      <c r="N2464" s="530" t="s">
        <v>1544</v>
      </c>
    </row>
    <row r="2465" spans="1:14" s="530" customFormat="1" x14ac:dyDescent="0.25">
      <c r="A2465" s="530" t="s">
        <v>6197</v>
      </c>
      <c r="B2465" s="530" t="s">
        <v>6198</v>
      </c>
      <c r="C2465" s="531" t="s">
        <v>8732</v>
      </c>
      <c r="D2465" s="531" t="s">
        <v>8741</v>
      </c>
      <c r="E2465" s="531" t="s">
        <v>9402</v>
      </c>
      <c r="F2465" s="531" t="s">
        <v>9524</v>
      </c>
      <c r="G2465" s="531" t="s">
        <v>8537</v>
      </c>
      <c r="H2465" s="531" t="s">
        <v>8753</v>
      </c>
      <c r="I2465" s="531"/>
      <c r="L2465" s="530" t="s">
        <v>114</v>
      </c>
      <c r="M2465" s="532">
        <v>0</v>
      </c>
      <c r="N2465" s="530" t="s">
        <v>1544</v>
      </c>
    </row>
    <row r="2466" spans="1:14" s="530" customFormat="1" x14ac:dyDescent="0.25">
      <c r="A2466" s="530" t="s">
        <v>6199</v>
      </c>
      <c r="B2466" s="530" t="s">
        <v>6200</v>
      </c>
      <c r="C2466" s="531" t="s">
        <v>8732</v>
      </c>
      <c r="D2466" s="531" t="s">
        <v>8741</v>
      </c>
      <c r="E2466" s="531" t="s">
        <v>9402</v>
      </c>
      <c r="F2466" s="531" t="s">
        <v>9524</v>
      </c>
      <c r="G2466" s="531" t="s">
        <v>8552</v>
      </c>
      <c r="H2466" s="531" t="s">
        <v>7471</v>
      </c>
      <c r="I2466" s="531"/>
      <c r="L2466" s="530" t="s">
        <v>114</v>
      </c>
      <c r="M2466" s="532">
        <v>0</v>
      </c>
      <c r="N2466" s="530" t="s">
        <v>1544</v>
      </c>
    </row>
    <row r="2467" spans="1:14" s="530" customFormat="1" x14ac:dyDescent="0.25">
      <c r="A2467" s="530" t="s">
        <v>6201</v>
      </c>
      <c r="B2467" s="530" t="s">
        <v>6202</v>
      </c>
      <c r="C2467" s="531" t="s">
        <v>8732</v>
      </c>
      <c r="D2467" s="531" t="s">
        <v>8741</v>
      </c>
      <c r="E2467" s="531" t="s">
        <v>9402</v>
      </c>
      <c r="F2467" s="531" t="s">
        <v>9524</v>
      </c>
      <c r="G2467" s="531" t="s">
        <v>8401</v>
      </c>
      <c r="H2467" s="531" t="s">
        <v>8546</v>
      </c>
      <c r="I2467" s="531"/>
      <c r="L2467" s="530" t="s">
        <v>114</v>
      </c>
      <c r="M2467" s="532">
        <v>0</v>
      </c>
      <c r="N2467" s="530" t="s">
        <v>1544</v>
      </c>
    </row>
    <row r="2468" spans="1:14" x14ac:dyDescent="0.25">
      <c r="A2468" s="505" t="s">
        <v>6203</v>
      </c>
      <c r="B2468" s="505" t="s">
        <v>6204</v>
      </c>
      <c r="C2468" s="512" t="s">
        <v>8732</v>
      </c>
      <c r="D2468" s="512" t="s">
        <v>8733</v>
      </c>
      <c r="E2468" s="512" t="s">
        <v>9091</v>
      </c>
      <c r="F2468" s="512" t="s">
        <v>8769</v>
      </c>
      <c r="G2468" s="512" t="s">
        <v>8761</v>
      </c>
      <c r="H2468" s="512" t="s">
        <v>9620</v>
      </c>
      <c r="I2468" s="512" t="s">
        <v>7471</v>
      </c>
      <c r="L2468" s="505" t="s">
        <v>1233</v>
      </c>
      <c r="M2468" s="516">
        <v>131.11000000000001</v>
      </c>
      <c r="N2468" s="505" t="s">
        <v>1233</v>
      </c>
    </row>
    <row r="2469" spans="1:14" x14ac:dyDescent="0.25">
      <c r="A2469" s="505" t="s">
        <v>6205</v>
      </c>
      <c r="B2469" s="505" t="s">
        <v>6206</v>
      </c>
      <c r="C2469" s="512" t="s">
        <v>8759</v>
      </c>
      <c r="D2469" s="512" t="s">
        <v>9621</v>
      </c>
      <c r="E2469" s="512" t="s">
        <v>9091</v>
      </c>
      <c r="F2469" s="512" t="s">
        <v>8798</v>
      </c>
      <c r="G2469" s="512" t="s">
        <v>7784</v>
      </c>
      <c r="H2469" s="512" t="s">
        <v>8781</v>
      </c>
      <c r="I2469" s="512" t="s">
        <v>7471</v>
      </c>
      <c r="L2469" s="505" t="s">
        <v>1233</v>
      </c>
      <c r="M2469" s="516">
        <v>76.17</v>
      </c>
      <c r="N2469" s="505" t="s">
        <v>1233</v>
      </c>
    </row>
    <row r="2470" spans="1:14" x14ac:dyDescent="0.25">
      <c r="A2470" s="505" t="s">
        <v>6207</v>
      </c>
      <c r="B2470" s="505" t="s">
        <v>6208</v>
      </c>
      <c r="C2470" s="512" t="s">
        <v>8759</v>
      </c>
      <c r="D2470" s="512" t="s">
        <v>9621</v>
      </c>
      <c r="E2470" s="512" t="s">
        <v>9091</v>
      </c>
      <c r="F2470" s="512" t="s">
        <v>8798</v>
      </c>
      <c r="G2470" s="512" t="s">
        <v>7784</v>
      </c>
      <c r="H2470" s="512" t="s">
        <v>8755</v>
      </c>
      <c r="I2470" s="512" t="s">
        <v>7471</v>
      </c>
      <c r="L2470" s="505" t="s">
        <v>1233</v>
      </c>
      <c r="M2470" s="516">
        <v>76.17</v>
      </c>
      <c r="N2470" s="505" t="s">
        <v>1233</v>
      </c>
    </row>
    <row r="2471" spans="1:14" x14ac:dyDescent="0.25">
      <c r="A2471" s="505" t="s">
        <v>6209</v>
      </c>
      <c r="B2471" s="505" t="s">
        <v>6210</v>
      </c>
      <c r="C2471" s="512" t="s">
        <v>8759</v>
      </c>
      <c r="D2471" s="512" t="s">
        <v>9621</v>
      </c>
      <c r="E2471" s="512" t="s">
        <v>9091</v>
      </c>
      <c r="F2471" s="512" t="s">
        <v>8798</v>
      </c>
      <c r="G2471" s="512" t="s">
        <v>8761</v>
      </c>
      <c r="H2471" s="512" t="s">
        <v>8807</v>
      </c>
      <c r="I2471" s="512" t="s">
        <v>9622</v>
      </c>
      <c r="L2471" s="505" t="s">
        <v>1233</v>
      </c>
      <c r="M2471" s="516">
        <v>119.03</v>
      </c>
      <c r="N2471" s="505" t="s">
        <v>1233</v>
      </c>
    </row>
    <row r="2472" spans="1:14" x14ac:dyDescent="0.25">
      <c r="A2472" s="505" t="s">
        <v>6211</v>
      </c>
      <c r="B2472" s="505" t="s">
        <v>6212</v>
      </c>
      <c r="C2472" s="512" t="s">
        <v>8759</v>
      </c>
      <c r="D2472" s="512" t="s">
        <v>9621</v>
      </c>
      <c r="E2472" s="512" t="s">
        <v>9091</v>
      </c>
      <c r="F2472" s="512" t="s">
        <v>8798</v>
      </c>
      <c r="G2472" s="512" t="s">
        <v>8761</v>
      </c>
      <c r="H2472" s="512" t="s">
        <v>8781</v>
      </c>
      <c r="I2472" s="512" t="s">
        <v>7471</v>
      </c>
      <c r="L2472" s="505" t="s">
        <v>1233</v>
      </c>
      <c r="M2472" s="516">
        <v>119.03</v>
      </c>
      <c r="N2472" s="505" t="s">
        <v>1233</v>
      </c>
    </row>
    <row r="2473" spans="1:14" x14ac:dyDescent="0.25">
      <c r="A2473" s="505" t="s">
        <v>6213</v>
      </c>
      <c r="B2473" s="505" t="s">
        <v>6214</v>
      </c>
      <c r="C2473" s="512" t="s">
        <v>8759</v>
      </c>
      <c r="D2473" s="512" t="s">
        <v>9621</v>
      </c>
      <c r="E2473" s="512" t="s">
        <v>9091</v>
      </c>
      <c r="F2473" s="512" t="s">
        <v>8798</v>
      </c>
      <c r="G2473" s="512" t="s">
        <v>8761</v>
      </c>
      <c r="H2473" s="512" t="s">
        <v>8755</v>
      </c>
      <c r="I2473" s="512" t="s">
        <v>7471</v>
      </c>
      <c r="L2473" s="505" t="s">
        <v>1233</v>
      </c>
      <c r="M2473" s="516">
        <v>119.03</v>
      </c>
      <c r="N2473" s="505" t="s">
        <v>1233</v>
      </c>
    </row>
    <row r="2474" spans="1:14" x14ac:dyDescent="0.25">
      <c r="A2474" s="505" t="s">
        <v>6215</v>
      </c>
      <c r="B2474" s="505" t="s">
        <v>6216</v>
      </c>
      <c r="C2474" s="512" t="s">
        <v>8759</v>
      </c>
      <c r="D2474" s="512" t="s">
        <v>9621</v>
      </c>
      <c r="E2474" s="512" t="s">
        <v>8769</v>
      </c>
      <c r="F2474" s="512" t="s">
        <v>8761</v>
      </c>
      <c r="L2474" s="505" t="s">
        <v>1233</v>
      </c>
      <c r="M2474" s="516">
        <v>43.54</v>
      </c>
      <c r="N2474" s="505" t="s">
        <v>1233</v>
      </c>
    </row>
    <row r="2475" spans="1:14" x14ac:dyDescent="0.25">
      <c r="A2475" s="505" t="s">
        <v>6217</v>
      </c>
      <c r="B2475" s="505" t="s">
        <v>6218</v>
      </c>
      <c r="C2475" s="512" t="s">
        <v>8759</v>
      </c>
      <c r="D2475" s="512" t="s">
        <v>9621</v>
      </c>
      <c r="E2475" s="512" t="s">
        <v>8798</v>
      </c>
      <c r="F2475" s="512" t="s">
        <v>8761</v>
      </c>
      <c r="G2475" s="512" t="s">
        <v>522</v>
      </c>
      <c r="H2475" s="512" t="s">
        <v>8336</v>
      </c>
      <c r="L2475" s="505" t="s">
        <v>1233</v>
      </c>
      <c r="M2475" s="516">
        <v>29.92</v>
      </c>
      <c r="N2475" s="505" t="s">
        <v>1233</v>
      </c>
    </row>
    <row r="2476" spans="1:14" x14ac:dyDescent="0.25">
      <c r="A2476" s="505" t="s">
        <v>6219</v>
      </c>
      <c r="B2476" s="505" t="s">
        <v>6220</v>
      </c>
      <c r="C2476" s="512" t="s">
        <v>8759</v>
      </c>
      <c r="D2476" s="512" t="s">
        <v>9621</v>
      </c>
      <c r="E2476" s="512" t="s">
        <v>8798</v>
      </c>
      <c r="F2476" s="512" t="s">
        <v>8761</v>
      </c>
      <c r="G2476" s="512" t="s">
        <v>7492</v>
      </c>
      <c r="H2476" s="512" t="s">
        <v>7471</v>
      </c>
      <c r="L2476" s="505" t="s">
        <v>1233</v>
      </c>
      <c r="M2476" s="516">
        <v>29.92</v>
      </c>
      <c r="N2476" s="505" t="s">
        <v>1233</v>
      </c>
    </row>
    <row r="2477" spans="1:14" x14ac:dyDescent="0.25">
      <c r="A2477" s="505" t="s">
        <v>6221</v>
      </c>
      <c r="B2477" s="505" t="s">
        <v>6222</v>
      </c>
      <c r="C2477" s="512" t="s">
        <v>8759</v>
      </c>
      <c r="D2477" s="512" t="s">
        <v>9621</v>
      </c>
      <c r="E2477" s="512" t="s">
        <v>8798</v>
      </c>
      <c r="F2477" s="512" t="s">
        <v>8761</v>
      </c>
      <c r="G2477" s="512" t="s">
        <v>8740</v>
      </c>
      <c r="H2477" s="512" t="s">
        <v>7471</v>
      </c>
      <c r="L2477" s="505" t="s">
        <v>1233</v>
      </c>
      <c r="M2477" s="516">
        <v>29.92</v>
      </c>
      <c r="N2477" s="505" t="s">
        <v>1233</v>
      </c>
    </row>
    <row r="2478" spans="1:14" x14ac:dyDescent="0.25">
      <c r="A2478" s="505" t="s">
        <v>6223</v>
      </c>
      <c r="B2478" s="505" t="s">
        <v>6224</v>
      </c>
      <c r="C2478" s="512" t="s">
        <v>8759</v>
      </c>
      <c r="D2478" s="512" t="s">
        <v>9621</v>
      </c>
      <c r="E2478" s="512" t="s">
        <v>8798</v>
      </c>
      <c r="F2478" s="512" t="s">
        <v>7784</v>
      </c>
      <c r="G2478" s="512" t="s">
        <v>8751</v>
      </c>
      <c r="H2478" s="512" t="s">
        <v>9623</v>
      </c>
      <c r="L2478" s="505" t="s">
        <v>1233</v>
      </c>
      <c r="M2478" s="516">
        <v>17.88</v>
      </c>
      <c r="N2478" s="505" t="s">
        <v>1233</v>
      </c>
    </row>
    <row r="2479" spans="1:14" x14ac:dyDescent="0.25">
      <c r="A2479" s="505" t="s">
        <v>6225</v>
      </c>
      <c r="B2479" s="505" t="s">
        <v>6226</v>
      </c>
      <c r="C2479" s="512" t="s">
        <v>8759</v>
      </c>
      <c r="D2479" s="512" t="s">
        <v>9621</v>
      </c>
      <c r="E2479" s="512" t="s">
        <v>8798</v>
      </c>
      <c r="F2479" s="512" t="s">
        <v>8761</v>
      </c>
      <c r="L2479" s="505" t="s">
        <v>1233</v>
      </c>
      <c r="M2479" s="516">
        <v>29.92</v>
      </c>
      <c r="N2479" s="505" t="s">
        <v>1233</v>
      </c>
    </row>
    <row r="2480" spans="1:14" x14ac:dyDescent="0.25">
      <c r="A2480" s="505" t="s">
        <v>6227</v>
      </c>
      <c r="B2480" s="505" t="s">
        <v>6228</v>
      </c>
      <c r="C2480" s="512" t="s">
        <v>8759</v>
      </c>
      <c r="D2480" s="512" t="s">
        <v>9621</v>
      </c>
      <c r="E2480" s="512" t="s">
        <v>8798</v>
      </c>
      <c r="F2480" s="512" t="s">
        <v>7784</v>
      </c>
      <c r="G2480" s="512" t="s">
        <v>8807</v>
      </c>
      <c r="H2480" s="512" t="s">
        <v>9489</v>
      </c>
      <c r="L2480" s="505" t="s">
        <v>1233</v>
      </c>
      <c r="M2480" s="516">
        <v>17.88</v>
      </c>
      <c r="N2480" s="505" t="s">
        <v>1233</v>
      </c>
    </row>
    <row r="2481" spans="1:14" x14ac:dyDescent="0.25">
      <c r="A2481" s="505" t="s">
        <v>6229</v>
      </c>
      <c r="B2481" s="505" t="s">
        <v>6230</v>
      </c>
      <c r="C2481" s="512" t="s">
        <v>8759</v>
      </c>
      <c r="D2481" s="512" t="s">
        <v>9621</v>
      </c>
      <c r="E2481" s="512" t="s">
        <v>8798</v>
      </c>
      <c r="F2481" s="512" t="s">
        <v>7784</v>
      </c>
      <c r="G2481" s="512" t="s">
        <v>8547</v>
      </c>
      <c r="H2481" s="512" t="s">
        <v>9624</v>
      </c>
      <c r="L2481" s="505" t="s">
        <v>1233</v>
      </c>
      <c r="M2481" s="516">
        <v>17.88</v>
      </c>
      <c r="N2481" s="505" t="s">
        <v>1233</v>
      </c>
    </row>
    <row r="2482" spans="1:14" x14ac:dyDescent="0.25">
      <c r="A2482" s="505" t="s">
        <v>6231</v>
      </c>
      <c r="B2482" s="505" t="s">
        <v>6232</v>
      </c>
      <c r="C2482" s="512" t="s">
        <v>8759</v>
      </c>
      <c r="D2482" s="512" t="s">
        <v>9621</v>
      </c>
      <c r="E2482" s="512" t="s">
        <v>8798</v>
      </c>
      <c r="F2482" s="512" t="s">
        <v>7784</v>
      </c>
      <c r="G2482" s="512" t="s">
        <v>7953</v>
      </c>
      <c r="H2482" s="512" t="s">
        <v>7471</v>
      </c>
      <c r="L2482" s="505" t="s">
        <v>1233</v>
      </c>
      <c r="M2482" s="516">
        <v>17.88</v>
      </c>
      <c r="N2482" s="505" t="s">
        <v>1233</v>
      </c>
    </row>
    <row r="2483" spans="1:14" x14ac:dyDescent="0.25">
      <c r="A2483" s="505" t="s">
        <v>6233</v>
      </c>
      <c r="B2483" s="505" t="s">
        <v>6234</v>
      </c>
      <c r="C2483" s="512" t="s">
        <v>8759</v>
      </c>
      <c r="D2483" s="512" t="s">
        <v>9621</v>
      </c>
      <c r="E2483" s="512" t="s">
        <v>8798</v>
      </c>
      <c r="F2483" s="512" t="s">
        <v>7784</v>
      </c>
      <c r="G2483" s="512" t="s">
        <v>8740</v>
      </c>
      <c r="H2483" s="512" t="s">
        <v>7471</v>
      </c>
      <c r="L2483" s="505" t="s">
        <v>1233</v>
      </c>
      <c r="M2483" s="516">
        <v>17.88</v>
      </c>
      <c r="N2483" s="505" t="s">
        <v>1233</v>
      </c>
    </row>
    <row r="2484" spans="1:14" s="530" customFormat="1" x14ac:dyDescent="0.25">
      <c r="A2484" s="530" t="s">
        <v>6235</v>
      </c>
      <c r="B2484" s="530" t="s">
        <v>6236</v>
      </c>
      <c r="C2484" s="531" t="s">
        <v>8759</v>
      </c>
      <c r="D2484" s="531" t="s">
        <v>9621</v>
      </c>
      <c r="E2484" s="531" t="s">
        <v>8941</v>
      </c>
      <c r="F2484" s="531" t="s">
        <v>9625</v>
      </c>
      <c r="G2484" s="531" t="s">
        <v>9626</v>
      </c>
      <c r="H2484" s="531" t="s">
        <v>511</v>
      </c>
      <c r="I2484" s="531" t="s">
        <v>7471</v>
      </c>
      <c r="L2484" s="530" t="s">
        <v>114</v>
      </c>
      <c r="M2484" s="532">
        <v>0</v>
      </c>
      <c r="N2484" s="530" t="s">
        <v>1544</v>
      </c>
    </row>
    <row r="2485" spans="1:14" x14ac:dyDescent="0.25">
      <c r="A2485" s="505" t="s">
        <v>6237</v>
      </c>
      <c r="B2485" s="505" t="s">
        <v>6238</v>
      </c>
      <c r="C2485" s="512" t="s">
        <v>8759</v>
      </c>
      <c r="D2485" s="512" t="s">
        <v>9621</v>
      </c>
      <c r="E2485" s="512" t="s">
        <v>8941</v>
      </c>
      <c r="F2485" s="512" t="s">
        <v>9625</v>
      </c>
      <c r="G2485" s="512" t="s">
        <v>9626</v>
      </c>
      <c r="H2485" s="512" t="s">
        <v>8736</v>
      </c>
      <c r="I2485" s="512" t="s">
        <v>8709</v>
      </c>
      <c r="L2485" s="505" t="s">
        <v>114</v>
      </c>
      <c r="M2485" s="516">
        <v>40.06</v>
      </c>
      <c r="N2485" s="505" t="s">
        <v>114</v>
      </c>
    </row>
    <row r="2486" spans="1:14" x14ac:dyDescent="0.25">
      <c r="A2486" s="505" t="s">
        <v>6239</v>
      </c>
      <c r="B2486" s="505" t="s">
        <v>6240</v>
      </c>
      <c r="C2486" s="512" t="s">
        <v>8759</v>
      </c>
      <c r="D2486" s="512" t="s">
        <v>9621</v>
      </c>
      <c r="E2486" s="512" t="s">
        <v>8941</v>
      </c>
      <c r="F2486" s="512" t="s">
        <v>9625</v>
      </c>
      <c r="G2486" s="512" t="s">
        <v>9626</v>
      </c>
      <c r="H2486" s="512" t="s">
        <v>8773</v>
      </c>
      <c r="I2486" s="512" t="s">
        <v>9627</v>
      </c>
      <c r="L2486" s="505" t="s">
        <v>114</v>
      </c>
      <c r="M2486" s="516">
        <v>40.06</v>
      </c>
      <c r="N2486" s="505" t="s">
        <v>114</v>
      </c>
    </row>
    <row r="2487" spans="1:14" x14ac:dyDescent="0.25">
      <c r="A2487" s="505" t="s">
        <v>6241</v>
      </c>
      <c r="B2487" s="505" t="s">
        <v>6242</v>
      </c>
      <c r="C2487" s="512" t="s">
        <v>8759</v>
      </c>
      <c r="D2487" s="512" t="s">
        <v>9621</v>
      </c>
      <c r="E2487" s="512" t="s">
        <v>8941</v>
      </c>
      <c r="F2487" s="512" t="s">
        <v>9625</v>
      </c>
      <c r="G2487" s="512" t="s">
        <v>9626</v>
      </c>
      <c r="H2487" s="512" t="s">
        <v>8547</v>
      </c>
      <c r="I2487" s="512" t="s">
        <v>9628</v>
      </c>
      <c r="L2487" s="505" t="s">
        <v>114</v>
      </c>
      <c r="M2487" s="516">
        <v>40.06</v>
      </c>
      <c r="N2487" s="505" t="s">
        <v>114</v>
      </c>
    </row>
    <row r="2488" spans="1:14" x14ac:dyDescent="0.25">
      <c r="A2488" s="505" t="s">
        <v>6243</v>
      </c>
      <c r="B2488" s="505" t="s">
        <v>6244</v>
      </c>
      <c r="C2488" s="512" t="s">
        <v>8759</v>
      </c>
      <c r="D2488" s="512" t="s">
        <v>9621</v>
      </c>
      <c r="E2488" s="512" t="s">
        <v>8941</v>
      </c>
      <c r="F2488" s="512" t="s">
        <v>9625</v>
      </c>
      <c r="G2488" s="512" t="s">
        <v>9626</v>
      </c>
      <c r="H2488" s="512" t="s">
        <v>7953</v>
      </c>
      <c r="I2488" s="512" t="s">
        <v>8785</v>
      </c>
      <c r="L2488" s="505" t="s">
        <v>114</v>
      </c>
      <c r="M2488" s="516">
        <v>40.06</v>
      </c>
      <c r="N2488" s="505" t="s">
        <v>114</v>
      </c>
    </row>
    <row r="2489" spans="1:14" x14ac:dyDescent="0.25">
      <c r="A2489" s="505" t="s">
        <v>6245</v>
      </c>
      <c r="B2489" s="505" t="s">
        <v>6246</v>
      </c>
      <c r="C2489" s="512" t="s">
        <v>8759</v>
      </c>
      <c r="D2489" s="512" t="s">
        <v>9621</v>
      </c>
      <c r="E2489" s="512" t="s">
        <v>8941</v>
      </c>
      <c r="F2489" s="512" t="s">
        <v>9625</v>
      </c>
      <c r="G2489" s="512" t="s">
        <v>9626</v>
      </c>
      <c r="H2489" s="512" t="s">
        <v>8762</v>
      </c>
      <c r="I2489" s="512" t="s">
        <v>7471</v>
      </c>
      <c r="L2489" s="505" t="s">
        <v>114</v>
      </c>
      <c r="M2489" s="516">
        <v>40.06</v>
      </c>
      <c r="N2489" s="505" t="s">
        <v>114</v>
      </c>
    </row>
    <row r="2490" spans="1:14" x14ac:dyDescent="0.25">
      <c r="A2490" s="505" t="s">
        <v>6247</v>
      </c>
      <c r="B2490" s="505" t="s">
        <v>6248</v>
      </c>
      <c r="C2490" s="512" t="s">
        <v>8759</v>
      </c>
      <c r="D2490" s="512" t="s">
        <v>9621</v>
      </c>
      <c r="E2490" s="512" t="s">
        <v>7736</v>
      </c>
      <c r="F2490" s="512" t="s">
        <v>8483</v>
      </c>
      <c r="G2490" s="512" t="s">
        <v>9629</v>
      </c>
      <c r="H2490" s="512" t="s">
        <v>8555</v>
      </c>
      <c r="I2490" s="512" t="s">
        <v>8786</v>
      </c>
      <c r="L2490" s="505" t="s">
        <v>114</v>
      </c>
      <c r="M2490" s="516">
        <v>21.79</v>
      </c>
      <c r="N2490" s="505" t="s">
        <v>114</v>
      </c>
    </row>
    <row r="2491" spans="1:14" x14ac:dyDescent="0.25">
      <c r="A2491" s="505" t="s">
        <v>6249</v>
      </c>
      <c r="B2491" s="505" t="s">
        <v>6250</v>
      </c>
      <c r="C2491" s="512" t="s">
        <v>8759</v>
      </c>
      <c r="D2491" s="512" t="s">
        <v>9621</v>
      </c>
      <c r="E2491" s="512" t="s">
        <v>8035</v>
      </c>
      <c r="F2491" s="512" t="s">
        <v>8483</v>
      </c>
      <c r="G2491" s="512" t="s">
        <v>9629</v>
      </c>
      <c r="H2491" s="512" t="s">
        <v>8773</v>
      </c>
      <c r="I2491" s="512" t="s">
        <v>9627</v>
      </c>
      <c r="L2491" s="505" t="s">
        <v>114</v>
      </c>
      <c r="M2491" s="516">
        <v>35</v>
      </c>
      <c r="N2491" s="505" t="s">
        <v>114</v>
      </c>
    </row>
    <row r="2492" spans="1:14" x14ac:dyDescent="0.25">
      <c r="A2492" s="505" t="s">
        <v>6251</v>
      </c>
      <c r="B2492" s="505" t="s">
        <v>6252</v>
      </c>
      <c r="C2492" s="512" t="s">
        <v>8759</v>
      </c>
      <c r="D2492" s="512" t="s">
        <v>9621</v>
      </c>
      <c r="E2492" s="512" t="s">
        <v>8035</v>
      </c>
      <c r="F2492" s="512" t="s">
        <v>8483</v>
      </c>
      <c r="G2492" s="512" t="s">
        <v>9629</v>
      </c>
      <c r="H2492" s="512" t="s">
        <v>8751</v>
      </c>
      <c r="I2492" s="512" t="s">
        <v>9623</v>
      </c>
      <c r="L2492" s="505" t="s">
        <v>114</v>
      </c>
      <c r="M2492" s="516">
        <v>35</v>
      </c>
      <c r="N2492" s="505" t="s">
        <v>114</v>
      </c>
    </row>
    <row r="2493" spans="1:14" x14ac:dyDescent="0.25">
      <c r="A2493" s="505" t="s">
        <v>6253</v>
      </c>
      <c r="B2493" s="505" t="s">
        <v>6254</v>
      </c>
      <c r="C2493" s="512" t="s">
        <v>8759</v>
      </c>
      <c r="D2493" s="512" t="s">
        <v>9621</v>
      </c>
      <c r="E2493" s="512" t="s">
        <v>8035</v>
      </c>
      <c r="F2493" s="512" t="s">
        <v>8483</v>
      </c>
      <c r="G2493" s="512" t="s">
        <v>9629</v>
      </c>
      <c r="H2493" s="512" t="s">
        <v>9630</v>
      </c>
      <c r="L2493" s="505" t="s">
        <v>114</v>
      </c>
      <c r="M2493" s="516">
        <v>35</v>
      </c>
      <c r="N2493" s="505" t="s">
        <v>114</v>
      </c>
    </row>
    <row r="2494" spans="1:14" x14ac:dyDescent="0.25">
      <c r="A2494" s="505" t="s">
        <v>6255</v>
      </c>
      <c r="B2494" s="505" t="s">
        <v>6256</v>
      </c>
      <c r="C2494" s="512" t="s">
        <v>8759</v>
      </c>
      <c r="D2494" s="512" t="s">
        <v>9621</v>
      </c>
      <c r="E2494" s="512" t="s">
        <v>8035</v>
      </c>
      <c r="F2494" s="512" t="s">
        <v>8483</v>
      </c>
      <c r="G2494" s="512" t="s">
        <v>9629</v>
      </c>
      <c r="H2494" s="512" t="s">
        <v>8781</v>
      </c>
      <c r="I2494" s="512" t="s">
        <v>7471</v>
      </c>
      <c r="L2494" s="505" t="s">
        <v>114</v>
      </c>
      <c r="M2494" s="516">
        <v>35</v>
      </c>
      <c r="N2494" s="505" t="s">
        <v>114</v>
      </c>
    </row>
    <row r="2495" spans="1:14" x14ac:dyDescent="0.25">
      <c r="A2495" s="505" t="s">
        <v>6257</v>
      </c>
      <c r="B2495" s="505" t="s">
        <v>6258</v>
      </c>
      <c r="C2495" s="512" t="s">
        <v>8759</v>
      </c>
      <c r="D2495" s="512" t="s">
        <v>9621</v>
      </c>
      <c r="E2495" s="512" t="s">
        <v>8035</v>
      </c>
      <c r="F2495" s="512" t="s">
        <v>8483</v>
      </c>
      <c r="G2495" s="512" t="s">
        <v>9629</v>
      </c>
      <c r="H2495" s="512" t="s">
        <v>8740</v>
      </c>
      <c r="I2495" s="512" t="s">
        <v>7471</v>
      </c>
      <c r="L2495" s="505" t="s">
        <v>114</v>
      </c>
      <c r="M2495" s="516">
        <v>35</v>
      </c>
      <c r="N2495" s="505" t="s">
        <v>114</v>
      </c>
    </row>
    <row r="2496" spans="1:14" x14ac:dyDescent="0.25">
      <c r="A2496" s="505" t="s">
        <v>6259</v>
      </c>
      <c r="B2496" s="505" t="s">
        <v>6260</v>
      </c>
      <c r="C2496" s="512" t="s">
        <v>8759</v>
      </c>
      <c r="D2496" s="512" t="s">
        <v>9621</v>
      </c>
      <c r="E2496" s="512" t="s">
        <v>8035</v>
      </c>
      <c r="F2496" s="512" t="s">
        <v>8483</v>
      </c>
      <c r="G2496" s="512" t="s">
        <v>9629</v>
      </c>
      <c r="H2496" s="512" t="s">
        <v>8736</v>
      </c>
      <c r="I2496" s="512" t="s">
        <v>8709</v>
      </c>
      <c r="L2496" s="505" t="s">
        <v>114</v>
      </c>
      <c r="M2496" s="516">
        <v>52.01</v>
      </c>
      <c r="N2496" s="505" t="s">
        <v>114</v>
      </c>
    </row>
    <row r="2497" spans="1:14" x14ac:dyDescent="0.25">
      <c r="A2497" s="505" t="s">
        <v>6261</v>
      </c>
      <c r="B2497" s="505" t="s">
        <v>6252</v>
      </c>
      <c r="C2497" s="512" t="s">
        <v>8759</v>
      </c>
      <c r="D2497" s="512" t="s">
        <v>9621</v>
      </c>
      <c r="E2497" s="512" t="s">
        <v>8035</v>
      </c>
      <c r="F2497" s="512" t="s">
        <v>8483</v>
      </c>
      <c r="G2497" s="512" t="s">
        <v>9629</v>
      </c>
      <c r="H2497" s="512" t="s">
        <v>8751</v>
      </c>
      <c r="I2497" s="512" t="s">
        <v>9623</v>
      </c>
      <c r="L2497" s="505" t="s">
        <v>114</v>
      </c>
      <c r="M2497" s="516">
        <v>52.01</v>
      </c>
      <c r="N2497" s="505" t="s">
        <v>114</v>
      </c>
    </row>
    <row r="2498" spans="1:14" x14ac:dyDescent="0.25">
      <c r="A2498" s="505" t="s">
        <v>6262</v>
      </c>
      <c r="B2498" s="505" t="s">
        <v>6263</v>
      </c>
      <c r="C2498" s="512" t="s">
        <v>8759</v>
      </c>
      <c r="D2498" s="512" t="s">
        <v>9621</v>
      </c>
      <c r="E2498" s="512" t="s">
        <v>8035</v>
      </c>
      <c r="F2498" s="512" t="s">
        <v>8483</v>
      </c>
      <c r="G2498" s="512" t="s">
        <v>9629</v>
      </c>
      <c r="H2498" s="512" t="s">
        <v>522</v>
      </c>
      <c r="I2498" s="512" t="s">
        <v>8336</v>
      </c>
      <c r="L2498" s="505" t="s">
        <v>114</v>
      </c>
      <c r="M2498" s="516">
        <v>52.01</v>
      </c>
      <c r="N2498" s="505" t="s">
        <v>114</v>
      </c>
    </row>
    <row r="2499" spans="1:14" x14ac:dyDescent="0.25">
      <c r="A2499" s="505" t="s">
        <v>6264</v>
      </c>
      <c r="B2499" s="505" t="s">
        <v>6265</v>
      </c>
      <c r="C2499" s="512" t="s">
        <v>8759</v>
      </c>
      <c r="D2499" s="512" t="s">
        <v>9621</v>
      </c>
      <c r="E2499" s="512" t="s">
        <v>8035</v>
      </c>
      <c r="F2499" s="512" t="s">
        <v>8483</v>
      </c>
      <c r="G2499" s="512" t="s">
        <v>9629</v>
      </c>
      <c r="H2499" s="512" t="s">
        <v>9631</v>
      </c>
      <c r="I2499" s="512" t="s">
        <v>8467</v>
      </c>
      <c r="L2499" s="505" t="s">
        <v>114</v>
      </c>
      <c r="M2499" s="516">
        <v>52.01</v>
      </c>
      <c r="N2499" s="505" t="s">
        <v>114</v>
      </c>
    </row>
    <row r="2500" spans="1:14" x14ac:dyDescent="0.25">
      <c r="A2500" s="505" t="s">
        <v>6266</v>
      </c>
      <c r="B2500" s="505" t="s">
        <v>6256</v>
      </c>
      <c r="C2500" s="512" t="s">
        <v>8759</v>
      </c>
      <c r="D2500" s="512" t="s">
        <v>9621</v>
      </c>
      <c r="E2500" s="512" t="s">
        <v>8035</v>
      </c>
      <c r="F2500" s="512" t="s">
        <v>8483</v>
      </c>
      <c r="G2500" s="512" t="s">
        <v>9629</v>
      </c>
      <c r="H2500" s="512" t="s">
        <v>8781</v>
      </c>
      <c r="I2500" s="512" t="s">
        <v>7471</v>
      </c>
      <c r="L2500" s="505" t="s">
        <v>114</v>
      </c>
      <c r="M2500" s="516">
        <v>52.01</v>
      </c>
      <c r="N2500" s="505" t="s">
        <v>114</v>
      </c>
    </row>
    <row r="2501" spans="1:14" x14ac:dyDescent="0.25">
      <c r="A2501" s="505" t="s">
        <v>6267</v>
      </c>
      <c r="B2501" s="505" t="s">
        <v>6258</v>
      </c>
      <c r="C2501" s="512" t="s">
        <v>8759</v>
      </c>
      <c r="D2501" s="512" t="s">
        <v>9621</v>
      </c>
      <c r="E2501" s="512" t="s">
        <v>8035</v>
      </c>
      <c r="F2501" s="512" t="s">
        <v>8483</v>
      </c>
      <c r="G2501" s="512" t="s">
        <v>9629</v>
      </c>
      <c r="H2501" s="512" t="s">
        <v>8740</v>
      </c>
      <c r="I2501" s="512" t="s">
        <v>7471</v>
      </c>
      <c r="L2501" s="505" t="s">
        <v>114</v>
      </c>
      <c r="M2501" s="516">
        <v>52.01</v>
      </c>
      <c r="N2501" s="505" t="s">
        <v>114</v>
      </c>
    </row>
    <row r="2502" spans="1:14" x14ac:dyDescent="0.25">
      <c r="A2502" s="505" t="s">
        <v>6268</v>
      </c>
      <c r="B2502" s="505" t="s">
        <v>6269</v>
      </c>
      <c r="C2502" s="512" t="s">
        <v>8759</v>
      </c>
      <c r="D2502" s="512" t="s">
        <v>9621</v>
      </c>
      <c r="E2502" s="512" t="s">
        <v>8035</v>
      </c>
      <c r="F2502" s="512" t="s">
        <v>8483</v>
      </c>
      <c r="G2502" s="512" t="s">
        <v>9629</v>
      </c>
      <c r="H2502" s="512" t="s">
        <v>8401</v>
      </c>
      <c r="I2502" s="512" t="s">
        <v>8737</v>
      </c>
      <c r="L2502" s="505" t="s">
        <v>114</v>
      </c>
      <c r="M2502" s="516">
        <v>52.01</v>
      </c>
      <c r="N2502" s="505" t="s">
        <v>114</v>
      </c>
    </row>
    <row r="2503" spans="1:14" x14ac:dyDescent="0.25">
      <c r="A2503" s="505" t="s">
        <v>6270</v>
      </c>
      <c r="B2503" s="505" t="s">
        <v>6271</v>
      </c>
      <c r="C2503" s="512" t="s">
        <v>8759</v>
      </c>
      <c r="D2503" s="512" t="s">
        <v>9632</v>
      </c>
      <c r="E2503" s="512" t="s">
        <v>9633</v>
      </c>
      <c r="F2503" s="512" t="s">
        <v>9087</v>
      </c>
      <c r="G2503" s="512" t="s">
        <v>9634</v>
      </c>
      <c r="L2503" s="505" t="s">
        <v>1205</v>
      </c>
      <c r="M2503" s="516">
        <v>34</v>
      </c>
      <c r="N2503" s="505" t="s">
        <v>1205</v>
      </c>
    </row>
    <row r="2504" spans="1:14" x14ac:dyDescent="0.25">
      <c r="A2504" s="505" t="s">
        <v>6272</v>
      </c>
      <c r="B2504" s="505" t="s">
        <v>6273</v>
      </c>
      <c r="C2504" s="512" t="s">
        <v>8759</v>
      </c>
      <c r="D2504" s="512" t="s">
        <v>9632</v>
      </c>
      <c r="E2504" s="512" t="s">
        <v>9635</v>
      </c>
      <c r="F2504" s="512" t="s">
        <v>9636</v>
      </c>
      <c r="G2504" s="512" t="s">
        <v>9634</v>
      </c>
      <c r="L2504" s="505" t="s">
        <v>1205</v>
      </c>
      <c r="M2504" s="516">
        <v>37.6</v>
      </c>
      <c r="N2504" s="505" t="s">
        <v>1205</v>
      </c>
    </row>
    <row r="2505" spans="1:14" x14ac:dyDescent="0.25">
      <c r="A2505" s="505" t="s">
        <v>6274</v>
      </c>
      <c r="B2505" s="505" t="s">
        <v>6275</v>
      </c>
      <c r="C2505" s="512" t="s">
        <v>9637</v>
      </c>
      <c r="D2505" s="512" t="s">
        <v>7736</v>
      </c>
      <c r="E2505" s="512" t="s">
        <v>9638</v>
      </c>
      <c r="F2505" s="512" t="s">
        <v>8053</v>
      </c>
      <c r="G2505" s="512" t="s">
        <v>9639</v>
      </c>
      <c r="H2505" s="512" t="s">
        <v>9640</v>
      </c>
      <c r="I2505" s="512" t="s">
        <v>7491</v>
      </c>
      <c r="J2505" s="505" t="s">
        <v>9641</v>
      </c>
      <c r="L2505" s="505" t="s">
        <v>114</v>
      </c>
      <c r="M2505" s="516">
        <v>8.32</v>
      </c>
      <c r="N2505" s="505" t="s">
        <v>114</v>
      </c>
    </row>
    <row r="2506" spans="1:14" x14ac:dyDescent="0.25">
      <c r="A2506" s="505" t="s">
        <v>6276</v>
      </c>
      <c r="B2506" s="505" t="s">
        <v>6277</v>
      </c>
      <c r="C2506" s="512" t="s">
        <v>9637</v>
      </c>
      <c r="D2506" s="512" t="s">
        <v>7736</v>
      </c>
      <c r="E2506" s="512" t="s">
        <v>9638</v>
      </c>
      <c r="F2506" s="512" t="s">
        <v>8053</v>
      </c>
      <c r="G2506" s="512" t="s">
        <v>9639</v>
      </c>
      <c r="H2506" s="512" t="s">
        <v>9640</v>
      </c>
      <c r="I2506" s="512" t="s">
        <v>7986</v>
      </c>
      <c r="J2506" s="505" t="s">
        <v>9641</v>
      </c>
      <c r="L2506" s="505" t="s">
        <v>114</v>
      </c>
      <c r="M2506" s="516">
        <v>8.3800000000000008</v>
      </c>
      <c r="N2506" s="505" t="s">
        <v>114</v>
      </c>
    </row>
    <row r="2507" spans="1:14" x14ac:dyDescent="0.25">
      <c r="A2507" s="505" t="s">
        <v>6278</v>
      </c>
      <c r="B2507" s="505" t="s">
        <v>6279</v>
      </c>
      <c r="C2507" s="512" t="s">
        <v>9637</v>
      </c>
      <c r="D2507" s="512" t="s">
        <v>7736</v>
      </c>
      <c r="E2507" s="512" t="s">
        <v>9570</v>
      </c>
      <c r="F2507" s="512" t="s">
        <v>1098</v>
      </c>
      <c r="G2507" s="512" t="s">
        <v>9642</v>
      </c>
      <c r="H2507" s="512" t="s">
        <v>148</v>
      </c>
      <c r="I2507" s="512" t="s">
        <v>9641</v>
      </c>
      <c r="L2507" s="505" t="s">
        <v>114</v>
      </c>
      <c r="M2507" s="516">
        <v>11.32</v>
      </c>
      <c r="N2507" s="505" t="s">
        <v>114</v>
      </c>
    </row>
    <row r="2508" spans="1:14" x14ac:dyDescent="0.25">
      <c r="A2508" s="505" t="s">
        <v>6280</v>
      </c>
      <c r="B2508" s="505" t="s">
        <v>6281</v>
      </c>
      <c r="C2508" s="512" t="s">
        <v>9637</v>
      </c>
      <c r="D2508" s="512" t="s">
        <v>9643</v>
      </c>
      <c r="E2508" s="512" t="s">
        <v>7743</v>
      </c>
      <c r="F2508" s="512" t="s">
        <v>9644</v>
      </c>
      <c r="G2508" s="512" t="s">
        <v>7721</v>
      </c>
      <c r="L2508" s="505" t="s">
        <v>114</v>
      </c>
      <c r="M2508" s="516">
        <v>60.71</v>
      </c>
      <c r="N2508" s="505" t="s">
        <v>114</v>
      </c>
    </row>
    <row r="2509" spans="1:14" x14ac:dyDescent="0.25">
      <c r="A2509" s="505" t="s">
        <v>6282</v>
      </c>
      <c r="B2509" s="505" t="s">
        <v>6283</v>
      </c>
      <c r="C2509" s="512" t="s">
        <v>9637</v>
      </c>
      <c r="D2509" s="512" t="s">
        <v>9406</v>
      </c>
      <c r="E2509" s="512" t="s">
        <v>9645</v>
      </c>
      <c r="F2509" s="512" t="s">
        <v>7743</v>
      </c>
      <c r="G2509" s="512" t="s">
        <v>9646</v>
      </c>
      <c r="H2509" s="512" t="s">
        <v>7721</v>
      </c>
      <c r="L2509" s="505" t="s">
        <v>114</v>
      </c>
      <c r="M2509" s="516">
        <v>51.12</v>
      </c>
      <c r="N2509" s="505" t="s">
        <v>114</v>
      </c>
    </row>
    <row r="2510" spans="1:14" x14ac:dyDescent="0.25">
      <c r="A2510" s="505" t="s">
        <v>6284</v>
      </c>
      <c r="B2510" s="505" t="s">
        <v>6285</v>
      </c>
      <c r="C2510" s="512" t="s">
        <v>9637</v>
      </c>
      <c r="D2510" s="512" t="s">
        <v>9406</v>
      </c>
      <c r="E2510" s="512" t="s">
        <v>9645</v>
      </c>
      <c r="F2510" s="512" t="s">
        <v>7743</v>
      </c>
      <c r="G2510" s="512" t="s">
        <v>9647</v>
      </c>
      <c r="H2510" s="512" t="s">
        <v>7721</v>
      </c>
      <c r="L2510" s="505" t="s">
        <v>114</v>
      </c>
      <c r="M2510" s="516">
        <v>56.81</v>
      </c>
      <c r="N2510" s="505" t="s">
        <v>114</v>
      </c>
    </row>
    <row r="2511" spans="1:14" x14ac:dyDescent="0.25">
      <c r="A2511" s="505" t="s">
        <v>6286</v>
      </c>
      <c r="B2511" s="505" t="s">
        <v>6287</v>
      </c>
      <c r="C2511" s="512" t="s">
        <v>9637</v>
      </c>
      <c r="D2511" s="512" t="s">
        <v>8460</v>
      </c>
      <c r="E2511" s="512" t="s">
        <v>9648</v>
      </c>
      <c r="F2511" s="512" t="s">
        <v>8673</v>
      </c>
      <c r="G2511" s="512" t="s">
        <v>7437</v>
      </c>
      <c r="H2511" s="512" t="s">
        <v>9649</v>
      </c>
      <c r="L2511" s="505" t="s">
        <v>114</v>
      </c>
      <c r="M2511" s="516">
        <v>4.8600000000000003</v>
      </c>
      <c r="N2511" s="505" t="s">
        <v>114</v>
      </c>
    </row>
    <row r="2512" spans="1:14" x14ac:dyDescent="0.25">
      <c r="A2512" s="505" t="s">
        <v>6288</v>
      </c>
      <c r="B2512" s="505" t="s">
        <v>6289</v>
      </c>
      <c r="C2512" s="512" t="s">
        <v>9637</v>
      </c>
      <c r="D2512" s="512" t="s">
        <v>8460</v>
      </c>
      <c r="E2512" s="512" t="s">
        <v>9648</v>
      </c>
      <c r="F2512" s="512" t="s">
        <v>8673</v>
      </c>
      <c r="G2512" s="512" t="s">
        <v>7721</v>
      </c>
      <c r="H2512" s="512" t="s">
        <v>9649</v>
      </c>
      <c r="L2512" s="505" t="s">
        <v>114</v>
      </c>
      <c r="M2512" s="516">
        <v>4.8600000000000003</v>
      </c>
      <c r="N2512" s="505" t="s">
        <v>114</v>
      </c>
    </row>
    <row r="2513" spans="1:14" x14ac:dyDescent="0.25">
      <c r="A2513" s="505" t="s">
        <v>6290</v>
      </c>
      <c r="B2513" s="505" t="s">
        <v>6291</v>
      </c>
      <c r="C2513" s="512" t="s">
        <v>9637</v>
      </c>
      <c r="D2513" s="512" t="s">
        <v>9650</v>
      </c>
      <c r="E2513" s="512" t="s">
        <v>7743</v>
      </c>
      <c r="F2513" s="512" t="s">
        <v>8053</v>
      </c>
      <c r="G2513" s="512" t="s">
        <v>9651</v>
      </c>
      <c r="H2513" s="512" t="s">
        <v>7721</v>
      </c>
      <c r="L2513" s="505" t="s">
        <v>114</v>
      </c>
      <c r="M2513" s="516">
        <v>27.43</v>
      </c>
      <c r="N2513" s="505" t="s">
        <v>114</v>
      </c>
    </row>
    <row r="2514" spans="1:14" x14ac:dyDescent="0.25">
      <c r="A2514" s="505" t="s">
        <v>6292</v>
      </c>
      <c r="B2514" s="505" t="s">
        <v>6293</v>
      </c>
      <c r="C2514" s="512" t="s">
        <v>9637</v>
      </c>
      <c r="D2514" s="512" t="s">
        <v>9650</v>
      </c>
      <c r="E2514" s="512" t="s">
        <v>7743</v>
      </c>
      <c r="F2514" s="512" t="s">
        <v>8053</v>
      </c>
      <c r="G2514" s="512" t="s">
        <v>9652</v>
      </c>
      <c r="H2514" s="512" t="s">
        <v>7721</v>
      </c>
      <c r="L2514" s="505" t="s">
        <v>114</v>
      </c>
      <c r="M2514" s="516">
        <v>31.52</v>
      </c>
      <c r="N2514" s="505" t="s">
        <v>114</v>
      </c>
    </row>
    <row r="2515" spans="1:14" x14ac:dyDescent="0.25">
      <c r="A2515" s="505" t="s">
        <v>6294</v>
      </c>
      <c r="B2515" s="505" t="s">
        <v>6295</v>
      </c>
      <c r="C2515" s="512" t="s">
        <v>9637</v>
      </c>
      <c r="D2515" s="512" t="s">
        <v>8687</v>
      </c>
      <c r="E2515" s="512" t="s">
        <v>9648</v>
      </c>
      <c r="F2515" s="512" t="s">
        <v>7437</v>
      </c>
      <c r="G2515" s="512" t="s">
        <v>9653</v>
      </c>
      <c r="L2515" s="505" t="s">
        <v>114</v>
      </c>
      <c r="M2515" s="516">
        <v>4.4000000000000004</v>
      </c>
      <c r="N2515" s="505" t="s">
        <v>114</v>
      </c>
    </row>
    <row r="2516" spans="1:14" x14ac:dyDescent="0.25">
      <c r="A2516" s="505" t="s">
        <v>6296</v>
      </c>
      <c r="B2516" s="505" t="s">
        <v>6297</v>
      </c>
      <c r="C2516" s="512" t="s">
        <v>9637</v>
      </c>
      <c r="D2516" s="512" t="s">
        <v>8687</v>
      </c>
      <c r="E2516" s="512" t="s">
        <v>9648</v>
      </c>
      <c r="F2516" s="512" t="s">
        <v>7721</v>
      </c>
      <c r="G2516" s="512" t="s">
        <v>9653</v>
      </c>
      <c r="L2516" s="505" t="s">
        <v>114</v>
      </c>
      <c r="M2516" s="516">
        <v>4.4000000000000004</v>
      </c>
      <c r="N2516" s="505" t="s">
        <v>114</v>
      </c>
    </row>
    <row r="2517" spans="1:14" s="530" customFormat="1" x14ac:dyDescent="0.25">
      <c r="A2517" s="530" t="s">
        <v>6298</v>
      </c>
      <c r="B2517" s="530" t="s">
        <v>6299</v>
      </c>
      <c r="C2517" s="531" t="s">
        <v>9637</v>
      </c>
      <c r="D2517" s="531" t="s">
        <v>7917</v>
      </c>
      <c r="E2517" s="531" t="s">
        <v>7781</v>
      </c>
      <c r="F2517" s="531" t="s">
        <v>1098</v>
      </c>
      <c r="G2517" s="531" t="s">
        <v>9654</v>
      </c>
      <c r="H2517" s="531" t="s">
        <v>511</v>
      </c>
      <c r="I2517" s="531"/>
      <c r="L2517" s="530" t="s">
        <v>114</v>
      </c>
      <c r="M2517" s="532">
        <v>0</v>
      </c>
      <c r="N2517" s="530" t="s">
        <v>1544</v>
      </c>
    </row>
    <row r="2518" spans="1:14" x14ac:dyDescent="0.25">
      <c r="A2518" s="505" t="s">
        <v>6300</v>
      </c>
      <c r="B2518" s="505" t="s">
        <v>6301</v>
      </c>
      <c r="C2518" s="512" t="s">
        <v>9637</v>
      </c>
      <c r="D2518" s="512" t="s">
        <v>9655</v>
      </c>
      <c r="E2518" s="512" t="s">
        <v>7743</v>
      </c>
      <c r="F2518" s="512" t="s">
        <v>8053</v>
      </c>
      <c r="G2518" s="512" t="s">
        <v>9651</v>
      </c>
      <c r="H2518" s="512" t="s">
        <v>7721</v>
      </c>
      <c r="L2518" s="505" t="s">
        <v>114</v>
      </c>
      <c r="M2518" s="516">
        <v>25.66</v>
      </c>
      <c r="N2518" s="505" t="s">
        <v>114</v>
      </c>
    </row>
    <row r="2519" spans="1:14" x14ac:dyDescent="0.25">
      <c r="A2519" s="505" t="s">
        <v>6302</v>
      </c>
      <c r="B2519" s="505" t="s">
        <v>6303</v>
      </c>
      <c r="C2519" s="512" t="s">
        <v>9637</v>
      </c>
      <c r="D2519" s="512" t="s">
        <v>9655</v>
      </c>
      <c r="E2519" s="512" t="s">
        <v>7743</v>
      </c>
      <c r="F2519" s="512" t="s">
        <v>8053</v>
      </c>
      <c r="G2519" s="512" t="s">
        <v>9652</v>
      </c>
      <c r="H2519" s="512" t="s">
        <v>7721</v>
      </c>
      <c r="L2519" s="505" t="s">
        <v>114</v>
      </c>
      <c r="M2519" s="516">
        <v>27.64</v>
      </c>
      <c r="N2519" s="505" t="s">
        <v>114</v>
      </c>
    </row>
    <row r="2520" spans="1:14" x14ac:dyDescent="0.25">
      <c r="A2520" s="505" t="s">
        <v>6304</v>
      </c>
      <c r="B2520" s="505" t="s">
        <v>6305</v>
      </c>
      <c r="C2520" s="512" t="s">
        <v>9637</v>
      </c>
      <c r="D2520" s="512" t="s">
        <v>9656</v>
      </c>
      <c r="E2520" s="512" t="s">
        <v>8121</v>
      </c>
      <c r="F2520" s="512" t="s">
        <v>7743</v>
      </c>
      <c r="G2520" s="512" t="s">
        <v>9657</v>
      </c>
      <c r="H2520" s="512" t="s">
        <v>7721</v>
      </c>
      <c r="L2520" s="505" t="s">
        <v>114</v>
      </c>
      <c r="M2520" s="516">
        <v>27.79</v>
      </c>
      <c r="N2520" s="505" t="s">
        <v>114</v>
      </c>
    </row>
    <row r="2521" spans="1:14" x14ac:dyDescent="0.25">
      <c r="A2521" s="505" t="s">
        <v>6306</v>
      </c>
      <c r="B2521" s="505" t="s">
        <v>6307</v>
      </c>
      <c r="C2521" s="512" t="s">
        <v>9637</v>
      </c>
      <c r="D2521" s="512" t="s">
        <v>9658</v>
      </c>
      <c r="E2521" s="512" t="s">
        <v>7743</v>
      </c>
      <c r="F2521" s="512" t="s">
        <v>9659</v>
      </c>
      <c r="G2521" s="512" t="s">
        <v>7721</v>
      </c>
      <c r="L2521" s="505" t="s">
        <v>114</v>
      </c>
      <c r="M2521" s="516">
        <v>29.92</v>
      </c>
      <c r="N2521" s="505" t="s">
        <v>114</v>
      </c>
    </row>
    <row r="2522" spans="1:14" x14ac:dyDescent="0.25">
      <c r="A2522" s="505" t="s">
        <v>6308</v>
      </c>
      <c r="B2522" s="505" t="s">
        <v>6309</v>
      </c>
      <c r="C2522" s="512" t="s">
        <v>9637</v>
      </c>
      <c r="D2522" s="512" t="s">
        <v>9009</v>
      </c>
      <c r="E2522" s="512" t="s">
        <v>9660</v>
      </c>
      <c r="F2522" s="512" t="s">
        <v>7781</v>
      </c>
      <c r="G2522" s="512" t="s">
        <v>9644</v>
      </c>
      <c r="H2522" s="512" t="s">
        <v>511</v>
      </c>
      <c r="L2522" s="505" t="s">
        <v>1233</v>
      </c>
      <c r="M2522" s="516">
        <v>59.34</v>
      </c>
      <c r="N2522" s="505" t="s">
        <v>1233</v>
      </c>
    </row>
    <row r="2523" spans="1:14" x14ac:dyDescent="0.25">
      <c r="A2523" s="505" t="s">
        <v>6310</v>
      </c>
      <c r="B2523" s="505" t="s">
        <v>6311</v>
      </c>
      <c r="C2523" s="512" t="s">
        <v>9637</v>
      </c>
      <c r="D2523" s="512" t="s">
        <v>8590</v>
      </c>
      <c r="E2523" s="512" t="s">
        <v>9661</v>
      </c>
      <c r="F2523" s="512" t="s">
        <v>9662</v>
      </c>
      <c r="G2523" s="512" t="s">
        <v>9663</v>
      </c>
      <c r="H2523" s="512" t="s">
        <v>7721</v>
      </c>
      <c r="I2523" s="512" t="s">
        <v>9664</v>
      </c>
      <c r="L2523" s="505" t="s">
        <v>114</v>
      </c>
      <c r="M2523" s="516">
        <v>5.45</v>
      </c>
      <c r="N2523" s="505" t="s">
        <v>114</v>
      </c>
    </row>
    <row r="2524" spans="1:14" x14ac:dyDescent="0.25">
      <c r="A2524" s="505" t="s">
        <v>6312</v>
      </c>
      <c r="B2524" s="505" t="s">
        <v>6313</v>
      </c>
      <c r="C2524" s="512" t="s">
        <v>9637</v>
      </c>
      <c r="D2524" s="512" t="s">
        <v>9665</v>
      </c>
      <c r="E2524" s="512" t="s">
        <v>7743</v>
      </c>
      <c r="F2524" s="512" t="s">
        <v>8053</v>
      </c>
      <c r="G2524" s="512" t="s">
        <v>9666</v>
      </c>
      <c r="H2524" s="512" t="s">
        <v>7721</v>
      </c>
      <c r="L2524" s="505" t="s">
        <v>114</v>
      </c>
      <c r="M2524" s="516">
        <v>23.44</v>
      </c>
      <c r="N2524" s="505" t="s">
        <v>114</v>
      </c>
    </row>
    <row r="2525" spans="1:14" x14ac:dyDescent="0.25">
      <c r="A2525" s="505" t="s">
        <v>6314</v>
      </c>
      <c r="B2525" s="505" t="s">
        <v>6315</v>
      </c>
      <c r="C2525" s="512" t="s">
        <v>9637</v>
      </c>
      <c r="D2525" s="512" t="s">
        <v>9665</v>
      </c>
      <c r="E2525" s="512" t="s">
        <v>7743</v>
      </c>
      <c r="F2525" s="512" t="s">
        <v>8053</v>
      </c>
      <c r="G2525" s="512" t="s">
        <v>9667</v>
      </c>
      <c r="H2525" s="512" t="s">
        <v>7721</v>
      </c>
      <c r="L2525" s="505" t="s">
        <v>114</v>
      </c>
      <c r="M2525" s="516">
        <v>25.55</v>
      </c>
      <c r="N2525" s="505" t="s">
        <v>114</v>
      </c>
    </row>
    <row r="2526" spans="1:14" x14ac:dyDescent="0.25">
      <c r="A2526" s="505" t="s">
        <v>6316</v>
      </c>
      <c r="B2526" s="505" t="s">
        <v>6317</v>
      </c>
      <c r="C2526" s="512" t="s">
        <v>9637</v>
      </c>
      <c r="D2526" s="512" t="s">
        <v>9668</v>
      </c>
      <c r="E2526" s="512" t="s">
        <v>9669</v>
      </c>
      <c r="F2526" s="512" t="s">
        <v>9670</v>
      </c>
      <c r="G2526" s="512" t="s">
        <v>9671</v>
      </c>
      <c r="H2526" s="512" t="s">
        <v>8365</v>
      </c>
      <c r="I2526" s="512" t="s">
        <v>7721</v>
      </c>
      <c r="L2526" s="505" t="s">
        <v>114</v>
      </c>
      <c r="M2526" s="516">
        <v>5.17</v>
      </c>
      <c r="N2526" s="505" t="s">
        <v>114</v>
      </c>
    </row>
    <row r="2527" spans="1:14" x14ac:dyDescent="0.25">
      <c r="A2527" s="505" t="s">
        <v>6318</v>
      </c>
      <c r="B2527" s="505" t="s">
        <v>6319</v>
      </c>
      <c r="C2527" s="512" t="s">
        <v>9637</v>
      </c>
      <c r="D2527" s="512" t="s">
        <v>9668</v>
      </c>
      <c r="E2527" s="512" t="s">
        <v>9669</v>
      </c>
      <c r="F2527" s="512" t="s">
        <v>9671</v>
      </c>
      <c r="G2527" s="512" t="s">
        <v>8687</v>
      </c>
      <c r="H2527" s="512" t="s">
        <v>7437</v>
      </c>
      <c r="L2527" s="505" t="s">
        <v>114</v>
      </c>
      <c r="M2527" s="516">
        <v>5.17</v>
      </c>
      <c r="N2527" s="505" t="s">
        <v>114</v>
      </c>
    </row>
    <row r="2528" spans="1:14" x14ac:dyDescent="0.25">
      <c r="A2528" s="505" t="s">
        <v>6320</v>
      </c>
      <c r="B2528" s="505" t="s">
        <v>6321</v>
      </c>
      <c r="C2528" s="512" t="s">
        <v>9637</v>
      </c>
      <c r="D2528" s="512" t="s">
        <v>9668</v>
      </c>
      <c r="E2528" s="512" t="s">
        <v>9669</v>
      </c>
      <c r="F2528" s="512" t="s">
        <v>9671</v>
      </c>
      <c r="G2528" s="512" t="s">
        <v>8687</v>
      </c>
      <c r="H2528" s="512" t="s">
        <v>7721</v>
      </c>
      <c r="L2528" s="505" t="s">
        <v>114</v>
      </c>
      <c r="M2528" s="516">
        <v>4.6900000000000004</v>
      </c>
      <c r="N2528" s="505" t="s">
        <v>114</v>
      </c>
    </row>
    <row r="2529" spans="1:14" x14ac:dyDescent="0.25">
      <c r="A2529" s="505" t="s">
        <v>6322</v>
      </c>
      <c r="B2529" s="505" t="s">
        <v>6323</v>
      </c>
      <c r="C2529" s="512" t="s">
        <v>9637</v>
      </c>
      <c r="D2529" s="512" t="s">
        <v>9668</v>
      </c>
      <c r="E2529" s="512" t="s">
        <v>9669</v>
      </c>
      <c r="F2529" s="512" t="s">
        <v>8460</v>
      </c>
      <c r="G2529" s="512" t="s">
        <v>8291</v>
      </c>
      <c r="H2529" s="512" t="s">
        <v>7437</v>
      </c>
      <c r="L2529" s="505" t="s">
        <v>114</v>
      </c>
      <c r="M2529" s="516">
        <v>5.66</v>
      </c>
      <c r="N2529" s="505" t="s">
        <v>114</v>
      </c>
    </row>
    <row r="2530" spans="1:14" x14ac:dyDescent="0.25">
      <c r="A2530" s="505" t="s">
        <v>6324</v>
      </c>
      <c r="B2530" s="505" t="s">
        <v>6325</v>
      </c>
      <c r="C2530" s="512" t="s">
        <v>9637</v>
      </c>
      <c r="D2530" s="512" t="s">
        <v>9668</v>
      </c>
      <c r="E2530" s="512" t="s">
        <v>9669</v>
      </c>
      <c r="F2530" s="512" t="s">
        <v>8460</v>
      </c>
      <c r="G2530" s="512" t="s">
        <v>8291</v>
      </c>
      <c r="H2530" s="512" t="s">
        <v>7721</v>
      </c>
      <c r="L2530" s="505" t="s">
        <v>114</v>
      </c>
      <c r="M2530" s="516">
        <v>5.66</v>
      </c>
      <c r="N2530" s="505" t="s">
        <v>114</v>
      </c>
    </row>
    <row r="2531" spans="1:14" s="530" customFormat="1" x14ac:dyDescent="0.25">
      <c r="A2531" s="530" t="s">
        <v>6326</v>
      </c>
      <c r="B2531" s="530" t="s">
        <v>6327</v>
      </c>
      <c r="C2531" s="531" t="s">
        <v>9637</v>
      </c>
      <c r="D2531" s="531" t="s">
        <v>9672</v>
      </c>
      <c r="E2531" s="531" t="s">
        <v>9673</v>
      </c>
      <c r="F2531" s="531" t="s">
        <v>9674</v>
      </c>
      <c r="G2531" s="531" t="s">
        <v>9675</v>
      </c>
      <c r="H2531" s="531" t="s">
        <v>9676</v>
      </c>
      <c r="I2531" s="531" t="s">
        <v>9552</v>
      </c>
      <c r="J2531" s="530" t="s">
        <v>148</v>
      </c>
      <c r="L2531" s="530" t="s">
        <v>114</v>
      </c>
      <c r="M2531" s="532">
        <v>0</v>
      </c>
      <c r="N2531" s="530" t="s">
        <v>1544</v>
      </c>
    </row>
    <row r="2532" spans="1:14" x14ac:dyDescent="0.25">
      <c r="A2532" s="505" t="s">
        <v>6328</v>
      </c>
      <c r="B2532" s="505" t="s">
        <v>6329</v>
      </c>
      <c r="C2532" s="512" t="s">
        <v>9637</v>
      </c>
      <c r="D2532" s="512" t="s">
        <v>9668</v>
      </c>
      <c r="E2532" s="512" t="s">
        <v>9669</v>
      </c>
      <c r="F2532" s="512" t="s">
        <v>9674</v>
      </c>
      <c r="G2532" s="512" t="s">
        <v>9677</v>
      </c>
      <c r="H2532" s="512" t="s">
        <v>8364</v>
      </c>
      <c r="I2532" s="512" t="s">
        <v>9678</v>
      </c>
      <c r="J2532" s="505" t="s">
        <v>7989</v>
      </c>
      <c r="L2532" s="505" t="s">
        <v>114</v>
      </c>
      <c r="M2532" s="516">
        <v>14.58</v>
      </c>
      <c r="N2532" s="505" t="s">
        <v>114</v>
      </c>
    </row>
    <row r="2533" spans="1:14" s="530" customFormat="1" x14ac:dyDescent="0.25">
      <c r="A2533" s="530" t="s">
        <v>6330</v>
      </c>
      <c r="B2533" s="530" t="s">
        <v>6331</v>
      </c>
      <c r="C2533" s="531" t="s">
        <v>9637</v>
      </c>
      <c r="D2533" s="531" t="s">
        <v>9672</v>
      </c>
      <c r="E2533" s="531" t="s">
        <v>9673</v>
      </c>
      <c r="F2533" s="531" t="s">
        <v>9674</v>
      </c>
      <c r="G2533" s="531" t="s">
        <v>9675</v>
      </c>
      <c r="H2533" s="531" t="s">
        <v>9549</v>
      </c>
      <c r="I2533" s="531" t="s">
        <v>7740</v>
      </c>
      <c r="J2533" s="530" t="s">
        <v>148</v>
      </c>
      <c r="L2533" s="530" t="s">
        <v>114</v>
      </c>
      <c r="M2533" s="532">
        <v>0</v>
      </c>
      <c r="N2533" s="530" t="s">
        <v>1544</v>
      </c>
    </row>
    <row r="2534" spans="1:14" x14ac:dyDescent="0.25">
      <c r="A2534" s="505" t="s">
        <v>6332</v>
      </c>
      <c r="B2534" s="505" t="s">
        <v>6333</v>
      </c>
      <c r="C2534" s="512" t="s">
        <v>9637</v>
      </c>
      <c r="D2534" s="512" t="s">
        <v>9668</v>
      </c>
      <c r="E2534" s="512" t="s">
        <v>9669</v>
      </c>
      <c r="F2534" s="512" t="s">
        <v>9674</v>
      </c>
      <c r="G2534" s="512" t="s">
        <v>9677</v>
      </c>
      <c r="H2534" s="512" t="s">
        <v>8687</v>
      </c>
      <c r="I2534" s="512" t="s">
        <v>7491</v>
      </c>
      <c r="J2534" s="505" t="s">
        <v>7989</v>
      </c>
      <c r="L2534" s="505" t="s">
        <v>114</v>
      </c>
      <c r="M2534" s="516">
        <v>13.84</v>
      </c>
      <c r="N2534" s="505" t="s">
        <v>114</v>
      </c>
    </row>
    <row r="2535" spans="1:14" x14ac:dyDescent="0.25">
      <c r="A2535" s="505" t="s">
        <v>6334</v>
      </c>
      <c r="B2535" s="505" t="s">
        <v>6335</v>
      </c>
      <c r="C2535" s="512" t="s">
        <v>9637</v>
      </c>
      <c r="D2535" s="512" t="s">
        <v>9668</v>
      </c>
      <c r="E2535" s="512" t="s">
        <v>9669</v>
      </c>
      <c r="F2535" s="512" t="s">
        <v>9679</v>
      </c>
      <c r="G2535" s="512" t="s">
        <v>8687</v>
      </c>
      <c r="H2535" s="512" t="s">
        <v>7721</v>
      </c>
      <c r="L2535" s="505" t="s">
        <v>114</v>
      </c>
      <c r="M2535" s="516">
        <v>3.67</v>
      </c>
      <c r="N2535" s="505" t="s">
        <v>114</v>
      </c>
    </row>
    <row r="2536" spans="1:14" x14ac:dyDescent="0.25">
      <c r="A2536" s="505" t="s">
        <v>6336</v>
      </c>
      <c r="B2536" s="505" t="s">
        <v>6337</v>
      </c>
      <c r="C2536" s="512" t="s">
        <v>9637</v>
      </c>
      <c r="D2536" s="512" t="s">
        <v>9668</v>
      </c>
      <c r="E2536" s="512" t="s">
        <v>9669</v>
      </c>
      <c r="F2536" s="512" t="s">
        <v>9680</v>
      </c>
      <c r="G2536" s="512" t="s">
        <v>8590</v>
      </c>
      <c r="H2536" s="512" t="s">
        <v>9681</v>
      </c>
      <c r="I2536" s="512" t="s">
        <v>7437</v>
      </c>
      <c r="L2536" s="505" t="s">
        <v>114</v>
      </c>
      <c r="M2536" s="516">
        <v>7.13</v>
      </c>
      <c r="N2536" s="505" t="s">
        <v>114</v>
      </c>
    </row>
    <row r="2537" spans="1:14" x14ac:dyDescent="0.25">
      <c r="A2537" s="505" t="s">
        <v>6338</v>
      </c>
      <c r="B2537" s="505" t="s">
        <v>6339</v>
      </c>
      <c r="C2537" s="512" t="s">
        <v>9637</v>
      </c>
      <c r="D2537" s="512" t="s">
        <v>9668</v>
      </c>
      <c r="E2537" s="512" t="s">
        <v>9669</v>
      </c>
      <c r="F2537" s="512" t="s">
        <v>9680</v>
      </c>
      <c r="G2537" s="512" t="s">
        <v>8590</v>
      </c>
      <c r="H2537" s="512" t="s">
        <v>9681</v>
      </c>
      <c r="I2537" s="512" t="s">
        <v>7721</v>
      </c>
      <c r="L2537" s="505" t="s">
        <v>114</v>
      </c>
      <c r="M2537" s="516">
        <v>6.66</v>
      </c>
      <c r="N2537" s="505" t="s">
        <v>114</v>
      </c>
    </row>
    <row r="2538" spans="1:14" x14ac:dyDescent="0.25">
      <c r="A2538" s="505" t="s">
        <v>6340</v>
      </c>
      <c r="B2538" s="505" t="s">
        <v>6341</v>
      </c>
      <c r="C2538" s="512" t="s">
        <v>9637</v>
      </c>
      <c r="D2538" s="512" t="s">
        <v>8035</v>
      </c>
      <c r="E2538" s="512" t="s">
        <v>7747</v>
      </c>
      <c r="F2538" s="512" t="s">
        <v>8053</v>
      </c>
      <c r="G2538" s="512" t="s">
        <v>7437</v>
      </c>
      <c r="H2538" s="512" t="s">
        <v>9682</v>
      </c>
      <c r="L2538" s="505" t="s">
        <v>114</v>
      </c>
      <c r="M2538" s="516">
        <v>6.66</v>
      </c>
      <c r="N2538" s="505" t="s">
        <v>114</v>
      </c>
    </row>
    <row r="2539" spans="1:14" x14ac:dyDescent="0.25">
      <c r="A2539" s="505" t="s">
        <v>6342</v>
      </c>
      <c r="B2539" s="505" t="s">
        <v>6343</v>
      </c>
      <c r="C2539" s="512" t="s">
        <v>9637</v>
      </c>
      <c r="D2539" s="512" t="s">
        <v>8035</v>
      </c>
      <c r="E2539" s="512" t="s">
        <v>7747</v>
      </c>
      <c r="F2539" s="512" t="s">
        <v>8053</v>
      </c>
      <c r="G2539" s="512" t="s">
        <v>7721</v>
      </c>
      <c r="H2539" s="512" t="s">
        <v>9682</v>
      </c>
      <c r="L2539" s="505" t="s">
        <v>114</v>
      </c>
      <c r="M2539" s="516">
        <v>6.66</v>
      </c>
      <c r="N2539" s="505" t="s">
        <v>114</v>
      </c>
    </row>
    <row r="2540" spans="1:14" s="530" customFormat="1" x14ac:dyDescent="0.25">
      <c r="A2540" s="530" t="s">
        <v>6344</v>
      </c>
      <c r="B2540" s="530" t="s">
        <v>6345</v>
      </c>
      <c r="C2540" s="531" t="s">
        <v>8811</v>
      </c>
      <c r="D2540" s="531" t="s">
        <v>9412</v>
      </c>
      <c r="E2540" s="531" t="s">
        <v>8337</v>
      </c>
      <c r="F2540" s="531" t="s">
        <v>9683</v>
      </c>
      <c r="G2540" s="531" t="s">
        <v>363</v>
      </c>
      <c r="H2540" s="531"/>
      <c r="I2540" s="531"/>
      <c r="L2540" s="530" t="s">
        <v>1233</v>
      </c>
      <c r="M2540" s="532">
        <v>0</v>
      </c>
      <c r="N2540" s="530" t="s">
        <v>1544</v>
      </c>
    </row>
    <row r="2541" spans="1:14" x14ac:dyDescent="0.25">
      <c r="A2541" s="505" t="s">
        <v>6346</v>
      </c>
      <c r="B2541" s="505" t="s">
        <v>6347</v>
      </c>
      <c r="C2541" s="512" t="s">
        <v>8811</v>
      </c>
      <c r="D2541" s="512" t="s">
        <v>9412</v>
      </c>
      <c r="E2541" s="512" t="s">
        <v>8337</v>
      </c>
      <c r="F2541" s="512" t="s">
        <v>9684</v>
      </c>
      <c r="G2541" s="512" t="s">
        <v>9012</v>
      </c>
      <c r="L2541" s="505" t="s">
        <v>1233</v>
      </c>
      <c r="M2541" s="516">
        <v>29.34</v>
      </c>
      <c r="N2541" s="505" t="s">
        <v>1233</v>
      </c>
    </row>
    <row r="2542" spans="1:14" s="530" customFormat="1" x14ac:dyDescent="0.25">
      <c r="A2542" s="530" t="s">
        <v>6348</v>
      </c>
      <c r="B2542" s="530" t="s">
        <v>6349</v>
      </c>
      <c r="C2542" s="531" t="s">
        <v>8811</v>
      </c>
      <c r="D2542" s="531" t="s">
        <v>9412</v>
      </c>
      <c r="E2542" s="531" t="s">
        <v>8337</v>
      </c>
      <c r="F2542" s="531" t="s">
        <v>7953</v>
      </c>
      <c r="G2542" s="531" t="s">
        <v>8336</v>
      </c>
      <c r="H2542" s="531"/>
      <c r="I2542" s="531"/>
      <c r="L2542" s="530" t="s">
        <v>1233</v>
      </c>
      <c r="M2542" s="532">
        <v>0</v>
      </c>
      <c r="N2542" s="530" t="s">
        <v>1544</v>
      </c>
    </row>
    <row r="2543" spans="1:14" s="530" customFormat="1" x14ac:dyDescent="0.25">
      <c r="A2543" s="530" t="s">
        <v>6350</v>
      </c>
      <c r="B2543" s="530" t="s">
        <v>6351</v>
      </c>
      <c r="C2543" s="531" t="s">
        <v>8811</v>
      </c>
      <c r="D2543" s="531" t="s">
        <v>9412</v>
      </c>
      <c r="E2543" s="531" t="s">
        <v>8337</v>
      </c>
      <c r="F2543" s="531" t="s">
        <v>9685</v>
      </c>
      <c r="G2543" s="531"/>
      <c r="H2543" s="531"/>
      <c r="I2543" s="531"/>
      <c r="L2543" s="530" t="s">
        <v>1233</v>
      </c>
      <c r="M2543" s="532">
        <v>0</v>
      </c>
      <c r="N2543" s="530" t="s">
        <v>1544</v>
      </c>
    </row>
    <row r="2544" spans="1:14" s="530" customFormat="1" x14ac:dyDescent="0.25">
      <c r="A2544" s="530" t="s">
        <v>6352</v>
      </c>
      <c r="B2544" s="530" t="s">
        <v>6353</v>
      </c>
      <c r="C2544" s="531" t="s">
        <v>8811</v>
      </c>
      <c r="D2544" s="531" t="s">
        <v>9412</v>
      </c>
      <c r="E2544" s="531" t="s">
        <v>8337</v>
      </c>
      <c r="F2544" s="531" t="s">
        <v>8885</v>
      </c>
      <c r="G2544" s="531" t="s">
        <v>563</v>
      </c>
      <c r="H2544" s="531"/>
      <c r="I2544" s="531"/>
      <c r="L2544" s="530" t="s">
        <v>1233</v>
      </c>
      <c r="M2544" s="532">
        <v>0</v>
      </c>
      <c r="N2544" s="530" t="s">
        <v>1544</v>
      </c>
    </row>
    <row r="2545" spans="1:14" s="530" customFormat="1" x14ac:dyDescent="0.25">
      <c r="A2545" s="530" t="s">
        <v>6354</v>
      </c>
      <c r="B2545" s="530" t="s">
        <v>6355</v>
      </c>
      <c r="C2545" s="531" t="s">
        <v>8811</v>
      </c>
      <c r="D2545" s="531" t="s">
        <v>9412</v>
      </c>
      <c r="E2545" s="531" t="s">
        <v>8337</v>
      </c>
      <c r="F2545" s="531" t="s">
        <v>511</v>
      </c>
      <c r="G2545" s="531" t="s">
        <v>524</v>
      </c>
      <c r="H2545" s="531"/>
      <c r="I2545" s="531"/>
      <c r="L2545" s="530" t="s">
        <v>1233</v>
      </c>
      <c r="M2545" s="532">
        <v>0</v>
      </c>
      <c r="N2545" s="530" t="s">
        <v>1544</v>
      </c>
    </row>
    <row r="2546" spans="1:14" s="530" customFormat="1" x14ac:dyDescent="0.25">
      <c r="A2546" s="530" t="s">
        <v>6356</v>
      </c>
      <c r="B2546" s="530" t="s">
        <v>6357</v>
      </c>
      <c r="C2546" s="531" t="s">
        <v>8811</v>
      </c>
      <c r="D2546" s="531" t="s">
        <v>9402</v>
      </c>
      <c r="E2546" s="531" t="s">
        <v>8696</v>
      </c>
      <c r="F2546" s="531" t="s">
        <v>7504</v>
      </c>
      <c r="G2546" s="531" t="s">
        <v>9684</v>
      </c>
      <c r="H2546" s="531" t="s">
        <v>1080</v>
      </c>
      <c r="I2546" s="531"/>
      <c r="L2546" s="530" t="s">
        <v>2854</v>
      </c>
      <c r="M2546" s="532">
        <v>0</v>
      </c>
      <c r="N2546" s="530" t="s">
        <v>1544</v>
      </c>
    </row>
    <row r="2547" spans="1:14" x14ac:dyDescent="0.25">
      <c r="A2547" s="505" t="s">
        <v>6358</v>
      </c>
      <c r="B2547" s="505" t="s">
        <v>6359</v>
      </c>
      <c r="C2547" s="512" t="s">
        <v>9686</v>
      </c>
      <c r="D2547" s="512" t="s">
        <v>9687</v>
      </c>
      <c r="E2547" s="512" t="s">
        <v>9688</v>
      </c>
      <c r="F2547" s="512" t="s">
        <v>9689</v>
      </c>
      <c r="G2547" s="512" t="s">
        <v>9690</v>
      </c>
      <c r="L2547" s="505" t="s">
        <v>114</v>
      </c>
      <c r="M2547" s="516">
        <v>26.85</v>
      </c>
      <c r="N2547" s="505" t="s">
        <v>114</v>
      </c>
    </row>
    <row r="2548" spans="1:14" x14ac:dyDescent="0.25">
      <c r="A2548" s="505" t="s">
        <v>6360</v>
      </c>
      <c r="B2548" s="505" t="s">
        <v>6361</v>
      </c>
      <c r="C2548" s="512" t="s">
        <v>7762</v>
      </c>
      <c r="D2548" s="512">
        <v>42</v>
      </c>
      <c r="E2548" s="512" t="s">
        <v>8570</v>
      </c>
      <c r="F2548" s="512" t="s">
        <v>9691</v>
      </c>
      <c r="G2548" s="512" t="s">
        <v>7899</v>
      </c>
      <c r="H2548" s="512" t="s">
        <v>9692</v>
      </c>
      <c r="L2548" s="505" t="s">
        <v>2466</v>
      </c>
      <c r="M2548" s="516">
        <v>12.5</v>
      </c>
      <c r="N2548" s="505" t="s">
        <v>2466</v>
      </c>
    </row>
    <row r="2549" spans="1:14" x14ac:dyDescent="0.25">
      <c r="A2549" s="505" t="s">
        <v>6362</v>
      </c>
      <c r="B2549" s="505" t="s">
        <v>6363</v>
      </c>
      <c r="C2549" s="512" t="s">
        <v>7762</v>
      </c>
      <c r="D2549" s="512">
        <v>42</v>
      </c>
      <c r="E2549" s="512" t="s">
        <v>8570</v>
      </c>
      <c r="F2549" s="512" t="s">
        <v>9691</v>
      </c>
      <c r="G2549" s="512" t="s">
        <v>8173</v>
      </c>
      <c r="H2549" s="512" t="s">
        <v>9692</v>
      </c>
      <c r="L2549" s="505" t="s">
        <v>2466</v>
      </c>
      <c r="M2549" s="516">
        <v>22</v>
      </c>
      <c r="N2549" s="505" t="s">
        <v>2466</v>
      </c>
    </row>
    <row r="2550" spans="1:14" x14ac:dyDescent="0.25">
      <c r="A2550" s="505" t="s">
        <v>6364</v>
      </c>
      <c r="B2550" s="505" t="s">
        <v>6365</v>
      </c>
      <c r="C2550" s="512" t="s">
        <v>7762</v>
      </c>
      <c r="D2550" s="512">
        <v>42</v>
      </c>
      <c r="E2550" s="512" t="s">
        <v>8570</v>
      </c>
      <c r="F2550" s="512" t="s">
        <v>9691</v>
      </c>
      <c r="G2550" s="512" t="s">
        <v>8183</v>
      </c>
      <c r="H2550" s="512" t="s">
        <v>9692</v>
      </c>
      <c r="L2550" s="505" t="s">
        <v>2466</v>
      </c>
      <c r="M2550" s="516">
        <v>16.5</v>
      </c>
      <c r="N2550" s="505" t="s">
        <v>2466</v>
      </c>
    </row>
    <row r="2551" spans="1:14" x14ac:dyDescent="0.25">
      <c r="A2551" s="505" t="s">
        <v>6366</v>
      </c>
      <c r="B2551" s="505" t="s">
        <v>6367</v>
      </c>
      <c r="C2551" s="512" t="s">
        <v>7762</v>
      </c>
      <c r="D2551" s="512">
        <v>42</v>
      </c>
      <c r="E2551" s="512" t="s">
        <v>8570</v>
      </c>
      <c r="F2551" s="512" t="s">
        <v>9691</v>
      </c>
      <c r="G2551" s="512" t="s">
        <v>8176</v>
      </c>
      <c r="H2551" s="512" t="s">
        <v>9692</v>
      </c>
      <c r="L2551" s="505" t="s">
        <v>2466</v>
      </c>
      <c r="M2551" s="516">
        <v>16.5</v>
      </c>
      <c r="N2551" s="505" t="s">
        <v>2466</v>
      </c>
    </row>
    <row r="2552" spans="1:14" x14ac:dyDescent="0.25">
      <c r="A2552" s="505" t="s">
        <v>6368</v>
      </c>
      <c r="B2552" s="505" t="s">
        <v>6369</v>
      </c>
      <c r="C2552" s="512" t="s">
        <v>7762</v>
      </c>
      <c r="D2552" s="512">
        <v>42</v>
      </c>
      <c r="E2552" s="512" t="s">
        <v>8570</v>
      </c>
      <c r="F2552" s="512" t="s">
        <v>9691</v>
      </c>
      <c r="G2552" s="512" t="s">
        <v>7440</v>
      </c>
      <c r="H2552" s="512" t="s">
        <v>8423</v>
      </c>
      <c r="I2552" s="512" t="s">
        <v>9692</v>
      </c>
      <c r="L2552" s="505" t="s">
        <v>2466</v>
      </c>
      <c r="M2552" s="516">
        <v>16.5</v>
      </c>
      <c r="N2552" s="505" t="s">
        <v>2466</v>
      </c>
    </row>
    <row r="2553" spans="1:14" x14ac:dyDescent="0.25">
      <c r="A2553" s="505" t="s">
        <v>6370</v>
      </c>
      <c r="B2553" s="505" t="s">
        <v>6371</v>
      </c>
      <c r="C2553" s="512" t="s">
        <v>7762</v>
      </c>
      <c r="D2553" s="512">
        <v>42</v>
      </c>
      <c r="E2553" s="512" t="s">
        <v>8570</v>
      </c>
      <c r="F2553" s="512" t="s">
        <v>9691</v>
      </c>
      <c r="G2553" s="512" t="s">
        <v>7889</v>
      </c>
      <c r="H2553" s="512" t="s">
        <v>9692</v>
      </c>
      <c r="L2553" s="505" t="s">
        <v>2466</v>
      </c>
      <c r="M2553" s="516">
        <v>11.24</v>
      </c>
      <c r="N2553" s="505" t="s">
        <v>2466</v>
      </c>
    </row>
    <row r="2554" spans="1:14" x14ac:dyDescent="0.25">
      <c r="A2554" s="505" t="s">
        <v>6372</v>
      </c>
      <c r="B2554" s="505" t="s">
        <v>6373</v>
      </c>
      <c r="C2554" s="512" t="s">
        <v>7762</v>
      </c>
      <c r="D2554" s="512">
        <v>42</v>
      </c>
      <c r="E2554" s="512" t="s">
        <v>8570</v>
      </c>
      <c r="F2554" s="512" t="s">
        <v>9691</v>
      </c>
      <c r="G2554" s="512" t="s">
        <v>7890</v>
      </c>
      <c r="H2554" s="512" t="s">
        <v>7881</v>
      </c>
      <c r="I2554" s="512" t="s">
        <v>9692</v>
      </c>
      <c r="L2554" s="505" t="s">
        <v>2466</v>
      </c>
      <c r="M2554" s="516">
        <v>22</v>
      </c>
      <c r="N2554" s="505" t="s">
        <v>2466</v>
      </c>
    </row>
    <row r="2555" spans="1:14" x14ac:dyDescent="0.25">
      <c r="A2555" s="505" t="s">
        <v>6374</v>
      </c>
      <c r="B2555" s="505" t="s">
        <v>6375</v>
      </c>
      <c r="C2555" s="512" t="s">
        <v>7762</v>
      </c>
      <c r="D2555" s="512">
        <v>42</v>
      </c>
      <c r="E2555" s="512" t="s">
        <v>8570</v>
      </c>
      <c r="F2555" s="512" t="s">
        <v>9691</v>
      </c>
      <c r="G2555" s="512" t="s">
        <v>7803</v>
      </c>
      <c r="H2555" s="512" t="s">
        <v>9692</v>
      </c>
      <c r="L2555" s="505" t="s">
        <v>2466</v>
      </c>
      <c r="M2555" s="516">
        <v>16.5</v>
      </c>
      <c r="N2555" s="505" t="s">
        <v>2466</v>
      </c>
    </row>
    <row r="2556" spans="1:14" x14ac:dyDescent="0.25">
      <c r="A2556" s="505" t="s">
        <v>6376</v>
      </c>
      <c r="B2556" s="505" t="s">
        <v>6377</v>
      </c>
      <c r="C2556" s="512" t="s">
        <v>7762</v>
      </c>
      <c r="D2556" s="512">
        <v>42</v>
      </c>
      <c r="E2556" s="512" t="s">
        <v>8570</v>
      </c>
      <c r="F2556" s="512" t="s">
        <v>9691</v>
      </c>
      <c r="G2556" s="512" t="s">
        <v>8177</v>
      </c>
      <c r="H2556" s="512" t="s">
        <v>9692</v>
      </c>
      <c r="L2556" s="505" t="s">
        <v>2466</v>
      </c>
      <c r="M2556" s="516">
        <v>12.5</v>
      </c>
      <c r="N2556" s="505" t="s">
        <v>2466</v>
      </c>
    </row>
    <row r="2557" spans="1:14" x14ac:dyDescent="0.25">
      <c r="A2557" s="505" t="s">
        <v>6378</v>
      </c>
      <c r="B2557" s="505" t="s">
        <v>6379</v>
      </c>
      <c r="C2557" s="512" t="s">
        <v>7762</v>
      </c>
      <c r="D2557" s="512">
        <v>42</v>
      </c>
      <c r="E2557" s="512" t="s">
        <v>8570</v>
      </c>
      <c r="F2557" s="512" t="s">
        <v>9691</v>
      </c>
      <c r="G2557" s="512" t="s">
        <v>7721</v>
      </c>
      <c r="H2557" s="512" t="s">
        <v>9692</v>
      </c>
      <c r="L2557" s="505" t="s">
        <v>2466</v>
      </c>
      <c r="M2557" s="516">
        <v>16.5</v>
      </c>
      <c r="N2557" s="505" t="s">
        <v>2466</v>
      </c>
    </row>
    <row r="2558" spans="1:14" x14ac:dyDescent="0.25">
      <c r="A2558" s="505" t="s">
        <v>6380</v>
      </c>
      <c r="B2558" s="505" t="s">
        <v>6381</v>
      </c>
      <c r="C2558" s="512" t="s">
        <v>7762</v>
      </c>
      <c r="D2558" s="512">
        <v>42</v>
      </c>
      <c r="E2558" s="512" t="s">
        <v>8570</v>
      </c>
      <c r="F2558" s="512" t="s">
        <v>9691</v>
      </c>
      <c r="G2558" s="512" t="s">
        <v>7804</v>
      </c>
      <c r="H2558" s="512" t="s">
        <v>9692</v>
      </c>
      <c r="L2558" s="505" t="s">
        <v>2466</v>
      </c>
      <c r="M2558" s="516">
        <v>16.5</v>
      </c>
      <c r="N2558" s="505" t="s">
        <v>2466</v>
      </c>
    </row>
    <row r="2559" spans="1:14" x14ac:dyDescent="0.25">
      <c r="A2559" s="505" t="s">
        <v>6382</v>
      </c>
      <c r="B2559" s="505" t="s">
        <v>6383</v>
      </c>
      <c r="C2559" s="512" t="s">
        <v>7762</v>
      </c>
      <c r="D2559" s="512" t="s">
        <v>9693</v>
      </c>
      <c r="E2559" s="512" t="s">
        <v>9694</v>
      </c>
      <c r="F2559" s="512" t="s">
        <v>9695</v>
      </c>
      <c r="G2559" s="512" t="s">
        <v>9696</v>
      </c>
      <c r="H2559" s="512" t="s">
        <v>9697</v>
      </c>
      <c r="I2559" s="512" t="s">
        <v>9698</v>
      </c>
      <c r="L2559" s="505" t="s">
        <v>1233</v>
      </c>
      <c r="M2559" s="516">
        <v>18.78</v>
      </c>
      <c r="N2559" s="505" t="s">
        <v>1233</v>
      </c>
    </row>
    <row r="2560" spans="1:14" x14ac:dyDescent="0.25">
      <c r="A2560" s="505" t="s">
        <v>6384</v>
      </c>
      <c r="B2560" s="505" t="s">
        <v>6385</v>
      </c>
      <c r="C2560" s="512" t="s">
        <v>7762</v>
      </c>
      <c r="D2560" s="512" t="s">
        <v>9693</v>
      </c>
      <c r="E2560" s="512" t="s">
        <v>9694</v>
      </c>
      <c r="F2560" s="512" t="s">
        <v>9695</v>
      </c>
      <c r="G2560" s="512" t="s">
        <v>9696</v>
      </c>
      <c r="H2560" s="512" t="s">
        <v>7437</v>
      </c>
      <c r="I2560" s="512" t="s">
        <v>9698</v>
      </c>
      <c r="L2560" s="505" t="s">
        <v>1233</v>
      </c>
      <c r="M2560" s="516">
        <v>18.78</v>
      </c>
      <c r="N2560" s="505" t="s">
        <v>1233</v>
      </c>
    </row>
    <row r="2561" spans="1:14" x14ac:dyDescent="0.25">
      <c r="A2561" s="505" t="s">
        <v>6386</v>
      </c>
      <c r="B2561" s="505" t="s">
        <v>6387</v>
      </c>
      <c r="C2561" s="512" t="s">
        <v>7762</v>
      </c>
      <c r="D2561" s="512" t="s">
        <v>9693</v>
      </c>
      <c r="E2561" s="512" t="s">
        <v>9694</v>
      </c>
      <c r="F2561" s="512" t="s">
        <v>9695</v>
      </c>
      <c r="G2561" s="512" t="s">
        <v>9696</v>
      </c>
      <c r="H2561" s="512" t="s">
        <v>9699</v>
      </c>
      <c r="I2561" s="512" t="s">
        <v>9698</v>
      </c>
      <c r="L2561" s="505" t="s">
        <v>1233</v>
      </c>
      <c r="M2561" s="516">
        <v>18.78</v>
      </c>
      <c r="N2561" s="505" t="s">
        <v>1233</v>
      </c>
    </row>
    <row r="2562" spans="1:14" x14ac:dyDescent="0.25">
      <c r="A2562" s="505" t="s">
        <v>6388</v>
      </c>
      <c r="B2562" s="505" t="s">
        <v>6389</v>
      </c>
      <c r="C2562" s="512" t="s">
        <v>7762</v>
      </c>
      <c r="D2562" s="512" t="s">
        <v>9693</v>
      </c>
      <c r="E2562" s="512" t="s">
        <v>9694</v>
      </c>
      <c r="F2562" s="512" t="s">
        <v>9695</v>
      </c>
      <c r="G2562" s="512" t="s">
        <v>9696</v>
      </c>
      <c r="H2562" s="512" t="s">
        <v>7800</v>
      </c>
      <c r="I2562" s="512" t="s">
        <v>9698</v>
      </c>
      <c r="L2562" s="505" t="s">
        <v>1233</v>
      </c>
      <c r="M2562" s="516">
        <v>18.78</v>
      </c>
      <c r="N2562" s="505" t="s">
        <v>1233</v>
      </c>
    </row>
    <row r="2563" spans="1:14" x14ac:dyDescent="0.25">
      <c r="A2563" s="505" t="s">
        <v>6390</v>
      </c>
      <c r="B2563" s="505" t="s">
        <v>6391</v>
      </c>
      <c r="C2563" s="512" t="s">
        <v>7762</v>
      </c>
      <c r="D2563" s="512" t="s">
        <v>9693</v>
      </c>
      <c r="E2563" s="512" t="s">
        <v>9694</v>
      </c>
      <c r="F2563" s="512" t="s">
        <v>9695</v>
      </c>
      <c r="G2563" s="512" t="s">
        <v>9696</v>
      </c>
      <c r="H2563" s="512" t="s">
        <v>7714</v>
      </c>
      <c r="I2563" s="512" t="s">
        <v>9698</v>
      </c>
      <c r="L2563" s="505" t="s">
        <v>1233</v>
      </c>
      <c r="M2563" s="516">
        <v>18.78</v>
      </c>
      <c r="N2563" s="505" t="s">
        <v>1233</v>
      </c>
    </row>
    <row r="2564" spans="1:14" x14ac:dyDescent="0.25">
      <c r="A2564" s="505" t="s">
        <v>6392</v>
      </c>
      <c r="B2564" s="505" t="s">
        <v>6393</v>
      </c>
      <c r="C2564" s="512" t="s">
        <v>7762</v>
      </c>
      <c r="D2564" s="512" t="s">
        <v>9693</v>
      </c>
      <c r="E2564" s="512" t="s">
        <v>9694</v>
      </c>
      <c r="F2564" s="512" t="s">
        <v>9695</v>
      </c>
      <c r="G2564" s="512" t="s">
        <v>9696</v>
      </c>
      <c r="H2564" s="512" t="s">
        <v>7881</v>
      </c>
      <c r="I2564" s="512" t="s">
        <v>9698</v>
      </c>
      <c r="L2564" s="505" t="s">
        <v>1233</v>
      </c>
      <c r="M2564" s="516">
        <v>18.78</v>
      </c>
      <c r="N2564" s="505" t="s">
        <v>1233</v>
      </c>
    </row>
    <row r="2565" spans="1:14" x14ac:dyDescent="0.25">
      <c r="A2565" s="505" t="s">
        <v>6394</v>
      </c>
      <c r="B2565" s="505" t="s">
        <v>6395</v>
      </c>
      <c r="C2565" s="512" t="s">
        <v>7762</v>
      </c>
      <c r="D2565" s="512" t="s">
        <v>9693</v>
      </c>
      <c r="E2565" s="512" t="s">
        <v>9694</v>
      </c>
      <c r="F2565" s="512" t="s">
        <v>9695</v>
      </c>
      <c r="G2565" s="512" t="s">
        <v>9696</v>
      </c>
      <c r="H2565" s="512" t="s">
        <v>9700</v>
      </c>
      <c r="I2565" s="512" t="s">
        <v>9698</v>
      </c>
      <c r="L2565" s="505" t="s">
        <v>1233</v>
      </c>
      <c r="M2565" s="516">
        <v>18.78</v>
      </c>
      <c r="N2565" s="505" t="s">
        <v>1233</v>
      </c>
    </row>
    <row r="2566" spans="1:14" x14ac:dyDescent="0.25">
      <c r="A2566" s="505" t="s">
        <v>6396</v>
      </c>
      <c r="B2566" s="505" t="s">
        <v>6397</v>
      </c>
      <c r="C2566" s="512" t="s">
        <v>7762</v>
      </c>
      <c r="D2566" s="512" t="s">
        <v>9693</v>
      </c>
      <c r="E2566" s="512" t="s">
        <v>9694</v>
      </c>
      <c r="F2566" s="512" t="s">
        <v>9695</v>
      </c>
      <c r="G2566" s="512" t="s">
        <v>9696</v>
      </c>
      <c r="H2566" s="512" t="s">
        <v>9701</v>
      </c>
      <c r="I2566" s="512" t="s">
        <v>9698</v>
      </c>
      <c r="L2566" s="505" t="s">
        <v>1233</v>
      </c>
      <c r="M2566" s="516">
        <v>18.78</v>
      </c>
      <c r="N2566" s="505" t="s">
        <v>1233</v>
      </c>
    </row>
    <row r="2567" spans="1:14" x14ac:dyDescent="0.25">
      <c r="A2567" s="505" t="s">
        <v>6398</v>
      </c>
      <c r="B2567" s="505" t="s">
        <v>6399</v>
      </c>
      <c r="C2567" s="512" t="s">
        <v>7762</v>
      </c>
      <c r="D2567" s="512" t="s">
        <v>9693</v>
      </c>
      <c r="E2567" s="512" t="s">
        <v>9694</v>
      </c>
      <c r="F2567" s="512" t="s">
        <v>9695</v>
      </c>
      <c r="G2567" s="512" t="s">
        <v>9696</v>
      </c>
      <c r="H2567" s="512" t="s">
        <v>9277</v>
      </c>
      <c r="I2567" s="512" t="s">
        <v>9698</v>
      </c>
      <c r="L2567" s="505" t="s">
        <v>1233</v>
      </c>
      <c r="M2567" s="516">
        <v>18.78</v>
      </c>
      <c r="N2567" s="505" t="s">
        <v>1233</v>
      </c>
    </row>
    <row r="2568" spans="1:14" x14ac:dyDescent="0.25">
      <c r="A2568" s="505" t="s">
        <v>6400</v>
      </c>
      <c r="B2568" s="505" t="s">
        <v>6401</v>
      </c>
      <c r="C2568" s="512" t="s">
        <v>7762</v>
      </c>
      <c r="D2568" s="512" t="s">
        <v>9693</v>
      </c>
      <c r="E2568" s="512" t="s">
        <v>9694</v>
      </c>
      <c r="F2568" s="512" t="s">
        <v>9695</v>
      </c>
      <c r="G2568" s="512" t="s">
        <v>9696</v>
      </c>
      <c r="H2568" s="512" t="s">
        <v>9702</v>
      </c>
      <c r="I2568" s="512" t="s">
        <v>9698</v>
      </c>
      <c r="L2568" s="505" t="s">
        <v>1233</v>
      </c>
      <c r="M2568" s="516">
        <v>18.78</v>
      </c>
      <c r="N2568" s="505" t="s">
        <v>1233</v>
      </c>
    </row>
    <row r="2569" spans="1:14" x14ac:dyDescent="0.25">
      <c r="A2569" s="505" t="s">
        <v>6402</v>
      </c>
      <c r="B2569" s="505" t="s">
        <v>6403</v>
      </c>
      <c r="C2569" s="512" t="s">
        <v>7762</v>
      </c>
      <c r="D2569" s="512" t="s">
        <v>9693</v>
      </c>
      <c r="E2569" s="512" t="s">
        <v>9694</v>
      </c>
      <c r="F2569" s="512" t="s">
        <v>9695</v>
      </c>
      <c r="G2569" s="512" t="s">
        <v>9696</v>
      </c>
      <c r="H2569" s="512" t="s">
        <v>9703</v>
      </c>
      <c r="I2569" s="512" t="s">
        <v>9698</v>
      </c>
      <c r="L2569" s="505" t="s">
        <v>1233</v>
      </c>
      <c r="M2569" s="516">
        <v>18.78</v>
      </c>
      <c r="N2569" s="505" t="s">
        <v>1233</v>
      </c>
    </row>
    <row r="2570" spans="1:14" x14ac:dyDescent="0.25">
      <c r="A2570" s="505" t="s">
        <v>6404</v>
      </c>
      <c r="B2570" s="505" t="s">
        <v>6405</v>
      </c>
      <c r="C2570" s="512" t="s">
        <v>7762</v>
      </c>
      <c r="D2570" s="512" t="s">
        <v>9693</v>
      </c>
      <c r="E2570" s="512" t="s">
        <v>9694</v>
      </c>
      <c r="F2570" s="512" t="s">
        <v>9695</v>
      </c>
      <c r="G2570" s="512" t="s">
        <v>9696</v>
      </c>
      <c r="H2570" s="512" t="s">
        <v>7433</v>
      </c>
      <c r="I2570" s="512" t="s">
        <v>9698</v>
      </c>
      <c r="L2570" s="505" t="s">
        <v>1233</v>
      </c>
      <c r="M2570" s="516">
        <v>18.78</v>
      </c>
      <c r="N2570" s="505" t="s">
        <v>1233</v>
      </c>
    </row>
    <row r="2571" spans="1:14" x14ac:dyDescent="0.25">
      <c r="A2571" s="505" t="s">
        <v>6406</v>
      </c>
      <c r="B2571" s="505" t="s">
        <v>6407</v>
      </c>
      <c r="C2571" s="512" t="s">
        <v>7762</v>
      </c>
      <c r="D2571" s="512" t="s">
        <v>9693</v>
      </c>
      <c r="E2571" s="512" t="s">
        <v>9694</v>
      </c>
      <c r="F2571" s="512" t="s">
        <v>9695</v>
      </c>
      <c r="G2571" s="512" t="s">
        <v>9696</v>
      </c>
      <c r="H2571" s="512" t="s">
        <v>9704</v>
      </c>
      <c r="I2571" s="512" t="s">
        <v>9698</v>
      </c>
      <c r="L2571" s="505" t="s">
        <v>1233</v>
      </c>
      <c r="M2571" s="516">
        <v>18.78</v>
      </c>
      <c r="N2571" s="505" t="s">
        <v>1233</v>
      </c>
    </row>
    <row r="2572" spans="1:14" x14ac:dyDescent="0.25">
      <c r="A2572" s="505" t="s">
        <v>6408</v>
      </c>
      <c r="B2572" s="505" t="s">
        <v>6409</v>
      </c>
      <c r="C2572" s="512" t="s">
        <v>7762</v>
      </c>
      <c r="D2572" s="512" t="s">
        <v>9693</v>
      </c>
      <c r="E2572" s="512" t="s">
        <v>9694</v>
      </c>
      <c r="F2572" s="512" t="s">
        <v>9695</v>
      </c>
      <c r="G2572" s="512" t="s">
        <v>9696</v>
      </c>
      <c r="H2572" s="512" t="s">
        <v>9705</v>
      </c>
      <c r="I2572" s="512" t="s">
        <v>9698</v>
      </c>
      <c r="L2572" s="505" t="s">
        <v>1233</v>
      </c>
      <c r="M2572" s="516">
        <v>18.78</v>
      </c>
      <c r="N2572" s="505" t="s">
        <v>1233</v>
      </c>
    </row>
    <row r="2573" spans="1:14" x14ac:dyDescent="0.25">
      <c r="A2573" s="505" t="s">
        <v>6410</v>
      </c>
      <c r="B2573" s="505" t="s">
        <v>6411</v>
      </c>
      <c r="C2573" s="512" t="s">
        <v>7762</v>
      </c>
      <c r="D2573" s="512" t="s">
        <v>9693</v>
      </c>
      <c r="E2573" s="512" t="s">
        <v>9694</v>
      </c>
      <c r="F2573" s="512" t="s">
        <v>9695</v>
      </c>
      <c r="G2573" s="512" t="s">
        <v>9696</v>
      </c>
      <c r="H2573" s="512" t="s">
        <v>7889</v>
      </c>
      <c r="I2573" s="512" t="s">
        <v>9698</v>
      </c>
      <c r="L2573" s="505" t="s">
        <v>1233</v>
      </c>
      <c r="M2573" s="516">
        <v>18.78</v>
      </c>
      <c r="N2573" s="505" t="s">
        <v>1233</v>
      </c>
    </row>
    <row r="2574" spans="1:14" x14ac:dyDescent="0.25">
      <c r="A2574" s="505" t="s">
        <v>6412</v>
      </c>
      <c r="B2574" s="505" t="s">
        <v>6413</v>
      </c>
      <c r="C2574" s="512" t="s">
        <v>7762</v>
      </c>
      <c r="D2574" s="512" t="s">
        <v>9693</v>
      </c>
      <c r="E2574" s="512" t="s">
        <v>9694</v>
      </c>
      <c r="F2574" s="512" t="s">
        <v>9695</v>
      </c>
      <c r="G2574" s="512" t="s">
        <v>9696</v>
      </c>
      <c r="H2574" s="512" t="s">
        <v>9706</v>
      </c>
      <c r="I2574" s="512" t="s">
        <v>9698</v>
      </c>
      <c r="L2574" s="505" t="s">
        <v>1233</v>
      </c>
      <c r="M2574" s="516">
        <v>18.78</v>
      </c>
      <c r="N2574" s="505" t="s">
        <v>1233</v>
      </c>
    </row>
    <row r="2575" spans="1:14" x14ac:dyDescent="0.25">
      <c r="A2575" s="505" t="s">
        <v>6414</v>
      </c>
      <c r="B2575" s="505" t="s">
        <v>6415</v>
      </c>
      <c r="C2575" s="512" t="s">
        <v>7762</v>
      </c>
      <c r="D2575" s="512" t="s">
        <v>9693</v>
      </c>
      <c r="E2575" s="512" t="s">
        <v>9694</v>
      </c>
      <c r="F2575" s="512" t="s">
        <v>9695</v>
      </c>
      <c r="G2575" s="512" t="s">
        <v>9696</v>
      </c>
      <c r="H2575" s="512" t="s">
        <v>7803</v>
      </c>
      <c r="I2575" s="512" t="s">
        <v>9698</v>
      </c>
      <c r="L2575" s="505" t="s">
        <v>1233</v>
      </c>
      <c r="M2575" s="516">
        <v>18.78</v>
      </c>
      <c r="N2575" s="505" t="s">
        <v>1233</v>
      </c>
    </row>
    <row r="2576" spans="1:14" x14ac:dyDescent="0.25">
      <c r="A2576" s="505" t="s">
        <v>6416</v>
      </c>
      <c r="B2576" s="505" t="s">
        <v>6417</v>
      </c>
      <c r="C2576" s="512" t="s">
        <v>7762</v>
      </c>
      <c r="D2576" s="512" t="s">
        <v>9693</v>
      </c>
      <c r="E2576" s="512" t="s">
        <v>9694</v>
      </c>
      <c r="F2576" s="512" t="s">
        <v>9695</v>
      </c>
      <c r="G2576" s="512" t="s">
        <v>9696</v>
      </c>
      <c r="H2576" s="512" t="s">
        <v>9707</v>
      </c>
      <c r="I2576" s="512" t="s">
        <v>9698</v>
      </c>
      <c r="L2576" s="505" t="s">
        <v>1233</v>
      </c>
      <c r="M2576" s="516">
        <v>18.78</v>
      </c>
      <c r="N2576" s="505" t="s">
        <v>1233</v>
      </c>
    </row>
    <row r="2577" spans="1:14" x14ac:dyDescent="0.25">
      <c r="A2577" s="505" t="s">
        <v>6418</v>
      </c>
      <c r="B2577" s="505" t="s">
        <v>6419</v>
      </c>
      <c r="C2577" s="512" t="s">
        <v>7762</v>
      </c>
      <c r="D2577" s="512" t="s">
        <v>9693</v>
      </c>
      <c r="E2577" s="512" t="s">
        <v>9694</v>
      </c>
      <c r="F2577" s="512" t="s">
        <v>9695</v>
      </c>
      <c r="G2577" s="512" t="s">
        <v>9696</v>
      </c>
      <c r="H2577" s="512" t="s">
        <v>7721</v>
      </c>
      <c r="I2577" s="512" t="s">
        <v>9698</v>
      </c>
      <c r="L2577" s="505" t="s">
        <v>1233</v>
      </c>
      <c r="M2577" s="516">
        <v>18.78</v>
      </c>
      <c r="N2577" s="505" t="s">
        <v>1233</v>
      </c>
    </row>
    <row r="2578" spans="1:14" x14ac:dyDescent="0.25">
      <c r="A2578" s="505" t="s">
        <v>6420</v>
      </c>
      <c r="B2578" s="505" t="s">
        <v>6421</v>
      </c>
      <c r="C2578" s="512" t="s">
        <v>7762</v>
      </c>
      <c r="D2578" s="512" t="s">
        <v>9693</v>
      </c>
      <c r="E2578" s="512" t="s">
        <v>9694</v>
      </c>
      <c r="F2578" s="512" t="s">
        <v>9695</v>
      </c>
      <c r="G2578" s="512" t="s">
        <v>9696</v>
      </c>
      <c r="H2578" s="512" t="s">
        <v>7804</v>
      </c>
      <c r="I2578" s="512" t="s">
        <v>9698</v>
      </c>
      <c r="L2578" s="505" t="s">
        <v>1233</v>
      </c>
      <c r="M2578" s="516">
        <v>18.78</v>
      </c>
      <c r="N2578" s="505" t="s">
        <v>1233</v>
      </c>
    </row>
    <row r="2579" spans="1:14" x14ac:dyDescent="0.25">
      <c r="A2579" s="505" t="s">
        <v>6422</v>
      </c>
      <c r="B2579" s="505" t="s">
        <v>6423</v>
      </c>
      <c r="C2579" s="512" t="s">
        <v>7762</v>
      </c>
      <c r="D2579" s="512" t="s">
        <v>9693</v>
      </c>
      <c r="E2579" s="512" t="s">
        <v>9694</v>
      </c>
      <c r="F2579" s="512" t="s">
        <v>9695</v>
      </c>
      <c r="G2579" s="512" t="s">
        <v>9708</v>
      </c>
      <c r="H2579" s="512" t="s">
        <v>9697</v>
      </c>
      <c r="I2579" s="512" t="s">
        <v>9709</v>
      </c>
      <c r="L2579" s="505" t="s">
        <v>1233</v>
      </c>
      <c r="M2579" s="516">
        <v>18.78</v>
      </c>
      <c r="N2579" s="505" t="s">
        <v>1233</v>
      </c>
    </row>
    <row r="2580" spans="1:14" x14ac:dyDescent="0.25">
      <c r="A2580" s="505" t="s">
        <v>6424</v>
      </c>
      <c r="B2580" s="505" t="s">
        <v>6425</v>
      </c>
      <c r="C2580" s="512" t="s">
        <v>7762</v>
      </c>
      <c r="D2580" s="512" t="s">
        <v>9693</v>
      </c>
      <c r="E2580" s="512" t="s">
        <v>9694</v>
      </c>
      <c r="F2580" s="512" t="s">
        <v>9695</v>
      </c>
      <c r="G2580" s="512" t="s">
        <v>9708</v>
      </c>
      <c r="H2580" s="512" t="s">
        <v>7437</v>
      </c>
      <c r="I2580" s="512" t="s">
        <v>9709</v>
      </c>
      <c r="L2580" s="505" t="s">
        <v>1233</v>
      </c>
      <c r="M2580" s="516">
        <v>18.78</v>
      </c>
      <c r="N2580" s="505" t="s">
        <v>1233</v>
      </c>
    </row>
    <row r="2581" spans="1:14" x14ac:dyDescent="0.25">
      <c r="A2581" s="505" t="s">
        <v>6426</v>
      </c>
      <c r="B2581" s="505" t="s">
        <v>6427</v>
      </c>
      <c r="C2581" s="512" t="s">
        <v>7762</v>
      </c>
      <c r="D2581" s="512" t="s">
        <v>9693</v>
      </c>
      <c r="E2581" s="512" t="s">
        <v>9694</v>
      </c>
      <c r="F2581" s="512" t="s">
        <v>9695</v>
      </c>
      <c r="G2581" s="512" t="s">
        <v>9708</v>
      </c>
      <c r="H2581" s="512" t="s">
        <v>9699</v>
      </c>
      <c r="I2581" s="512" t="s">
        <v>9709</v>
      </c>
      <c r="L2581" s="505" t="s">
        <v>1233</v>
      </c>
      <c r="M2581" s="516">
        <v>18.78</v>
      </c>
      <c r="N2581" s="505" t="s">
        <v>1233</v>
      </c>
    </row>
    <row r="2582" spans="1:14" x14ac:dyDescent="0.25">
      <c r="A2582" s="505" t="s">
        <v>6428</v>
      </c>
      <c r="B2582" s="505" t="s">
        <v>6429</v>
      </c>
      <c r="C2582" s="512" t="s">
        <v>7762</v>
      </c>
      <c r="D2582" s="512" t="s">
        <v>9693</v>
      </c>
      <c r="E2582" s="512" t="s">
        <v>9694</v>
      </c>
      <c r="F2582" s="512" t="s">
        <v>9695</v>
      </c>
      <c r="G2582" s="512" t="s">
        <v>9708</v>
      </c>
      <c r="H2582" s="512" t="s">
        <v>7800</v>
      </c>
      <c r="I2582" s="512" t="s">
        <v>9709</v>
      </c>
      <c r="L2582" s="505" t="s">
        <v>1233</v>
      </c>
      <c r="M2582" s="516">
        <v>18.78</v>
      </c>
      <c r="N2582" s="505" t="s">
        <v>1233</v>
      </c>
    </row>
    <row r="2583" spans="1:14" x14ac:dyDescent="0.25">
      <c r="A2583" s="505" t="s">
        <v>6430</v>
      </c>
      <c r="B2583" s="505" t="s">
        <v>6431</v>
      </c>
      <c r="C2583" s="512" t="s">
        <v>7762</v>
      </c>
      <c r="D2583" s="512" t="s">
        <v>9693</v>
      </c>
      <c r="E2583" s="512" t="s">
        <v>9694</v>
      </c>
      <c r="F2583" s="512" t="s">
        <v>9695</v>
      </c>
      <c r="G2583" s="512" t="s">
        <v>9708</v>
      </c>
      <c r="H2583" s="512" t="s">
        <v>7714</v>
      </c>
      <c r="I2583" s="512" t="s">
        <v>9709</v>
      </c>
      <c r="L2583" s="505" t="s">
        <v>1233</v>
      </c>
      <c r="M2583" s="516">
        <v>18.78</v>
      </c>
      <c r="N2583" s="505" t="s">
        <v>1233</v>
      </c>
    </row>
    <row r="2584" spans="1:14" x14ac:dyDescent="0.25">
      <c r="A2584" s="505" t="s">
        <v>6432</v>
      </c>
      <c r="B2584" s="505" t="s">
        <v>6433</v>
      </c>
      <c r="C2584" s="512" t="s">
        <v>7762</v>
      </c>
      <c r="D2584" s="512" t="s">
        <v>9693</v>
      </c>
      <c r="E2584" s="512" t="s">
        <v>9694</v>
      </c>
      <c r="F2584" s="512" t="s">
        <v>9695</v>
      </c>
      <c r="G2584" s="512" t="s">
        <v>9708</v>
      </c>
      <c r="H2584" s="512" t="s">
        <v>7881</v>
      </c>
      <c r="I2584" s="512" t="s">
        <v>9709</v>
      </c>
      <c r="L2584" s="505" t="s">
        <v>1233</v>
      </c>
      <c r="M2584" s="516">
        <v>18.78</v>
      </c>
      <c r="N2584" s="505" t="s">
        <v>1233</v>
      </c>
    </row>
    <row r="2585" spans="1:14" x14ac:dyDescent="0.25">
      <c r="A2585" s="505" t="s">
        <v>6434</v>
      </c>
      <c r="B2585" s="505" t="s">
        <v>6435</v>
      </c>
      <c r="C2585" s="512" t="s">
        <v>7762</v>
      </c>
      <c r="D2585" s="512" t="s">
        <v>9693</v>
      </c>
      <c r="E2585" s="512" t="s">
        <v>9694</v>
      </c>
      <c r="F2585" s="512" t="s">
        <v>9695</v>
      </c>
      <c r="G2585" s="512" t="s">
        <v>9708</v>
      </c>
      <c r="H2585" s="512" t="s">
        <v>9700</v>
      </c>
      <c r="I2585" s="512" t="s">
        <v>9709</v>
      </c>
      <c r="L2585" s="505" t="s">
        <v>1233</v>
      </c>
      <c r="M2585" s="516">
        <v>18.78</v>
      </c>
      <c r="N2585" s="505" t="s">
        <v>1233</v>
      </c>
    </row>
    <row r="2586" spans="1:14" x14ac:dyDescent="0.25">
      <c r="A2586" s="505" t="s">
        <v>6436</v>
      </c>
      <c r="B2586" s="505" t="s">
        <v>6437</v>
      </c>
      <c r="C2586" s="512" t="s">
        <v>7762</v>
      </c>
      <c r="D2586" s="512" t="s">
        <v>9693</v>
      </c>
      <c r="E2586" s="512" t="s">
        <v>9694</v>
      </c>
      <c r="F2586" s="512" t="s">
        <v>9695</v>
      </c>
      <c r="G2586" s="512" t="s">
        <v>9708</v>
      </c>
      <c r="H2586" s="512" t="s">
        <v>9701</v>
      </c>
      <c r="I2586" s="512" t="s">
        <v>9709</v>
      </c>
      <c r="L2586" s="505" t="s">
        <v>1233</v>
      </c>
      <c r="M2586" s="516">
        <v>18.78</v>
      </c>
      <c r="N2586" s="505" t="s">
        <v>1233</v>
      </c>
    </row>
    <row r="2587" spans="1:14" x14ac:dyDescent="0.25">
      <c r="A2587" s="505" t="s">
        <v>6438</v>
      </c>
      <c r="B2587" s="505" t="s">
        <v>6439</v>
      </c>
      <c r="C2587" s="512" t="s">
        <v>7762</v>
      </c>
      <c r="D2587" s="512" t="s">
        <v>9693</v>
      </c>
      <c r="E2587" s="512" t="s">
        <v>9694</v>
      </c>
      <c r="F2587" s="512" t="s">
        <v>9695</v>
      </c>
      <c r="G2587" s="512" t="s">
        <v>9708</v>
      </c>
      <c r="H2587" s="512" t="s">
        <v>9277</v>
      </c>
      <c r="I2587" s="512" t="s">
        <v>9709</v>
      </c>
      <c r="L2587" s="505" t="s">
        <v>1233</v>
      </c>
      <c r="M2587" s="516">
        <v>18.78</v>
      </c>
      <c r="N2587" s="505" t="s">
        <v>1233</v>
      </c>
    </row>
    <row r="2588" spans="1:14" x14ac:dyDescent="0.25">
      <c r="A2588" s="505" t="s">
        <v>6440</v>
      </c>
      <c r="B2588" s="505" t="s">
        <v>6441</v>
      </c>
      <c r="C2588" s="512" t="s">
        <v>7762</v>
      </c>
      <c r="D2588" s="512" t="s">
        <v>9693</v>
      </c>
      <c r="E2588" s="512" t="s">
        <v>9694</v>
      </c>
      <c r="F2588" s="512" t="s">
        <v>9695</v>
      </c>
      <c r="G2588" s="512" t="s">
        <v>9708</v>
      </c>
      <c r="H2588" s="512" t="s">
        <v>9702</v>
      </c>
      <c r="I2588" s="512" t="s">
        <v>9709</v>
      </c>
      <c r="L2588" s="505" t="s">
        <v>1233</v>
      </c>
      <c r="M2588" s="516">
        <v>18.78</v>
      </c>
      <c r="N2588" s="505" t="s">
        <v>1233</v>
      </c>
    </row>
    <row r="2589" spans="1:14" x14ac:dyDescent="0.25">
      <c r="A2589" s="505" t="s">
        <v>6442</v>
      </c>
      <c r="B2589" s="505" t="s">
        <v>6443</v>
      </c>
      <c r="C2589" s="512" t="s">
        <v>7762</v>
      </c>
      <c r="D2589" s="512" t="s">
        <v>9693</v>
      </c>
      <c r="E2589" s="512" t="s">
        <v>9694</v>
      </c>
      <c r="F2589" s="512" t="s">
        <v>9695</v>
      </c>
      <c r="G2589" s="512" t="s">
        <v>9708</v>
      </c>
      <c r="H2589" s="512" t="s">
        <v>9703</v>
      </c>
      <c r="I2589" s="512" t="s">
        <v>9709</v>
      </c>
      <c r="L2589" s="505" t="s">
        <v>1233</v>
      </c>
      <c r="M2589" s="516">
        <v>18.78</v>
      </c>
      <c r="N2589" s="505" t="s">
        <v>1233</v>
      </c>
    </row>
    <row r="2590" spans="1:14" x14ac:dyDescent="0.25">
      <c r="A2590" s="505" t="s">
        <v>6444</v>
      </c>
      <c r="B2590" s="505" t="s">
        <v>6445</v>
      </c>
      <c r="C2590" s="512" t="s">
        <v>7762</v>
      </c>
      <c r="D2590" s="512" t="s">
        <v>9693</v>
      </c>
      <c r="E2590" s="512" t="s">
        <v>9694</v>
      </c>
      <c r="F2590" s="512" t="s">
        <v>9695</v>
      </c>
      <c r="G2590" s="512" t="s">
        <v>9708</v>
      </c>
      <c r="H2590" s="512" t="s">
        <v>7433</v>
      </c>
      <c r="I2590" s="512" t="s">
        <v>9709</v>
      </c>
      <c r="L2590" s="505" t="s">
        <v>1233</v>
      </c>
      <c r="M2590" s="516">
        <v>18.78</v>
      </c>
      <c r="N2590" s="505" t="s">
        <v>1233</v>
      </c>
    </row>
    <row r="2591" spans="1:14" x14ac:dyDescent="0.25">
      <c r="A2591" s="505" t="s">
        <v>6446</v>
      </c>
      <c r="B2591" s="505" t="s">
        <v>6447</v>
      </c>
      <c r="C2591" s="512" t="s">
        <v>7762</v>
      </c>
      <c r="D2591" s="512" t="s">
        <v>9693</v>
      </c>
      <c r="E2591" s="512" t="s">
        <v>9694</v>
      </c>
      <c r="F2591" s="512" t="s">
        <v>9695</v>
      </c>
      <c r="G2591" s="512" t="s">
        <v>9708</v>
      </c>
      <c r="H2591" s="512" t="s">
        <v>9704</v>
      </c>
      <c r="I2591" s="512" t="s">
        <v>9709</v>
      </c>
      <c r="L2591" s="505" t="s">
        <v>1233</v>
      </c>
      <c r="M2591" s="516">
        <v>18.78</v>
      </c>
      <c r="N2591" s="505" t="s">
        <v>1233</v>
      </c>
    </row>
    <row r="2592" spans="1:14" x14ac:dyDescent="0.25">
      <c r="A2592" s="505" t="s">
        <v>6448</v>
      </c>
      <c r="B2592" s="505" t="s">
        <v>6449</v>
      </c>
      <c r="C2592" s="512" t="s">
        <v>7762</v>
      </c>
      <c r="D2592" s="512" t="s">
        <v>9693</v>
      </c>
      <c r="E2592" s="512" t="s">
        <v>9694</v>
      </c>
      <c r="F2592" s="512" t="s">
        <v>9695</v>
      </c>
      <c r="G2592" s="512" t="s">
        <v>9708</v>
      </c>
      <c r="H2592" s="512" t="s">
        <v>9705</v>
      </c>
      <c r="I2592" s="512" t="s">
        <v>9709</v>
      </c>
      <c r="L2592" s="505" t="s">
        <v>1233</v>
      </c>
      <c r="M2592" s="516">
        <v>18.78</v>
      </c>
      <c r="N2592" s="505" t="s">
        <v>1233</v>
      </c>
    </row>
    <row r="2593" spans="1:14" x14ac:dyDescent="0.25">
      <c r="A2593" s="505" t="s">
        <v>6450</v>
      </c>
      <c r="B2593" s="505" t="s">
        <v>6451</v>
      </c>
      <c r="C2593" s="512" t="s">
        <v>7762</v>
      </c>
      <c r="D2593" s="512" t="s">
        <v>9693</v>
      </c>
      <c r="E2593" s="512" t="s">
        <v>9694</v>
      </c>
      <c r="F2593" s="512" t="s">
        <v>9695</v>
      </c>
      <c r="G2593" s="512" t="s">
        <v>9708</v>
      </c>
      <c r="H2593" s="512" t="s">
        <v>7889</v>
      </c>
      <c r="I2593" s="512" t="s">
        <v>9709</v>
      </c>
      <c r="L2593" s="505" t="s">
        <v>1233</v>
      </c>
      <c r="M2593" s="516">
        <v>18.78</v>
      </c>
      <c r="N2593" s="505" t="s">
        <v>1233</v>
      </c>
    </row>
    <row r="2594" spans="1:14" x14ac:dyDescent="0.25">
      <c r="A2594" s="505" t="s">
        <v>6452</v>
      </c>
      <c r="B2594" s="505" t="s">
        <v>6453</v>
      </c>
      <c r="C2594" s="512" t="s">
        <v>7762</v>
      </c>
      <c r="D2594" s="512" t="s">
        <v>9693</v>
      </c>
      <c r="E2594" s="512" t="s">
        <v>9694</v>
      </c>
      <c r="F2594" s="512" t="s">
        <v>9695</v>
      </c>
      <c r="G2594" s="512" t="s">
        <v>9708</v>
      </c>
      <c r="H2594" s="512" t="s">
        <v>9706</v>
      </c>
      <c r="I2594" s="512" t="s">
        <v>9709</v>
      </c>
      <c r="L2594" s="505" t="s">
        <v>1233</v>
      </c>
      <c r="M2594" s="516">
        <v>18.78</v>
      </c>
      <c r="N2594" s="505" t="s">
        <v>1233</v>
      </c>
    </row>
    <row r="2595" spans="1:14" x14ac:dyDescent="0.25">
      <c r="A2595" s="505" t="s">
        <v>6454</v>
      </c>
      <c r="B2595" s="505" t="s">
        <v>6455</v>
      </c>
      <c r="C2595" s="512" t="s">
        <v>7762</v>
      </c>
      <c r="D2595" s="512" t="s">
        <v>9693</v>
      </c>
      <c r="E2595" s="512" t="s">
        <v>9694</v>
      </c>
      <c r="F2595" s="512" t="s">
        <v>9695</v>
      </c>
      <c r="G2595" s="512" t="s">
        <v>9708</v>
      </c>
      <c r="H2595" s="512" t="s">
        <v>7803</v>
      </c>
      <c r="I2595" s="512" t="s">
        <v>9709</v>
      </c>
      <c r="L2595" s="505" t="s">
        <v>1233</v>
      </c>
      <c r="M2595" s="516">
        <v>18.78</v>
      </c>
      <c r="N2595" s="505" t="s">
        <v>1233</v>
      </c>
    </row>
    <row r="2596" spans="1:14" x14ac:dyDescent="0.25">
      <c r="A2596" s="505" t="s">
        <v>6456</v>
      </c>
      <c r="B2596" s="505" t="s">
        <v>6457</v>
      </c>
      <c r="C2596" s="512" t="s">
        <v>7762</v>
      </c>
      <c r="D2596" s="512" t="s">
        <v>9693</v>
      </c>
      <c r="E2596" s="512" t="s">
        <v>9694</v>
      </c>
      <c r="F2596" s="512" t="s">
        <v>9695</v>
      </c>
      <c r="G2596" s="512" t="s">
        <v>9708</v>
      </c>
      <c r="H2596" s="512" t="s">
        <v>9707</v>
      </c>
      <c r="I2596" s="512" t="s">
        <v>9709</v>
      </c>
      <c r="L2596" s="505" t="s">
        <v>1233</v>
      </c>
      <c r="M2596" s="516">
        <v>18.78</v>
      </c>
      <c r="N2596" s="505" t="s">
        <v>1233</v>
      </c>
    </row>
    <row r="2597" spans="1:14" x14ac:dyDescent="0.25">
      <c r="A2597" s="505" t="s">
        <v>6458</v>
      </c>
      <c r="B2597" s="505" t="s">
        <v>6459</v>
      </c>
      <c r="C2597" s="512" t="s">
        <v>7762</v>
      </c>
      <c r="D2597" s="512" t="s">
        <v>9693</v>
      </c>
      <c r="E2597" s="512" t="s">
        <v>9694</v>
      </c>
      <c r="F2597" s="512" t="s">
        <v>9695</v>
      </c>
      <c r="G2597" s="512" t="s">
        <v>9708</v>
      </c>
      <c r="H2597" s="512" t="s">
        <v>7721</v>
      </c>
      <c r="I2597" s="512" t="s">
        <v>9709</v>
      </c>
      <c r="L2597" s="505" t="s">
        <v>1233</v>
      </c>
      <c r="M2597" s="516">
        <v>18.78</v>
      </c>
      <c r="N2597" s="505" t="s">
        <v>1233</v>
      </c>
    </row>
    <row r="2598" spans="1:14" x14ac:dyDescent="0.25">
      <c r="A2598" s="505" t="s">
        <v>6460</v>
      </c>
      <c r="B2598" s="505" t="s">
        <v>6461</v>
      </c>
      <c r="C2598" s="512" t="s">
        <v>7762</v>
      </c>
      <c r="D2598" s="512" t="s">
        <v>9693</v>
      </c>
      <c r="E2598" s="512" t="s">
        <v>9694</v>
      </c>
      <c r="F2598" s="512" t="s">
        <v>9695</v>
      </c>
      <c r="G2598" s="512" t="s">
        <v>9708</v>
      </c>
      <c r="H2598" s="512" t="s">
        <v>7804</v>
      </c>
      <c r="I2598" s="512" t="s">
        <v>9709</v>
      </c>
      <c r="L2598" s="505" t="s">
        <v>1233</v>
      </c>
      <c r="M2598" s="516">
        <v>18.78</v>
      </c>
      <c r="N2598" s="505" t="s">
        <v>1233</v>
      </c>
    </row>
    <row r="2599" spans="1:14" x14ac:dyDescent="0.25">
      <c r="A2599" s="505" t="s">
        <v>6462</v>
      </c>
      <c r="B2599" s="505" t="s">
        <v>6463</v>
      </c>
      <c r="C2599" s="512" t="s">
        <v>7762</v>
      </c>
      <c r="D2599" s="512" t="s">
        <v>9693</v>
      </c>
      <c r="E2599" s="512" t="s">
        <v>9710</v>
      </c>
      <c r="F2599" s="512" t="s">
        <v>9711</v>
      </c>
      <c r="G2599" s="512" t="s">
        <v>122</v>
      </c>
      <c r="H2599" s="512" t="s">
        <v>9696</v>
      </c>
      <c r="I2599" s="512" t="s">
        <v>7437</v>
      </c>
      <c r="J2599" s="505" t="s">
        <v>9712</v>
      </c>
      <c r="L2599" s="505" t="s">
        <v>1233</v>
      </c>
      <c r="M2599" s="516">
        <v>20.32</v>
      </c>
      <c r="N2599" s="505" t="s">
        <v>1233</v>
      </c>
    </row>
    <row r="2600" spans="1:14" x14ac:dyDescent="0.25">
      <c r="A2600" s="505" t="s">
        <v>6464</v>
      </c>
      <c r="B2600" s="505" t="s">
        <v>6465</v>
      </c>
      <c r="C2600" s="512" t="s">
        <v>7762</v>
      </c>
      <c r="D2600" s="512" t="s">
        <v>9693</v>
      </c>
      <c r="E2600" s="512" t="s">
        <v>9710</v>
      </c>
      <c r="F2600" s="512" t="s">
        <v>9711</v>
      </c>
      <c r="G2600" s="512" t="s">
        <v>122</v>
      </c>
      <c r="H2600" s="512" t="s">
        <v>9696</v>
      </c>
      <c r="I2600" s="512" t="s">
        <v>7721</v>
      </c>
      <c r="J2600" s="505" t="s">
        <v>9712</v>
      </c>
      <c r="L2600" s="505" t="s">
        <v>1233</v>
      </c>
      <c r="M2600" s="516">
        <v>20.32</v>
      </c>
      <c r="N2600" s="505" t="s">
        <v>1233</v>
      </c>
    </row>
    <row r="2601" spans="1:14" x14ac:dyDescent="0.25">
      <c r="A2601" s="505" t="s">
        <v>6466</v>
      </c>
      <c r="B2601" s="505" t="s">
        <v>6467</v>
      </c>
      <c r="C2601" s="512" t="s">
        <v>7762</v>
      </c>
      <c r="D2601" s="512" t="s">
        <v>9693</v>
      </c>
      <c r="E2601" s="512" t="s">
        <v>9710</v>
      </c>
      <c r="F2601" s="512" t="s">
        <v>9711</v>
      </c>
      <c r="G2601" s="512" t="s">
        <v>122</v>
      </c>
      <c r="H2601" s="512" t="s">
        <v>9708</v>
      </c>
      <c r="I2601" s="512" t="s">
        <v>7437</v>
      </c>
      <c r="J2601" s="505" t="s">
        <v>9713</v>
      </c>
      <c r="L2601" s="505" t="s">
        <v>1233</v>
      </c>
      <c r="M2601" s="516">
        <v>20.32</v>
      </c>
      <c r="N2601" s="505" t="s">
        <v>1233</v>
      </c>
    </row>
    <row r="2602" spans="1:14" x14ac:dyDescent="0.25">
      <c r="A2602" s="505" t="s">
        <v>6468</v>
      </c>
      <c r="B2602" s="505" t="s">
        <v>6469</v>
      </c>
      <c r="C2602" s="512" t="s">
        <v>7762</v>
      </c>
      <c r="D2602" s="512" t="s">
        <v>9693</v>
      </c>
      <c r="E2602" s="512" t="s">
        <v>9710</v>
      </c>
      <c r="F2602" s="512" t="s">
        <v>9711</v>
      </c>
      <c r="G2602" s="512" t="s">
        <v>122</v>
      </c>
      <c r="H2602" s="512" t="s">
        <v>9708</v>
      </c>
      <c r="I2602" s="512" t="s">
        <v>7721</v>
      </c>
      <c r="J2602" s="505" t="s">
        <v>9713</v>
      </c>
      <c r="L2602" s="505" t="s">
        <v>1233</v>
      </c>
      <c r="M2602" s="516">
        <v>20.32</v>
      </c>
      <c r="N2602" s="505" t="s">
        <v>1233</v>
      </c>
    </row>
    <row r="2603" spans="1:14" x14ac:dyDescent="0.25">
      <c r="A2603" s="505" t="s">
        <v>6470</v>
      </c>
      <c r="B2603" s="505" t="s">
        <v>6471</v>
      </c>
      <c r="C2603" s="512" t="s">
        <v>7762</v>
      </c>
      <c r="D2603" s="512" t="s">
        <v>8326</v>
      </c>
      <c r="E2603" s="512" t="s">
        <v>8331</v>
      </c>
      <c r="F2603" s="512" t="s">
        <v>9714</v>
      </c>
      <c r="G2603" s="512" t="s">
        <v>8483</v>
      </c>
      <c r="H2603" s="512" t="s">
        <v>9715</v>
      </c>
      <c r="I2603" s="512" t="s">
        <v>9716</v>
      </c>
      <c r="J2603" s="505">
        <v>1310</v>
      </c>
      <c r="L2603" s="505" t="s">
        <v>1233</v>
      </c>
      <c r="M2603" s="516">
        <v>42.26</v>
      </c>
      <c r="N2603" s="505" t="s">
        <v>1233</v>
      </c>
    </row>
    <row r="2604" spans="1:14" x14ac:dyDescent="0.25">
      <c r="A2604" s="505" t="s">
        <v>6472</v>
      </c>
      <c r="B2604" s="505" t="s">
        <v>6473</v>
      </c>
      <c r="C2604" s="512" t="s">
        <v>7762</v>
      </c>
      <c r="D2604" s="512" t="s">
        <v>8326</v>
      </c>
      <c r="E2604" s="512" t="s">
        <v>8331</v>
      </c>
      <c r="F2604" s="512" t="s">
        <v>9714</v>
      </c>
      <c r="G2604" s="512" t="s">
        <v>8483</v>
      </c>
      <c r="H2604" s="512" t="s">
        <v>9715</v>
      </c>
      <c r="I2604" s="512" t="s">
        <v>9717</v>
      </c>
      <c r="J2604" s="505">
        <v>1310</v>
      </c>
      <c r="L2604" s="505" t="s">
        <v>1233</v>
      </c>
      <c r="M2604" s="516">
        <v>42.26</v>
      </c>
      <c r="N2604" s="505" t="s">
        <v>1233</v>
      </c>
    </row>
    <row r="2605" spans="1:14" x14ac:dyDescent="0.25">
      <c r="A2605" s="505" t="s">
        <v>6474</v>
      </c>
      <c r="B2605" s="505" t="s">
        <v>6475</v>
      </c>
      <c r="C2605" s="512" t="s">
        <v>7762</v>
      </c>
      <c r="D2605" s="512" t="s">
        <v>8326</v>
      </c>
      <c r="E2605" s="512" t="s">
        <v>8331</v>
      </c>
      <c r="F2605" s="512" t="s">
        <v>9714</v>
      </c>
      <c r="G2605" s="512" t="s">
        <v>8483</v>
      </c>
      <c r="H2605" s="512" t="s">
        <v>9715</v>
      </c>
      <c r="I2605" s="512" t="s">
        <v>9718</v>
      </c>
      <c r="J2605" s="505">
        <v>1310</v>
      </c>
      <c r="L2605" s="505" t="s">
        <v>2466</v>
      </c>
      <c r="M2605" s="516">
        <v>42.26</v>
      </c>
      <c r="N2605" s="505" t="s">
        <v>2466</v>
      </c>
    </row>
    <row r="2606" spans="1:14" x14ac:dyDescent="0.25">
      <c r="A2606" s="505" t="s">
        <v>6476</v>
      </c>
      <c r="B2606" s="505" t="s">
        <v>6477</v>
      </c>
      <c r="C2606" s="512" t="s">
        <v>7762</v>
      </c>
      <c r="D2606" s="512" t="s">
        <v>8326</v>
      </c>
      <c r="E2606" s="512" t="s">
        <v>8331</v>
      </c>
      <c r="F2606" s="512" t="s">
        <v>9714</v>
      </c>
      <c r="G2606" s="512" t="s">
        <v>8483</v>
      </c>
      <c r="H2606" s="512" t="s">
        <v>9715</v>
      </c>
      <c r="I2606" s="512" t="s">
        <v>9719</v>
      </c>
      <c r="J2606" s="505">
        <v>1310</v>
      </c>
      <c r="L2606" s="505" t="s">
        <v>2466</v>
      </c>
      <c r="M2606" s="516">
        <v>45.35</v>
      </c>
      <c r="N2606" s="505" t="s">
        <v>2466</v>
      </c>
    </row>
    <row r="2607" spans="1:14" x14ac:dyDescent="0.25">
      <c r="A2607" s="505" t="s">
        <v>6478</v>
      </c>
      <c r="B2607" s="505" t="s">
        <v>6479</v>
      </c>
      <c r="C2607" s="512" t="s">
        <v>7762</v>
      </c>
      <c r="D2607" s="512" t="s">
        <v>8326</v>
      </c>
      <c r="E2607" s="512" t="s">
        <v>8331</v>
      </c>
      <c r="F2607" s="512" t="s">
        <v>9714</v>
      </c>
      <c r="G2607" s="512" t="s">
        <v>8483</v>
      </c>
      <c r="H2607" s="512" t="s">
        <v>9715</v>
      </c>
      <c r="I2607" s="512" t="s">
        <v>9720</v>
      </c>
      <c r="J2607" s="505">
        <v>1310</v>
      </c>
      <c r="L2607" s="505" t="s">
        <v>2466</v>
      </c>
      <c r="M2607" s="516">
        <v>46.47</v>
      </c>
      <c r="N2607" s="505" t="s">
        <v>2466</v>
      </c>
    </row>
    <row r="2608" spans="1:14" x14ac:dyDescent="0.25">
      <c r="A2608" s="505" t="s">
        <v>6480</v>
      </c>
      <c r="B2608" s="505" t="s">
        <v>6481</v>
      </c>
      <c r="C2608" s="512" t="s">
        <v>7762</v>
      </c>
      <c r="D2608" s="512" t="s">
        <v>8326</v>
      </c>
      <c r="E2608" s="512" t="s">
        <v>8331</v>
      </c>
      <c r="F2608" s="512" t="s">
        <v>9714</v>
      </c>
      <c r="G2608" s="512" t="s">
        <v>8483</v>
      </c>
      <c r="H2608" s="512" t="s">
        <v>9715</v>
      </c>
      <c r="I2608" s="512" t="s">
        <v>7423</v>
      </c>
      <c r="J2608" s="505">
        <v>1310</v>
      </c>
      <c r="L2608" s="505" t="s">
        <v>1233</v>
      </c>
      <c r="M2608" s="516">
        <v>46.47</v>
      </c>
      <c r="N2608" s="505" t="s">
        <v>1233</v>
      </c>
    </row>
    <row r="2609" spans="1:14" x14ac:dyDescent="0.25">
      <c r="A2609" s="505" t="s">
        <v>6482</v>
      </c>
      <c r="B2609" s="505" t="s">
        <v>6483</v>
      </c>
      <c r="C2609" s="512" t="s">
        <v>7762</v>
      </c>
      <c r="D2609" s="512" t="s">
        <v>8326</v>
      </c>
      <c r="E2609" s="512" t="s">
        <v>8331</v>
      </c>
      <c r="F2609" s="512" t="s">
        <v>8035</v>
      </c>
      <c r="G2609" s="512" t="s">
        <v>8256</v>
      </c>
      <c r="H2609" s="512" t="s">
        <v>9721</v>
      </c>
      <c r="I2609" s="512">
        <v>13061</v>
      </c>
      <c r="L2609" s="505" t="s">
        <v>2466</v>
      </c>
      <c r="M2609" s="516">
        <v>46.47</v>
      </c>
      <c r="N2609" s="505" t="s">
        <v>2466</v>
      </c>
    </row>
    <row r="2610" spans="1:14" x14ac:dyDescent="0.25">
      <c r="A2610" s="505" t="s">
        <v>6484</v>
      </c>
      <c r="B2610" s="505" t="s">
        <v>6485</v>
      </c>
      <c r="C2610" s="512" t="s">
        <v>7762</v>
      </c>
      <c r="D2610" s="512" t="s">
        <v>8326</v>
      </c>
      <c r="E2610" s="512" t="s">
        <v>8331</v>
      </c>
      <c r="F2610" s="512" t="s">
        <v>9714</v>
      </c>
      <c r="G2610" s="512" t="s">
        <v>8483</v>
      </c>
      <c r="H2610" s="512" t="s">
        <v>9625</v>
      </c>
      <c r="I2610" s="512" t="s">
        <v>9716</v>
      </c>
      <c r="J2610" s="505">
        <v>1313</v>
      </c>
      <c r="L2610" s="505" t="s">
        <v>2466</v>
      </c>
      <c r="M2610" s="516">
        <v>42.26</v>
      </c>
      <c r="N2610" s="505" t="s">
        <v>2466</v>
      </c>
    </row>
    <row r="2611" spans="1:14" x14ac:dyDescent="0.25">
      <c r="A2611" s="505" t="s">
        <v>6486</v>
      </c>
      <c r="B2611" s="505" t="s">
        <v>6487</v>
      </c>
      <c r="C2611" s="512" t="s">
        <v>7762</v>
      </c>
      <c r="D2611" s="512" t="s">
        <v>8326</v>
      </c>
      <c r="E2611" s="512" t="s">
        <v>8331</v>
      </c>
      <c r="F2611" s="512" t="s">
        <v>9714</v>
      </c>
      <c r="G2611" s="512" t="s">
        <v>8483</v>
      </c>
      <c r="H2611" s="512" t="s">
        <v>9625</v>
      </c>
      <c r="I2611" s="512" t="s">
        <v>9722</v>
      </c>
      <c r="J2611" s="505">
        <v>1313</v>
      </c>
      <c r="L2611" s="505" t="s">
        <v>2466</v>
      </c>
      <c r="M2611" s="516">
        <v>46.47</v>
      </c>
      <c r="N2611" s="505" t="s">
        <v>2466</v>
      </c>
    </row>
    <row r="2612" spans="1:14" x14ac:dyDescent="0.25">
      <c r="A2612" s="505" t="s">
        <v>6488</v>
      </c>
      <c r="B2612" s="505" t="s">
        <v>6489</v>
      </c>
      <c r="C2612" s="512" t="s">
        <v>7762</v>
      </c>
      <c r="D2612" s="512" t="s">
        <v>8326</v>
      </c>
      <c r="E2612" s="512" t="s">
        <v>8331</v>
      </c>
      <c r="F2612" s="512" t="s">
        <v>9714</v>
      </c>
      <c r="G2612" s="512" t="s">
        <v>8483</v>
      </c>
      <c r="H2612" s="512" t="s">
        <v>9625</v>
      </c>
      <c r="I2612" s="512" t="s">
        <v>9718</v>
      </c>
      <c r="J2612" s="505">
        <v>1313</v>
      </c>
      <c r="L2612" s="505" t="s">
        <v>2466</v>
      </c>
      <c r="M2612" s="516">
        <v>42.26</v>
      </c>
      <c r="N2612" s="505" t="s">
        <v>2466</v>
      </c>
    </row>
    <row r="2613" spans="1:14" x14ac:dyDescent="0.25">
      <c r="A2613" s="505" t="s">
        <v>6490</v>
      </c>
      <c r="B2613" s="505" t="s">
        <v>6491</v>
      </c>
      <c r="C2613" s="512" t="s">
        <v>7762</v>
      </c>
      <c r="D2613" s="512" t="s">
        <v>8326</v>
      </c>
      <c r="E2613" s="512" t="s">
        <v>8331</v>
      </c>
      <c r="F2613" s="512" t="s">
        <v>9714</v>
      </c>
      <c r="G2613" s="512" t="s">
        <v>8483</v>
      </c>
      <c r="H2613" s="512" t="s">
        <v>9625</v>
      </c>
      <c r="I2613" s="512" t="s">
        <v>9723</v>
      </c>
      <c r="J2613" s="505">
        <v>1313</v>
      </c>
      <c r="L2613" s="505" t="s">
        <v>2466</v>
      </c>
      <c r="M2613" s="516">
        <v>46.47</v>
      </c>
      <c r="N2613" s="505" t="s">
        <v>2466</v>
      </c>
    </row>
    <row r="2614" spans="1:14" x14ac:dyDescent="0.25">
      <c r="A2614" s="505" t="s">
        <v>6492</v>
      </c>
      <c r="B2614" s="505" t="s">
        <v>6493</v>
      </c>
      <c r="C2614" s="512" t="s">
        <v>7762</v>
      </c>
      <c r="D2614" s="512" t="s">
        <v>8326</v>
      </c>
      <c r="E2614" s="512" t="s">
        <v>8331</v>
      </c>
      <c r="F2614" s="512" t="s">
        <v>9714</v>
      </c>
      <c r="G2614" s="512" t="s">
        <v>8483</v>
      </c>
      <c r="H2614" s="512" t="s">
        <v>9625</v>
      </c>
      <c r="I2614" s="512" t="s">
        <v>9720</v>
      </c>
      <c r="J2614" s="505">
        <v>1313</v>
      </c>
      <c r="L2614" s="505" t="s">
        <v>2466</v>
      </c>
      <c r="M2614" s="516">
        <v>46.47</v>
      </c>
      <c r="N2614" s="505" t="s">
        <v>2466</v>
      </c>
    </row>
    <row r="2615" spans="1:14" x14ac:dyDescent="0.25">
      <c r="A2615" s="505" t="s">
        <v>6494</v>
      </c>
      <c r="B2615" s="505" t="s">
        <v>6495</v>
      </c>
      <c r="C2615" s="512" t="s">
        <v>7762</v>
      </c>
      <c r="D2615" s="512" t="s">
        <v>8326</v>
      </c>
      <c r="E2615" s="512" t="s">
        <v>8331</v>
      </c>
      <c r="F2615" s="512" t="s">
        <v>9714</v>
      </c>
      <c r="G2615" s="512" t="s">
        <v>8483</v>
      </c>
      <c r="H2615" s="512" t="s">
        <v>9625</v>
      </c>
      <c r="I2615" s="512" t="s">
        <v>7423</v>
      </c>
      <c r="J2615" s="505">
        <v>1313</v>
      </c>
      <c r="L2615" s="505" t="s">
        <v>1233</v>
      </c>
      <c r="M2615" s="516">
        <v>46.47</v>
      </c>
      <c r="N2615" s="505" t="s">
        <v>1233</v>
      </c>
    </row>
    <row r="2616" spans="1:14" s="518" customFormat="1" x14ac:dyDescent="0.25">
      <c r="A2616" s="518" t="s">
        <v>6496</v>
      </c>
      <c r="B2616" s="518" t="s">
        <v>6497</v>
      </c>
      <c r="C2616" s="519" t="s">
        <v>7796</v>
      </c>
      <c r="D2616" s="519" t="s">
        <v>9693</v>
      </c>
      <c r="E2616" s="519" t="s">
        <v>9695</v>
      </c>
      <c r="F2616" s="519" t="s">
        <v>7618</v>
      </c>
      <c r="G2616" s="519">
        <v>1.2500000000000001E-2</v>
      </c>
      <c r="H2616" s="519" t="s">
        <v>7437</v>
      </c>
      <c r="I2616" s="519"/>
      <c r="L2616" s="518" t="s">
        <v>1233</v>
      </c>
      <c r="M2616" s="520">
        <v>18.78</v>
      </c>
      <c r="N2616" s="518" t="s">
        <v>1233</v>
      </c>
    </row>
    <row r="2617" spans="1:14" s="518" customFormat="1" x14ac:dyDescent="0.25">
      <c r="A2617" s="518" t="s">
        <v>6498</v>
      </c>
      <c r="B2617" s="518" t="s">
        <v>6499</v>
      </c>
      <c r="C2617" s="519" t="s">
        <v>7796</v>
      </c>
      <c r="D2617" s="519" t="s">
        <v>9693</v>
      </c>
      <c r="E2617" s="519" t="s">
        <v>9695</v>
      </c>
      <c r="F2617" s="519" t="s">
        <v>7618</v>
      </c>
      <c r="G2617" s="519">
        <v>1.2500000000000001E-2</v>
      </c>
      <c r="H2617" s="519" t="s">
        <v>9724</v>
      </c>
      <c r="I2617" s="519"/>
      <c r="L2617" s="518" t="s">
        <v>1233</v>
      </c>
      <c r="M2617" s="520">
        <v>18.78</v>
      </c>
      <c r="N2617" s="518" t="s">
        <v>1233</v>
      </c>
    </row>
    <row r="2618" spans="1:14" s="518" customFormat="1" x14ac:dyDescent="0.25">
      <c r="A2618" s="518" t="s">
        <v>6500</v>
      </c>
      <c r="B2618" s="518" t="s">
        <v>6501</v>
      </c>
      <c r="C2618" s="519" t="s">
        <v>7796</v>
      </c>
      <c r="D2618" s="519" t="s">
        <v>9693</v>
      </c>
      <c r="E2618" s="519" t="s">
        <v>9695</v>
      </c>
      <c r="F2618" s="519" t="s">
        <v>7618</v>
      </c>
      <c r="G2618" s="519">
        <v>1.2500000000000001E-2</v>
      </c>
      <c r="H2618" s="519" t="s">
        <v>7802</v>
      </c>
      <c r="I2618" s="519"/>
      <c r="L2618" s="518" t="s">
        <v>1233</v>
      </c>
      <c r="M2618" s="520">
        <v>18.78</v>
      </c>
      <c r="N2618" s="518" t="s">
        <v>1233</v>
      </c>
    </row>
    <row r="2619" spans="1:14" s="518" customFormat="1" x14ac:dyDescent="0.25">
      <c r="A2619" s="518" t="s">
        <v>6502</v>
      </c>
      <c r="B2619" s="518" t="s">
        <v>6503</v>
      </c>
      <c r="C2619" s="519" t="s">
        <v>7796</v>
      </c>
      <c r="D2619" s="519" t="s">
        <v>9693</v>
      </c>
      <c r="E2619" s="519" t="s">
        <v>9695</v>
      </c>
      <c r="F2619" s="519" t="s">
        <v>7618</v>
      </c>
      <c r="G2619" s="519">
        <v>1.2500000000000001E-2</v>
      </c>
      <c r="H2619" s="519" t="s">
        <v>7804</v>
      </c>
      <c r="I2619" s="519"/>
      <c r="L2619" s="518" t="s">
        <v>1233</v>
      </c>
      <c r="M2619" s="520">
        <v>18.78</v>
      </c>
      <c r="N2619" s="518" t="s">
        <v>1233</v>
      </c>
    </row>
    <row r="2620" spans="1:14" s="518" customFormat="1" x14ac:dyDescent="0.25">
      <c r="A2620" s="518" t="s">
        <v>6504</v>
      </c>
      <c r="B2620" s="518" t="s">
        <v>6505</v>
      </c>
      <c r="C2620" s="519" t="s">
        <v>7796</v>
      </c>
      <c r="D2620" s="519" t="s">
        <v>9693</v>
      </c>
      <c r="E2620" s="519" t="s">
        <v>9695</v>
      </c>
      <c r="F2620" s="519" t="s">
        <v>9708</v>
      </c>
      <c r="G2620" s="519">
        <v>1.2500000000000001E-2</v>
      </c>
      <c r="H2620" s="519" t="s">
        <v>7876</v>
      </c>
      <c r="I2620" s="519" t="s">
        <v>7799</v>
      </c>
      <c r="L2620" s="518" t="s">
        <v>1233</v>
      </c>
      <c r="M2620" s="520">
        <v>18.78</v>
      </c>
      <c r="N2620" s="518" t="s">
        <v>1233</v>
      </c>
    </row>
    <row r="2621" spans="1:14" s="518" customFormat="1" x14ac:dyDescent="0.25">
      <c r="A2621" s="518" t="s">
        <v>6506</v>
      </c>
      <c r="B2621" s="518" t="s">
        <v>6507</v>
      </c>
      <c r="C2621" s="519" t="s">
        <v>7796</v>
      </c>
      <c r="D2621" s="519" t="s">
        <v>9693</v>
      </c>
      <c r="E2621" s="519" t="s">
        <v>9695</v>
      </c>
      <c r="F2621" s="519" t="s">
        <v>9708</v>
      </c>
      <c r="G2621" s="519">
        <v>1.2500000000000001E-2</v>
      </c>
      <c r="H2621" s="519" t="s">
        <v>7437</v>
      </c>
      <c r="I2621" s="519"/>
      <c r="L2621" s="518" t="s">
        <v>1233</v>
      </c>
      <c r="M2621" s="520">
        <v>18.78</v>
      </c>
      <c r="N2621" s="518" t="s">
        <v>1233</v>
      </c>
    </row>
    <row r="2622" spans="1:14" s="518" customFormat="1" x14ac:dyDescent="0.25">
      <c r="A2622" s="518" t="s">
        <v>6508</v>
      </c>
      <c r="B2622" s="518" t="s">
        <v>6509</v>
      </c>
      <c r="C2622" s="519" t="s">
        <v>7796</v>
      </c>
      <c r="D2622" s="519" t="s">
        <v>9693</v>
      </c>
      <c r="E2622" s="519" t="s">
        <v>9695</v>
      </c>
      <c r="F2622" s="519" t="s">
        <v>9708</v>
      </c>
      <c r="G2622" s="519">
        <v>1.2500000000000001E-2</v>
      </c>
      <c r="H2622" s="519" t="s">
        <v>9725</v>
      </c>
      <c r="I2622" s="519"/>
      <c r="L2622" s="518" t="s">
        <v>1233</v>
      </c>
      <c r="M2622" s="520">
        <v>18.78</v>
      </c>
      <c r="N2622" s="518" t="s">
        <v>1233</v>
      </c>
    </row>
    <row r="2623" spans="1:14" s="518" customFormat="1" x14ac:dyDescent="0.25">
      <c r="A2623" s="518" t="s">
        <v>6510</v>
      </c>
      <c r="B2623" s="518" t="s">
        <v>6511</v>
      </c>
      <c r="C2623" s="519" t="s">
        <v>7796</v>
      </c>
      <c r="D2623" s="519" t="s">
        <v>9693</v>
      </c>
      <c r="E2623" s="519" t="s">
        <v>9695</v>
      </c>
      <c r="F2623" s="519" t="s">
        <v>9708</v>
      </c>
      <c r="G2623" s="519">
        <v>1.2500000000000001E-2</v>
      </c>
      <c r="H2623" s="519" t="s">
        <v>7802</v>
      </c>
      <c r="I2623" s="519"/>
      <c r="L2623" s="518" t="s">
        <v>1233</v>
      </c>
      <c r="M2623" s="520">
        <v>18.78</v>
      </c>
      <c r="N2623" s="518" t="s">
        <v>1233</v>
      </c>
    </row>
    <row r="2624" spans="1:14" s="518" customFormat="1" x14ac:dyDescent="0.25">
      <c r="A2624" s="518" t="s">
        <v>6512</v>
      </c>
      <c r="B2624" s="518" t="s">
        <v>6513</v>
      </c>
      <c r="C2624" s="519" t="s">
        <v>7796</v>
      </c>
      <c r="D2624" s="519" t="s">
        <v>9693</v>
      </c>
      <c r="E2624" s="519" t="s">
        <v>9695</v>
      </c>
      <c r="F2624" s="519" t="s">
        <v>9708</v>
      </c>
      <c r="G2624" s="519">
        <v>1.2500000000000001E-2</v>
      </c>
      <c r="H2624" s="519" t="s">
        <v>7804</v>
      </c>
      <c r="I2624" s="519"/>
      <c r="L2624" s="518" t="s">
        <v>1233</v>
      </c>
      <c r="M2624" s="520">
        <v>18.78</v>
      </c>
      <c r="N2624" s="518" t="s">
        <v>1233</v>
      </c>
    </row>
    <row r="2625" spans="1:14" x14ac:dyDescent="0.25">
      <c r="A2625" s="505" t="s">
        <v>6514</v>
      </c>
      <c r="B2625" s="505" t="s">
        <v>6515</v>
      </c>
      <c r="C2625" s="512" t="s">
        <v>8534</v>
      </c>
      <c r="D2625" s="512" t="s">
        <v>9476</v>
      </c>
      <c r="E2625" s="512" t="s">
        <v>8483</v>
      </c>
      <c r="F2625" s="512" t="s">
        <v>1098</v>
      </c>
      <c r="G2625" s="512" t="s">
        <v>8551</v>
      </c>
      <c r="H2625" s="512" t="s">
        <v>9248</v>
      </c>
      <c r="L2625" s="505" t="s">
        <v>1233</v>
      </c>
      <c r="M2625" s="516">
        <v>48.55</v>
      </c>
      <c r="N2625" s="505" t="s">
        <v>1233</v>
      </c>
    </row>
    <row r="2626" spans="1:14" x14ac:dyDescent="0.25">
      <c r="A2626" s="505" t="s">
        <v>6516</v>
      </c>
      <c r="B2626" s="505" t="s">
        <v>6517</v>
      </c>
      <c r="C2626" s="512" t="s">
        <v>7762</v>
      </c>
      <c r="D2626" s="512" t="s">
        <v>7554</v>
      </c>
      <c r="E2626" s="512" t="s">
        <v>8989</v>
      </c>
      <c r="F2626" s="512" t="s">
        <v>7840</v>
      </c>
      <c r="G2626" s="512" t="s">
        <v>8035</v>
      </c>
      <c r="H2626" s="512" t="s">
        <v>7877</v>
      </c>
      <c r="L2626" s="505" t="s">
        <v>1233</v>
      </c>
      <c r="M2626" s="516">
        <v>14.42</v>
      </c>
      <c r="N2626" s="505" t="s">
        <v>1233</v>
      </c>
    </row>
    <row r="2627" spans="1:14" x14ac:dyDescent="0.25">
      <c r="A2627" s="505" t="s">
        <v>6518</v>
      </c>
      <c r="B2627" s="505" t="s">
        <v>6519</v>
      </c>
      <c r="C2627" s="512" t="s">
        <v>7762</v>
      </c>
      <c r="D2627" s="512" t="s">
        <v>7554</v>
      </c>
      <c r="E2627" s="512" t="s">
        <v>8989</v>
      </c>
      <c r="F2627" s="512" t="s">
        <v>7840</v>
      </c>
      <c r="G2627" s="512" t="s">
        <v>8035</v>
      </c>
      <c r="H2627" s="512" t="s">
        <v>7554</v>
      </c>
      <c r="I2627" s="512" t="s">
        <v>7970</v>
      </c>
      <c r="L2627" s="505" t="s">
        <v>1233</v>
      </c>
      <c r="M2627" s="516">
        <v>14.42</v>
      </c>
      <c r="N2627" s="505" t="s">
        <v>1233</v>
      </c>
    </row>
    <row r="2628" spans="1:14" x14ac:dyDescent="0.25">
      <c r="A2628" s="505" t="s">
        <v>6520</v>
      </c>
      <c r="B2628" s="505" t="s">
        <v>6521</v>
      </c>
      <c r="C2628" s="512" t="s">
        <v>7762</v>
      </c>
      <c r="D2628" s="512" t="s">
        <v>7554</v>
      </c>
      <c r="E2628" s="512" t="s">
        <v>8989</v>
      </c>
      <c r="F2628" s="512" t="s">
        <v>7840</v>
      </c>
      <c r="G2628" s="512" t="s">
        <v>8035</v>
      </c>
      <c r="H2628" s="512" t="s">
        <v>8325</v>
      </c>
      <c r="L2628" s="505" t="s">
        <v>1233</v>
      </c>
      <c r="M2628" s="516">
        <v>14.42</v>
      </c>
      <c r="N2628" s="505" t="s">
        <v>1233</v>
      </c>
    </row>
    <row r="2629" spans="1:14" x14ac:dyDescent="0.25">
      <c r="A2629" s="505" t="s">
        <v>6522</v>
      </c>
      <c r="B2629" s="505" t="s">
        <v>6523</v>
      </c>
      <c r="C2629" s="512" t="s">
        <v>7762</v>
      </c>
      <c r="D2629" s="512" t="s">
        <v>7554</v>
      </c>
      <c r="E2629" s="512" t="s">
        <v>8989</v>
      </c>
      <c r="F2629" s="512" t="s">
        <v>7840</v>
      </c>
      <c r="G2629" s="512" t="s">
        <v>8035</v>
      </c>
      <c r="H2629" s="512" t="s">
        <v>9726</v>
      </c>
      <c r="L2629" s="505" t="s">
        <v>1233</v>
      </c>
      <c r="M2629" s="516">
        <v>14.42</v>
      </c>
      <c r="N2629" s="505" t="s">
        <v>1233</v>
      </c>
    </row>
    <row r="2630" spans="1:14" s="518" customFormat="1" x14ac:dyDescent="0.25">
      <c r="A2630" s="518" t="s">
        <v>6524</v>
      </c>
      <c r="B2630" s="518" t="s">
        <v>6525</v>
      </c>
      <c r="C2630" s="519" t="s">
        <v>7762</v>
      </c>
      <c r="D2630" s="519" t="s">
        <v>9727</v>
      </c>
      <c r="E2630" s="519" t="s">
        <v>1193</v>
      </c>
      <c r="F2630" s="519" t="s">
        <v>7602</v>
      </c>
      <c r="G2630" s="519" t="s">
        <v>9728</v>
      </c>
      <c r="H2630" s="519" t="s">
        <v>9729</v>
      </c>
      <c r="I2630" s="519"/>
      <c r="L2630" s="518" t="s">
        <v>1233</v>
      </c>
      <c r="M2630" s="520">
        <v>15.02</v>
      </c>
      <c r="N2630" s="518" t="s">
        <v>1233</v>
      </c>
    </row>
    <row r="2631" spans="1:14" s="518" customFormat="1" x14ac:dyDescent="0.25">
      <c r="A2631" s="518" t="s">
        <v>6526</v>
      </c>
      <c r="B2631" s="518" t="s">
        <v>6527</v>
      </c>
      <c r="C2631" s="519" t="s">
        <v>7762</v>
      </c>
      <c r="D2631" s="519" t="s">
        <v>9727</v>
      </c>
      <c r="E2631" s="519" t="s">
        <v>1193</v>
      </c>
      <c r="F2631" s="519" t="s">
        <v>7602</v>
      </c>
      <c r="G2631" s="519" t="s">
        <v>148</v>
      </c>
      <c r="H2631" s="519" t="s">
        <v>9729</v>
      </c>
      <c r="I2631" s="519"/>
      <c r="L2631" s="518" t="s">
        <v>1233</v>
      </c>
      <c r="M2631" s="520">
        <v>15.02</v>
      </c>
      <c r="N2631" s="518" t="s">
        <v>1233</v>
      </c>
    </row>
    <row r="2632" spans="1:14" s="518" customFormat="1" x14ac:dyDescent="0.25">
      <c r="A2632" s="518" t="s">
        <v>6528</v>
      </c>
      <c r="B2632" s="518" t="s">
        <v>6529</v>
      </c>
      <c r="C2632" s="519" t="s">
        <v>7762</v>
      </c>
      <c r="D2632" s="519" t="s">
        <v>9727</v>
      </c>
      <c r="E2632" s="519" t="s">
        <v>1193</v>
      </c>
      <c r="F2632" s="519" t="s">
        <v>7602</v>
      </c>
      <c r="G2632" s="519" t="s">
        <v>144</v>
      </c>
      <c r="H2632" s="519" t="s">
        <v>9729</v>
      </c>
      <c r="I2632" s="519"/>
      <c r="L2632" s="518" t="s">
        <v>1233</v>
      </c>
      <c r="M2632" s="520">
        <v>15.02</v>
      </c>
      <c r="N2632" s="518" t="s">
        <v>1233</v>
      </c>
    </row>
    <row r="2633" spans="1:14" s="518" customFormat="1" x14ac:dyDescent="0.25">
      <c r="A2633" s="518" t="s">
        <v>6530</v>
      </c>
      <c r="B2633" s="518" t="s">
        <v>6531</v>
      </c>
      <c r="C2633" s="519" t="s">
        <v>7762</v>
      </c>
      <c r="D2633" s="519" t="s">
        <v>9727</v>
      </c>
      <c r="E2633" s="519" t="s">
        <v>1193</v>
      </c>
      <c r="F2633" s="519" t="s">
        <v>7602</v>
      </c>
      <c r="G2633" s="519" t="s">
        <v>9730</v>
      </c>
      <c r="H2633" s="519" t="s">
        <v>9729</v>
      </c>
      <c r="I2633" s="519"/>
      <c r="L2633" s="518" t="s">
        <v>1233</v>
      </c>
      <c r="M2633" s="520">
        <v>15.02</v>
      </c>
      <c r="N2633" s="518" t="s">
        <v>1233</v>
      </c>
    </row>
    <row r="2634" spans="1:14" s="518" customFormat="1" x14ac:dyDescent="0.25">
      <c r="A2634" s="518" t="s">
        <v>6532</v>
      </c>
      <c r="B2634" s="518" t="s">
        <v>6533</v>
      </c>
      <c r="C2634" s="519" t="s">
        <v>7762</v>
      </c>
      <c r="D2634" s="519" t="s">
        <v>9727</v>
      </c>
      <c r="E2634" s="519" t="s">
        <v>1193</v>
      </c>
      <c r="F2634" s="519" t="s">
        <v>7602</v>
      </c>
      <c r="G2634" s="519" t="s">
        <v>477</v>
      </c>
      <c r="H2634" s="519" t="s">
        <v>9729</v>
      </c>
      <c r="I2634" s="519"/>
      <c r="L2634" s="518" t="s">
        <v>1233</v>
      </c>
      <c r="M2634" s="520">
        <v>15.02</v>
      </c>
      <c r="N2634" s="518" t="s">
        <v>1233</v>
      </c>
    </row>
    <row r="2635" spans="1:14" s="518" customFormat="1" x14ac:dyDescent="0.25">
      <c r="A2635" s="518" t="s">
        <v>6534</v>
      </c>
      <c r="B2635" s="518" t="s">
        <v>6535</v>
      </c>
      <c r="C2635" s="519" t="s">
        <v>7762</v>
      </c>
      <c r="D2635" s="519" t="s">
        <v>9727</v>
      </c>
      <c r="E2635" s="519" t="s">
        <v>1193</v>
      </c>
      <c r="F2635" s="519" t="s">
        <v>7602</v>
      </c>
      <c r="G2635" s="519" t="s">
        <v>9731</v>
      </c>
      <c r="H2635" s="519" t="s">
        <v>9729</v>
      </c>
      <c r="I2635" s="519"/>
      <c r="L2635" s="518" t="s">
        <v>1233</v>
      </c>
      <c r="M2635" s="520">
        <v>15.02</v>
      </c>
      <c r="N2635" s="518" t="s">
        <v>1233</v>
      </c>
    </row>
    <row r="2636" spans="1:14" s="518" customFormat="1" x14ac:dyDescent="0.25">
      <c r="A2636" s="518" t="s">
        <v>6536</v>
      </c>
      <c r="B2636" s="518" t="s">
        <v>6537</v>
      </c>
      <c r="C2636" s="519" t="s">
        <v>7762</v>
      </c>
      <c r="D2636" s="519" t="s">
        <v>9727</v>
      </c>
      <c r="E2636" s="519" t="s">
        <v>1193</v>
      </c>
      <c r="F2636" s="519" t="s">
        <v>7602</v>
      </c>
      <c r="G2636" s="519" t="s">
        <v>9732</v>
      </c>
      <c r="H2636" s="519" t="s">
        <v>9729</v>
      </c>
      <c r="I2636" s="519"/>
      <c r="L2636" s="518" t="s">
        <v>1233</v>
      </c>
      <c r="M2636" s="520">
        <v>15.02</v>
      </c>
      <c r="N2636" s="518" t="s">
        <v>1233</v>
      </c>
    </row>
    <row r="2637" spans="1:14" s="518" customFormat="1" x14ac:dyDescent="0.25">
      <c r="A2637" s="518" t="s">
        <v>6538</v>
      </c>
      <c r="B2637" s="518" t="s">
        <v>6539</v>
      </c>
      <c r="C2637" s="519" t="s">
        <v>7762</v>
      </c>
      <c r="D2637" s="519" t="s">
        <v>9727</v>
      </c>
      <c r="E2637" s="519" t="s">
        <v>1193</v>
      </c>
      <c r="F2637" s="519" t="s">
        <v>7602</v>
      </c>
      <c r="G2637" s="519" t="s">
        <v>9378</v>
      </c>
      <c r="H2637" s="519" t="s">
        <v>9729</v>
      </c>
      <c r="I2637" s="519"/>
      <c r="L2637" s="518" t="s">
        <v>1233</v>
      </c>
      <c r="M2637" s="520">
        <v>15.02</v>
      </c>
      <c r="N2637" s="518" t="s">
        <v>1233</v>
      </c>
    </row>
    <row r="2638" spans="1:14" s="518" customFormat="1" x14ac:dyDescent="0.25">
      <c r="A2638" s="518" t="s">
        <v>6540</v>
      </c>
      <c r="B2638" s="518" t="s">
        <v>6541</v>
      </c>
      <c r="C2638" s="519" t="s">
        <v>7762</v>
      </c>
      <c r="D2638" s="519" t="s">
        <v>9727</v>
      </c>
      <c r="E2638" s="519" t="s">
        <v>1193</v>
      </c>
      <c r="F2638" s="519" t="s">
        <v>7602</v>
      </c>
      <c r="G2638" s="519" t="s">
        <v>8479</v>
      </c>
      <c r="H2638" s="519" t="s">
        <v>9729</v>
      </c>
      <c r="I2638" s="519"/>
      <c r="L2638" s="518" t="s">
        <v>1233</v>
      </c>
      <c r="M2638" s="520">
        <v>15.02</v>
      </c>
      <c r="N2638" s="518" t="s">
        <v>1233</v>
      </c>
    </row>
    <row r="2639" spans="1:14" s="518" customFormat="1" x14ac:dyDescent="0.25">
      <c r="A2639" s="518" t="s">
        <v>6542</v>
      </c>
      <c r="B2639" s="518" t="s">
        <v>6543</v>
      </c>
      <c r="C2639" s="519" t="s">
        <v>7762</v>
      </c>
      <c r="D2639" s="519" t="s">
        <v>9727</v>
      </c>
      <c r="E2639" s="519" t="s">
        <v>1193</v>
      </c>
      <c r="F2639" s="519" t="s">
        <v>7602</v>
      </c>
      <c r="G2639" s="519" t="s">
        <v>363</v>
      </c>
      <c r="H2639" s="519" t="s">
        <v>9729</v>
      </c>
      <c r="I2639" s="519"/>
      <c r="L2639" s="518" t="s">
        <v>1233</v>
      </c>
      <c r="M2639" s="520">
        <v>15.02</v>
      </c>
      <c r="N2639" s="518" t="s">
        <v>1233</v>
      </c>
    </row>
    <row r="2640" spans="1:14" s="518" customFormat="1" x14ac:dyDescent="0.25">
      <c r="A2640" s="518" t="s">
        <v>6544</v>
      </c>
      <c r="B2640" s="518" t="s">
        <v>6545</v>
      </c>
      <c r="C2640" s="519" t="s">
        <v>7762</v>
      </c>
      <c r="D2640" s="519" t="s">
        <v>9727</v>
      </c>
      <c r="E2640" s="519" t="s">
        <v>1193</v>
      </c>
      <c r="F2640" s="519" t="s">
        <v>7602</v>
      </c>
      <c r="G2640" s="519" t="s">
        <v>9733</v>
      </c>
      <c r="H2640" s="519" t="s">
        <v>9729</v>
      </c>
      <c r="I2640" s="519"/>
      <c r="L2640" s="518" t="s">
        <v>1233</v>
      </c>
      <c r="M2640" s="520">
        <v>15.02</v>
      </c>
      <c r="N2640" s="518" t="s">
        <v>1233</v>
      </c>
    </row>
    <row r="2641" spans="1:14" s="518" customFormat="1" x14ac:dyDescent="0.25">
      <c r="A2641" s="518" t="s">
        <v>6546</v>
      </c>
      <c r="B2641" s="518" t="s">
        <v>6547</v>
      </c>
      <c r="C2641" s="519" t="s">
        <v>7762</v>
      </c>
      <c r="D2641" s="519" t="s">
        <v>9727</v>
      </c>
      <c r="E2641" s="519" t="s">
        <v>1193</v>
      </c>
      <c r="F2641" s="519" t="s">
        <v>7602</v>
      </c>
      <c r="G2641" s="519" t="s">
        <v>9734</v>
      </c>
      <c r="H2641" s="519" t="s">
        <v>9729</v>
      </c>
      <c r="I2641" s="519"/>
      <c r="L2641" s="518" t="s">
        <v>1233</v>
      </c>
      <c r="M2641" s="520">
        <v>15.02</v>
      </c>
      <c r="N2641" s="518" t="s">
        <v>1233</v>
      </c>
    </row>
    <row r="2642" spans="1:14" s="518" customFormat="1" x14ac:dyDescent="0.25">
      <c r="A2642" s="518" t="s">
        <v>6548</v>
      </c>
      <c r="B2642" s="518" t="s">
        <v>6549</v>
      </c>
      <c r="C2642" s="519" t="s">
        <v>7762</v>
      </c>
      <c r="D2642" s="519" t="s">
        <v>9727</v>
      </c>
      <c r="E2642" s="519" t="s">
        <v>1193</v>
      </c>
      <c r="F2642" s="519" t="s">
        <v>7602</v>
      </c>
      <c r="G2642" s="519" t="s">
        <v>133</v>
      </c>
      <c r="H2642" s="519" t="s">
        <v>9729</v>
      </c>
      <c r="I2642" s="519"/>
      <c r="L2642" s="518" t="s">
        <v>1233</v>
      </c>
      <c r="M2642" s="520">
        <v>15.02</v>
      </c>
      <c r="N2642" s="518" t="s">
        <v>1233</v>
      </c>
    </row>
    <row r="2643" spans="1:14" s="518" customFormat="1" x14ac:dyDescent="0.25">
      <c r="A2643" s="518" t="s">
        <v>6550</v>
      </c>
      <c r="B2643" s="518" t="s">
        <v>6551</v>
      </c>
      <c r="C2643" s="519" t="s">
        <v>7762</v>
      </c>
      <c r="D2643" s="519" t="s">
        <v>9727</v>
      </c>
      <c r="E2643" s="519" t="s">
        <v>1193</v>
      </c>
      <c r="F2643" s="519" t="s">
        <v>7602</v>
      </c>
      <c r="G2643" s="519" t="s">
        <v>9735</v>
      </c>
      <c r="H2643" s="519" t="s">
        <v>9729</v>
      </c>
      <c r="I2643" s="519"/>
      <c r="L2643" s="518" t="s">
        <v>1233</v>
      </c>
      <c r="M2643" s="520">
        <v>15.02</v>
      </c>
      <c r="N2643" s="518" t="s">
        <v>1233</v>
      </c>
    </row>
    <row r="2644" spans="1:14" s="518" customFormat="1" x14ac:dyDescent="0.25">
      <c r="A2644" s="518" t="s">
        <v>6552</v>
      </c>
      <c r="B2644" s="518" t="s">
        <v>6553</v>
      </c>
      <c r="C2644" s="519" t="s">
        <v>7762</v>
      </c>
      <c r="D2644" s="519" t="s">
        <v>9727</v>
      </c>
      <c r="E2644" s="519" t="s">
        <v>1193</v>
      </c>
      <c r="F2644" s="519" t="s">
        <v>7602</v>
      </c>
      <c r="G2644" s="519" t="s">
        <v>510</v>
      </c>
      <c r="H2644" s="519" t="s">
        <v>9729</v>
      </c>
      <c r="I2644" s="519"/>
      <c r="L2644" s="518" t="s">
        <v>1233</v>
      </c>
      <c r="M2644" s="520">
        <v>15.02</v>
      </c>
      <c r="N2644" s="518" t="s">
        <v>1233</v>
      </c>
    </row>
    <row r="2645" spans="1:14" s="518" customFormat="1" x14ac:dyDescent="0.25">
      <c r="A2645" s="518" t="s">
        <v>6554</v>
      </c>
      <c r="B2645" s="518" t="s">
        <v>6555</v>
      </c>
      <c r="C2645" s="519" t="s">
        <v>7762</v>
      </c>
      <c r="D2645" s="519" t="s">
        <v>9727</v>
      </c>
      <c r="E2645" s="519" t="s">
        <v>1193</v>
      </c>
      <c r="F2645" s="519" t="s">
        <v>7602</v>
      </c>
      <c r="G2645" s="519" t="s">
        <v>511</v>
      </c>
      <c r="H2645" s="519" t="s">
        <v>9729</v>
      </c>
      <c r="I2645" s="519"/>
      <c r="L2645" s="518" t="s">
        <v>1233</v>
      </c>
      <c r="M2645" s="520">
        <v>15.02</v>
      </c>
      <c r="N2645" s="518" t="s">
        <v>1233</v>
      </c>
    </row>
    <row r="2646" spans="1:14" s="518" customFormat="1" x14ac:dyDescent="0.25">
      <c r="A2646" s="518" t="s">
        <v>6556</v>
      </c>
      <c r="B2646" s="518" t="s">
        <v>6557</v>
      </c>
      <c r="C2646" s="519" t="s">
        <v>7762</v>
      </c>
      <c r="D2646" s="519" t="s">
        <v>9727</v>
      </c>
      <c r="E2646" s="519" t="s">
        <v>1193</v>
      </c>
      <c r="F2646" s="519" t="s">
        <v>7602</v>
      </c>
      <c r="G2646" s="519" t="s">
        <v>137</v>
      </c>
      <c r="H2646" s="519" t="s">
        <v>9729</v>
      </c>
      <c r="I2646" s="519"/>
      <c r="L2646" s="518" t="s">
        <v>1233</v>
      </c>
      <c r="M2646" s="520">
        <v>15.02</v>
      </c>
      <c r="N2646" s="518" t="s">
        <v>1233</v>
      </c>
    </row>
    <row r="2647" spans="1:14" s="518" customFormat="1" x14ac:dyDescent="0.25">
      <c r="A2647" s="518" t="s">
        <v>6558</v>
      </c>
      <c r="B2647" s="518" t="s">
        <v>6559</v>
      </c>
      <c r="C2647" s="519" t="s">
        <v>7762</v>
      </c>
      <c r="D2647" s="519" t="s">
        <v>8642</v>
      </c>
      <c r="E2647" s="519" t="s">
        <v>7840</v>
      </c>
      <c r="F2647" s="519" t="s">
        <v>9736</v>
      </c>
      <c r="G2647" s="519" t="s">
        <v>7889</v>
      </c>
      <c r="H2647" s="519"/>
      <c r="I2647" s="519"/>
      <c r="L2647" s="518" t="s">
        <v>1233</v>
      </c>
      <c r="M2647" s="520">
        <v>15.02</v>
      </c>
      <c r="N2647" s="518" t="s">
        <v>1233</v>
      </c>
    </row>
    <row r="2648" spans="1:14" s="518" customFormat="1" x14ac:dyDescent="0.25">
      <c r="A2648" s="518" t="s">
        <v>6560</v>
      </c>
      <c r="B2648" s="518" t="s">
        <v>6561</v>
      </c>
      <c r="C2648" s="519" t="s">
        <v>7762</v>
      </c>
      <c r="D2648" s="519" t="s">
        <v>8642</v>
      </c>
      <c r="E2648" s="519" t="s">
        <v>7840</v>
      </c>
      <c r="F2648" s="519" t="s">
        <v>8035</v>
      </c>
      <c r="G2648" s="519" t="s">
        <v>7876</v>
      </c>
      <c r="H2648" s="519" t="s">
        <v>7999</v>
      </c>
      <c r="I2648" s="519" t="s">
        <v>9737</v>
      </c>
      <c r="L2648" s="518" t="s">
        <v>1233</v>
      </c>
      <c r="M2648" s="520">
        <v>9.18</v>
      </c>
      <c r="N2648" s="518" t="s">
        <v>1233</v>
      </c>
    </row>
    <row r="2649" spans="1:14" s="518" customFormat="1" x14ac:dyDescent="0.25">
      <c r="A2649" s="518" t="s">
        <v>6562</v>
      </c>
      <c r="B2649" s="518" t="s">
        <v>6563</v>
      </c>
      <c r="C2649" s="519" t="s">
        <v>7762</v>
      </c>
      <c r="D2649" s="519" t="s">
        <v>8642</v>
      </c>
      <c r="E2649" s="519" t="s">
        <v>7840</v>
      </c>
      <c r="F2649" s="519" t="s">
        <v>8035</v>
      </c>
      <c r="G2649" s="519" t="s">
        <v>7437</v>
      </c>
      <c r="H2649" s="519" t="s">
        <v>9737</v>
      </c>
      <c r="I2649" s="519"/>
      <c r="L2649" s="518" t="s">
        <v>1233</v>
      </c>
      <c r="M2649" s="520">
        <v>9.18</v>
      </c>
      <c r="N2649" s="518" t="s">
        <v>1233</v>
      </c>
    </row>
    <row r="2650" spans="1:14" s="518" customFormat="1" x14ac:dyDescent="0.25">
      <c r="A2650" s="518" t="s">
        <v>6564</v>
      </c>
      <c r="B2650" s="518" t="s">
        <v>6565</v>
      </c>
      <c r="C2650" s="519" t="s">
        <v>7762</v>
      </c>
      <c r="D2650" s="519" t="s">
        <v>8642</v>
      </c>
      <c r="E2650" s="519" t="s">
        <v>7840</v>
      </c>
      <c r="F2650" s="519" t="s">
        <v>8035</v>
      </c>
      <c r="G2650" s="519" t="s">
        <v>7447</v>
      </c>
      <c r="H2650" s="519" t="s">
        <v>9737</v>
      </c>
      <c r="I2650" s="519"/>
      <c r="L2650" s="518" t="s">
        <v>1233</v>
      </c>
      <c r="M2650" s="520">
        <v>9.18</v>
      </c>
      <c r="N2650" s="518" t="s">
        <v>1233</v>
      </c>
    </row>
    <row r="2651" spans="1:14" s="518" customFormat="1" x14ac:dyDescent="0.25">
      <c r="A2651" s="518" t="s">
        <v>6566</v>
      </c>
      <c r="B2651" s="518" t="s">
        <v>6567</v>
      </c>
      <c r="C2651" s="519" t="s">
        <v>7762</v>
      </c>
      <c r="D2651" s="519" t="s">
        <v>8642</v>
      </c>
      <c r="E2651" s="519" t="s">
        <v>7840</v>
      </c>
      <c r="F2651" s="519" t="s">
        <v>8035</v>
      </c>
      <c r="G2651" s="519" t="s">
        <v>7800</v>
      </c>
      <c r="H2651" s="519" t="s">
        <v>9737</v>
      </c>
      <c r="I2651" s="519"/>
      <c r="L2651" s="518" t="s">
        <v>1233</v>
      </c>
      <c r="M2651" s="520">
        <v>9.18</v>
      </c>
      <c r="N2651" s="518" t="s">
        <v>1233</v>
      </c>
    </row>
    <row r="2652" spans="1:14" s="518" customFormat="1" x14ac:dyDescent="0.25">
      <c r="A2652" s="518" t="s">
        <v>6568</v>
      </c>
      <c r="B2652" s="518" t="s">
        <v>6569</v>
      </c>
      <c r="C2652" s="519" t="s">
        <v>7762</v>
      </c>
      <c r="D2652" s="519" t="s">
        <v>8642</v>
      </c>
      <c r="E2652" s="519" t="s">
        <v>7840</v>
      </c>
      <c r="F2652" s="519" t="s">
        <v>8035</v>
      </c>
      <c r="G2652" s="519" t="s">
        <v>7432</v>
      </c>
      <c r="H2652" s="519" t="s">
        <v>9737</v>
      </c>
      <c r="I2652" s="519"/>
      <c r="L2652" s="518" t="s">
        <v>1233</v>
      </c>
      <c r="M2652" s="520">
        <v>9.18</v>
      </c>
      <c r="N2652" s="518" t="s">
        <v>1233</v>
      </c>
    </row>
    <row r="2653" spans="1:14" s="518" customFormat="1" x14ac:dyDescent="0.25">
      <c r="A2653" s="518" t="s">
        <v>6570</v>
      </c>
      <c r="B2653" s="518" t="s">
        <v>6571</v>
      </c>
      <c r="C2653" s="519" t="s">
        <v>7762</v>
      </c>
      <c r="D2653" s="519" t="s">
        <v>8642</v>
      </c>
      <c r="E2653" s="519" t="s">
        <v>7840</v>
      </c>
      <c r="F2653" s="519" t="s">
        <v>8035</v>
      </c>
      <c r="G2653" s="519" t="s">
        <v>7881</v>
      </c>
      <c r="H2653" s="519" t="s">
        <v>9737</v>
      </c>
      <c r="I2653" s="519"/>
      <c r="L2653" s="518" t="s">
        <v>1233</v>
      </c>
      <c r="M2653" s="520">
        <v>9.18</v>
      </c>
      <c r="N2653" s="518" t="s">
        <v>1233</v>
      </c>
    </row>
    <row r="2654" spans="1:14" s="518" customFormat="1" x14ac:dyDescent="0.25">
      <c r="A2654" s="518" t="s">
        <v>6572</v>
      </c>
      <c r="B2654" s="518" t="s">
        <v>6573</v>
      </c>
      <c r="C2654" s="519" t="s">
        <v>7762</v>
      </c>
      <c r="D2654" s="519" t="s">
        <v>8642</v>
      </c>
      <c r="E2654" s="519" t="s">
        <v>7840</v>
      </c>
      <c r="F2654" s="519" t="s">
        <v>8035</v>
      </c>
      <c r="G2654" s="519" t="s">
        <v>7882</v>
      </c>
      <c r="H2654" s="519" t="s">
        <v>9737</v>
      </c>
      <c r="I2654" s="519"/>
      <c r="L2654" s="518" t="s">
        <v>1233</v>
      </c>
      <c r="M2654" s="520">
        <v>9.18</v>
      </c>
      <c r="N2654" s="518" t="s">
        <v>1233</v>
      </c>
    </row>
    <row r="2655" spans="1:14" s="518" customFormat="1" x14ac:dyDescent="0.25">
      <c r="A2655" s="518" t="s">
        <v>6574</v>
      </c>
      <c r="B2655" s="518" t="s">
        <v>6575</v>
      </c>
      <c r="C2655" s="519" t="s">
        <v>7762</v>
      </c>
      <c r="D2655" s="519" t="s">
        <v>8642</v>
      </c>
      <c r="E2655" s="519" t="s">
        <v>7840</v>
      </c>
      <c r="F2655" s="519" t="s">
        <v>8035</v>
      </c>
      <c r="G2655" s="519" t="s">
        <v>9738</v>
      </c>
      <c r="H2655" s="519" t="s">
        <v>7436</v>
      </c>
      <c r="I2655" s="519" t="s">
        <v>9737</v>
      </c>
      <c r="L2655" s="518" t="s">
        <v>1233</v>
      </c>
      <c r="M2655" s="520">
        <v>9.18</v>
      </c>
      <c r="N2655" s="518" t="s">
        <v>1233</v>
      </c>
    </row>
    <row r="2656" spans="1:14" s="518" customFormat="1" x14ac:dyDescent="0.25">
      <c r="A2656" s="518" t="s">
        <v>6576</v>
      </c>
      <c r="B2656" s="518" t="s">
        <v>6577</v>
      </c>
      <c r="C2656" s="519" t="s">
        <v>7762</v>
      </c>
      <c r="D2656" s="519" t="s">
        <v>8642</v>
      </c>
      <c r="E2656" s="519" t="s">
        <v>7840</v>
      </c>
      <c r="F2656" s="519" t="s">
        <v>8035</v>
      </c>
      <c r="G2656" s="519" t="s">
        <v>7884</v>
      </c>
      <c r="H2656" s="519" t="s">
        <v>9737</v>
      </c>
      <c r="I2656" s="519"/>
      <c r="L2656" s="518" t="s">
        <v>1233</v>
      </c>
      <c r="M2656" s="520">
        <v>9.18</v>
      </c>
      <c r="N2656" s="518" t="s">
        <v>1233</v>
      </c>
    </row>
    <row r="2657" spans="1:14" s="518" customFormat="1" x14ac:dyDescent="0.25">
      <c r="A2657" s="518" t="s">
        <v>6578</v>
      </c>
      <c r="B2657" s="518" t="s">
        <v>6579</v>
      </c>
      <c r="C2657" s="519" t="s">
        <v>7762</v>
      </c>
      <c r="D2657" s="519" t="s">
        <v>8642</v>
      </c>
      <c r="E2657" s="519" t="s">
        <v>7840</v>
      </c>
      <c r="F2657" s="519" t="s">
        <v>8035</v>
      </c>
      <c r="G2657" s="519" t="s">
        <v>9739</v>
      </c>
      <c r="H2657" s="519" t="s">
        <v>9737</v>
      </c>
      <c r="I2657" s="519"/>
      <c r="L2657" s="518" t="s">
        <v>1233</v>
      </c>
      <c r="M2657" s="520">
        <v>9.18</v>
      </c>
      <c r="N2657" s="518" t="s">
        <v>1233</v>
      </c>
    </row>
    <row r="2658" spans="1:14" s="518" customFormat="1" x14ac:dyDescent="0.25">
      <c r="A2658" s="518" t="s">
        <v>6580</v>
      </c>
      <c r="B2658" s="518" t="s">
        <v>6581</v>
      </c>
      <c r="C2658" s="519" t="s">
        <v>7762</v>
      </c>
      <c r="D2658" s="519" t="s">
        <v>8642</v>
      </c>
      <c r="E2658" s="519" t="s">
        <v>7840</v>
      </c>
      <c r="F2658" s="519" t="s">
        <v>8035</v>
      </c>
      <c r="G2658" s="519" t="s">
        <v>7454</v>
      </c>
      <c r="H2658" s="519" t="s">
        <v>9737</v>
      </c>
      <c r="I2658" s="519"/>
      <c r="L2658" s="518" t="s">
        <v>1233</v>
      </c>
      <c r="M2658" s="520">
        <v>9.18</v>
      </c>
      <c r="N2658" s="518" t="s">
        <v>1233</v>
      </c>
    </row>
    <row r="2659" spans="1:14" s="518" customFormat="1" x14ac:dyDescent="0.25">
      <c r="A2659" s="518" t="s">
        <v>6582</v>
      </c>
      <c r="B2659" s="518" t="s">
        <v>6583</v>
      </c>
      <c r="C2659" s="519" t="s">
        <v>7762</v>
      </c>
      <c r="D2659" s="519" t="s">
        <v>8642</v>
      </c>
      <c r="E2659" s="519" t="s">
        <v>7840</v>
      </c>
      <c r="F2659" s="519" t="s">
        <v>8035</v>
      </c>
      <c r="G2659" s="519" t="s">
        <v>7433</v>
      </c>
      <c r="H2659" s="519" t="s">
        <v>9737</v>
      </c>
      <c r="I2659" s="519"/>
      <c r="L2659" s="518" t="s">
        <v>1233</v>
      </c>
      <c r="M2659" s="520">
        <v>9.18</v>
      </c>
      <c r="N2659" s="518" t="s">
        <v>1233</v>
      </c>
    </row>
    <row r="2660" spans="1:14" s="518" customFormat="1" x14ac:dyDescent="0.25">
      <c r="A2660" s="518" t="s">
        <v>6584</v>
      </c>
      <c r="B2660" s="518" t="s">
        <v>6585</v>
      </c>
      <c r="C2660" s="519" t="s">
        <v>7762</v>
      </c>
      <c r="D2660" s="519" t="s">
        <v>8642</v>
      </c>
      <c r="E2660" s="519" t="s">
        <v>7840</v>
      </c>
      <c r="F2660" s="519" t="s">
        <v>8035</v>
      </c>
      <c r="G2660" s="519" t="s">
        <v>9740</v>
      </c>
      <c r="H2660" s="519" t="s">
        <v>7887</v>
      </c>
      <c r="I2660" s="519" t="s">
        <v>9737</v>
      </c>
      <c r="L2660" s="518" t="s">
        <v>1233</v>
      </c>
      <c r="M2660" s="520">
        <v>9.18</v>
      </c>
      <c r="N2660" s="518" t="s">
        <v>1233</v>
      </c>
    </row>
    <row r="2661" spans="1:14" s="518" customFormat="1" x14ac:dyDescent="0.25">
      <c r="A2661" s="518" t="s">
        <v>6586</v>
      </c>
      <c r="B2661" s="518" t="s">
        <v>6587</v>
      </c>
      <c r="C2661" s="519" t="s">
        <v>7762</v>
      </c>
      <c r="D2661" s="519" t="s">
        <v>8642</v>
      </c>
      <c r="E2661" s="519" t="s">
        <v>7840</v>
      </c>
      <c r="F2661" s="519" t="s">
        <v>8035</v>
      </c>
      <c r="G2661" s="519" t="s">
        <v>7888</v>
      </c>
      <c r="H2661" s="519" t="s">
        <v>9737</v>
      </c>
      <c r="I2661" s="519"/>
      <c r="L2661" s="518" t="s">
        <v>1233</v>
      </c>
      <c r="M2661" s="520">
        <v>9.18</v>
      </c>
      <c r="N2661" s="518" t="s">
        <v>1233</v>
      </c>
    </row>
    <row r="2662" spans="1:14" s="518" customFormat="1" x14ac:dyDescent="0.25">
      <c r="A2662" s="518" t="s">
        <v>6588</v>
      </c>
      <c r="B2662" s="518" t="s">
        <v>6589</v>
      </c>
      <c r="C2662" s="519" t="s">
        <v>7762</v>
      </c>
      <c r="D2662" s="519" t="s">
        <v>8642</v>
      </c>
      <c r="E2662" s="519" t="s">
        <v>7840</v>
      </c>
      <c r="F2662" s="519" t="s">
        <v>8035</v>
      </c>
      <c r="G2662" s="519" t="s">
        <v>7889</v>
      </c>
      <c r="H2662" s="519" t="s">
        <v>9737</v>
      </c>
      <c r="I2662" s="519"/>
      <c r="L2662" s="518" t="s">
        <v>1233</v>
      </c>
      <c r="M2662" s="520">
        <v>9.18</v>
      </c>
      <c r="N2662" s="518" t="s">
        <v>1233</v>
      </c>
    </row>
    <row r="2663" spans="1:14" s="518" customFormat="1" x14ac:dyDescent="0.25">
      <c r="A2663" s="518" t="s">
        <v>6590</v>
      </c>
      <c r="B2663" s="518" t="s">
        <v>6591</v>
      </c>
      <c r="C2663" s="519" t="s">
        <v>7762</v>
      </c>
      <c r="D2663" s="519" t="s">
        <v>8642</v>
      </c>
      <c r="E2663" s="519" t="s">
        <v>7840</v>
      </c>
      <c r="F2663" s="519" t="s">
        <v>8035</v>
      </c>
      <c r="G2663" s="519" t="s">
        <v>8189</v>
      </c>
      <c r="H2663" s="519" t="s">
        <v>8817</v>
      </c>
      <c r="I2663" s="519" t="s">
        <v>9737</v>
      </c>
      <c r="L2663" s="518" t="s">
        <v>1233</v>
      </c>
      <c r="M2663" s="520">
        <v>9.18</v>
      </c>
      <c r="N2663" s="518" t="s">
        <v>1233</v>
      </c>
    </row>
    <row r="2664" spans="1:14" s="518" customFormat="1" x14ac:dyDescent="0.25">
      <c r="A2664" s="518" t="s">
        <v>6592</v>
      </c>
      <c r="B2664" s="518" t="s">
        <v>6593</v>
      </c>
      <c r="C2664" s="519" t="s">
        <v>7762</v>
      </c>
      <c r="D2664" s="519" t="s">
        <v>8642</v>
      </c>
      <c r="E2664" s="519" t="s">
        <v>7840</v>
      </c>
      <c r="F2664" s="519" t="s">
        <v>8035</v>
      </c>
      <c r="G2664" s="519" t="s">
        <v>7803</v>
      </c>
      <c r="H2664" s="519" t="s">
        <v>9737</v>
      </c>
      <c r="I2664" s="519"/>
      <c r="L2664" s="518" t="s">
        <v>1233</v>
      </c>
      <c r="M2664" s="520">
        <v>9.18</v>
      </c>
      <c r="N2664" s="518" t="s">
        <v>1233</v>
      </c>
    </row>
    <row r="2665" spans="1:14" s="518" customFormat="1" x14ac:dyDescent="0.25">
      <c r="A2665" s="518" t="s">
        <v>6594</v>
      </c>
      <c r="B2665" s="518" t="s">
        <v>6595</v>
      </c>
      <c r="C2665" s="519" t="s">
        <v>7762</v>
      </c>
      <c r="D2665" s="519" t="s">
        <v>8642</v>
      </c>
      <c r="E2665" s="519" t="s">
        <v>7840</v>
      </c>
      <c r="F2665" s="519" t="s">
        <v>8035</v>
      </c>
      <c r="G2665" s="519" t="s">
        <v>7907</v>
      </c>
      <c r="H2665" s="519" t="s">
        <v>7436</v>
      </c>
      <c r="I2665" s="519" t="s">
        <v>9737</v>
      </c>
      <c r="L2665" s="518" t="s">
        <v>1233</v>
      </c>
      <c r="M2665" s="520">
        <v>45</v>
      </c>
      <c r="N2665" s="518" t="s">
        <v>1233</v>
      </c>
    </row>
    <row r="2666" spans="1:14" s="518" customFormat="1" x14ac:dyDescent="0.25">
      <c r="A2666" s="518" t="s">
        <v>6596</v>
      </c>
      <c r="B2666" s="518" t="s">
        <v>6597</v>
      </c>
      <c r="C2666" s="519" t="s">
        <v>7762</v>
      </c>
      <c r="D2666" s="519" t="s">
        <v>8642</v>
      </c>
      <c r="E2666" s="519" t="s">
        <v>7840</v>
      </c>
      <c r="F2666" s="519" t="s">
        <v>8035</v>
      </c>
      <c r="G2666" s="519" t="s">
        <v>7721</v>
      </c>
      <c r="H2666" s="519" t="s">
        <v>9737</v>
      </c>
      <c r="I2666" s="519"/>
      <c r="L2666" s="518" t="s">
        <v>1233</v>
      </c>
      <c r="M2666" s="520">
        <v>9.18</v>
      </c>
      <c r="N2666" s="518" t="s">
        <v>1233</v>
      </c>
    </row>
    <row r="2667" spans="1:14" s="518" customFormat="1" x14ac:dyDescent="0.25">
      <c r="A2667" s="518" t="s">
        <v>6598</v>
      </c>
      <c r="B2667" s="518" t="s">
        <v>6599</v>
      </c>
      <c r="C2667" s="519" t="s">
        <v>7762</v>
      </c>
      <c r="D2667" s="519" t="s">
        <v>8642</v>
      </c>
      <c r="E2667" s="519" t="s">
        <v>7840</v>
      </c>
      <c r="F2667" s="519" t="s">
        <v>8035</v>
      </c>
      <c r="G2667" s="519" t="s">
        <v>7804</v>
      </c>
      <c r="H2667" s="519" t="s">
        <v>9737</v>
      </c>
      <c r="I2667" s="519"/>
      <c r="L2667" s="518" t="s">
        <v>1233</v>
      </c>
      <c r="M2667" s="520">
        <v>9.18</v>
      </c>
      <c r="N2667" s="518" t="s">
        <v>1233</v>
      </c>
    </row>
    <row r="2668" spans="1:14" x14ac:dyDescent="0.25">
      <c r="A2668" s="505" t="s">
        <v>6600</v>
      </c>
      <c r="B2668" s="505" t="s">
        <v>6601</v>
      </c>
      <c r="C2668" s="512" t="s">
        <v>7762</v>
      </c>
      <c r="D2668" s="512" t="s">
        <v>8642</v>
      </c>
      <c r="E2668" s="512" t="s">
        <v>7840</v>
      </c>
      <c r="F2668" s="512" t="s">
        <v>8037</v>
      </c>
      <c r="G2668" s="512" t="s">
        <v>7437</v>
      </c>
      <c r="H2668" s="512" t="s">
        <v>9741</v>
      </c>
      <c r="L2668" s="505" t="s">
        <v>1233</v>
      </c>
      <c r="M2668" s="516">
        <v>12.55</v>
      </c>
      <c r="N2668" s="505" t="s">
        <v>1233</v>
      </c>
    </row>
    <row r="2669" spans="1:14" x14ac:dyDescent="0.25">
      <c r="A2669" s="505" t="s">
        <v>6602</v>
      </c>
      <c r="B2669" s="505" t="s">
        <v>6603</v>
      </c>
      <c r="C2669" s="512" t="s">
        <v>7762</v>
      </c>
      <c r="D2669" s="512" t="s">
        <v>9742</v>
      </c>
      <c r="E2669" s="512" t="s">
        <v>1193</v>
      </c>
      <c r="F2669" s="512" t="s">
        <v>8037</v>
      </c>
      <c r="G2669" s="512" t="s">
        <v>526</v>
      </c>
      <c r="H2669" s="512" t="s">
        <v>9741</v>
      </c>
      <c r="L2669" s="505" t="s">
        <v>1233</v>
      </c>
      <c r="M2669" s="516">
        <v>12.55</v>
      </c>
      <c r="N2669" s="505" t="s">
        <v>1233</v>
      </c>
    </row>
    <row r="2670" spans="1:14" s="518" customFormat="1" x14ac:dyDescent="0.25">
      <c r="A2670" s="518" t="s">
        <v>6604</v>
      </c>
      <c r="B2670" s="518" t="s">
        <v>6605</v>
      </c>
      <c r="C2670" s="519" t="s">
        <v>7762</v>
      </c>
      <c r="D2670" s="519" t="s">
        <v>8642</v>
      </c>
      <c r="E2670" s="519" t="s">
        <v>7840</v>
      </c>
      <c r="F2670" s="519" t="s">
        <v>8294</v>
      </c>
      <c r="G2670" s="519" t="s">
        <v>7876</v>
      </c>
      <c r="H2670" s="519" t="s">
        <v>7999</v>
      </c>
      <c r="I2670" s="519" t="s">
        <v>9743</v>
      </c>
      <c r="L2670" s="518" t="s">
        <v>1233</v>
      </c>
      <c r="M2670" s="520">
        <v>12.55</v>
      </c>
      <c r="N2670" s="518" t="s">
        <v>1233</v>
      </c>
    </row>
    <row r="2671" spans="1:14" s="518" customFormat="1" x14ac:dyDescent="0.25">
      <c r="A2671" s="518" t="s">
        <v>6606</v>
      </c>
      <c r="B2671" s="518" t="s">
        <v>6607</v>
      </c>
      <c r="C2671" s="519" t="s">
        <v>7762</v>
      </c>
      <c r="D2671" s="519" t="s">
        <v>8642</v>
      </c>
      <c r="E2671" s="519" t="s">
        <v>7840</v>
      </c>
      <c r="F2671" s="519" t="s">
        <v>8294</v>
      </c>
      <c r="G2671" s="519" t="s">
        <v>7437</v>
      </c>
      <c r="H2671" s="519" t="s">
        <v>9743</v>
      </c>
      <c r="I2671" s="519"/>
      <c r="L2671" s="518" t="s">
        <v>1233</v>
      </c>
      <c r="M2671" s="520">
        <v>12.55</v>
      </c>
      <c r="N2671" s="518" t="s">
        <v>1233</v>
      </c>
    </row>
    <row r="2672" spans="1:14" s="518" customFormat="1" x14ac:dyDescent="0.25">
      <c r="A2672" s="518" t="s">
        <v>6608</v>
      </c>
      <c r="B2672" s="518" t="s">
        <v>6609</v>
      </c>
      <c r="C2672" s="519" t="s">
        <v>7762</v>
      </c>
      <c r="D2672" s="519" t="s">
        <v>8642</v>
      </c>
      <c r="E2672" s="519" t="s">
        <v>7840</v>
      </c>
      <c r="F2672" s="519" t="s">
        <v>8294</v>
      </c>
      <c r="G2672" s="519" t="s">
        <v>7899</v>
      </c>
      <c r="H2672" s="519" t="s">
        <v>9743</v>
      </c>
      <c r="I2672" s="519"/>
      <c r="L2672" s="518" t="s">
        <v>1233</v>
      </c>
      <c r="M2672" s="520">
        <v>12.55</v>
      </c>
      <c r="N2672" s="518" t="s">
        <v>1233</v>
      </c>
    </row>
    <row r="2673" spans="1:14" s="518" customFormat="1" x14ac:dyDescent="0.25">
      <c r="A2673" s="518" t="s">
        <v>6610</v>
      </c>
      <c r="B2673" s="518" t="s">
        <v>6611</v>
      </c>
      <c r="C2673" s="519" t="s">
        <v>7762</v>
      </c>
      <c r="D2673" s="519" t="s">
        <v>8642</v>
      </c>
      <c r="E2673" s="519" t="s">
        <v>7840</v>
      </c>
      <c r="F2673" s="519" t="s">
        <v>8294</v>
      </c>
      <c r="G2673" s="519" t="s">
        <v>7800</v>
      </c>
      <c r="H2673" s="519" t="s">
        <v>9743</v>
      </c>
      <c r="I2673" s="519"/>
      <c r="L2673" s="518" t="s">
        <v>1233</v>
      </c>
      <c r="M2673" s="520">
        <v>12.55</v>
      </c>
      <c r="N2673" s="518" t="s">
        <v>1233</v>
      </c>
    </row>
    <row r="2674" spans="1:14" s="518" customFormat="1" x14ac:dyDescent="0.25">
      <c r="A2674" s="518" t="s">
        <v>6612</v>
      </c>
      <c r="B2674" s="518" t="s">
        <v>6613</v>
      </c>
      <c r="C2674" s="519" t="s">
        <v>7762</v>
      </c>
      <c r="D2674" s="519" t="s">
        <v>8642</v>
      </c>
      <c r="E2674" s="519" t="s">
        <v>7840</v>
      </c>
      <c r="F2674" s="519" t="s">
        <v>8294</v>
      </c>
      <c r="G2674" s="519" t="s">
        <v>7432</v>
      </c>
      <c r="H2674" s="519" t="s">
        <v>9743</v>
      </c>
      <c r="I2674" s="519"/>
      <c r="L2674" s="518" t="s">
        <v>1233</v>
      </c>
      <c r="M2674" s="520">
        <v>12.55</v>
      </c>
      <c r="N2674" s="518" t="s">
        <v>1233</v>
      </c>
    </row>
    <row r="2675" spans="1:14" s="518" customFormat="1" x14ac:dyDescent="0.25">
      <c r="A2675" s="518" t="s">
        <v>6614</v>
      </c>
      <c r="B2675" s="518" t="s">
        <v>6615</v>
      </c>
      <c r="C2675" s="519" t="s">
        <v>7762</v>
      </c>
      <c r="D2675" s="519" t="s">
        <v>8642</v>
      </c>
      <c r="E2675" s="519" t="s">
        <v>7840</v>
      </c>
      <c r="F2675" s="519" t="s">
        <v>8294</v>
      </c>
      <c r="G2675" s="519" t="s">
        <v>7881</v>
      </c>
      <c r="H2675" s="519" t="s">
        <v>9743</v>
      </c>
      <c r="I2675" s="519"/>
      <c r="L2675" s="518" t="s">
        <v>1233</v>
      </c>
      <c r="M2675" s="520">
        <v>12.55</v>
      </c>
      <c r="N2675" s="518" t="s">
        <v>1233</v>
      </c>
    </row>
    <row r="2676" spans="1:14" s="518" customFormat="1" x14ac:dyDescent="0.25">
      <c r="A2676" s="518" t="s">
        <v>6616</v>
      </c>
      <c r="B2676" s="518" t="s">
        <v>6617</v>
      </c>
      <c r="C2676" s="519" t="s">
        <v>7762</v>
      </c>
      <c r="D2676" s="519" t="s">
        <v>8642</v>
      </c>
      <c r="E2676" s="519" t="s">
        <v>7840</v>
      </c>
      <c r="F2676" s="519" t="s">
        <v>8294</v>
      </c>
      <c r="G2676" s="519" t="s">
        <v>7882</v>
      </c>
      <c r="H2676" s="519" t="s">
        <v>9743</v>
      </c>
      <c r="I2676" s="519"/>
      <c r="L2676" s="518" t="s">
        <v>1233</v>
      </c>
      <c r="M2676" s="520">
        <v>12.55</v>
      </c>
      <c r="N2676" s="518" t="s">
        <v>1233</v>
      </c>
    </row>
    <row r="2677" spans="1:14" s="518" customFormat="1" x14ac:dyDescent="0.25">
      <c r="A2677" s="518" t="s">
        <v>6618</v>
      </c>
      <c r="B2677" s="518" t="s">
        <v>6619</v>
      </c>
      <c r="C2677" s="519" t="s">
        <v>7762</v>
      </c>
      <c r="D2677" s="519" t="s">
        <v>8642</v>
      </c>
      <c r="E2677" s="519" t="s">
        <v>7840</v>
      </c>
      <c r="F2677" s="519" t="s">
        <v>8294</v>
      </c>
      <c r="G2677" s="519" t="s">
        <v>9738</v>
      </c>
      <c r="H2677" s="519" t="s">
        <v>7999</v>
      </c>
      <c r="I2677" s="519" t="s">
        <v>9743</v>
      </c>
      <c r="L2677" s="518" t="s">
        <v>1233</v>
      </c>
      <c r="M2677" s="520">
        <v>12.55</v>
      </c>
      <c r="N2677" s="518" t="s">
        <v>1233</v>
      </c>
    </row>
    <row r="2678" spans="1:14" s="518" customFormat="1" x14ac:dyDescent="0.25">
      <c r="A2678" s="518" t="s">
        <v>6620</v>
      </c>
      <c r="B2678" s="518" t="s">
        <v>6621</v>
      </c>
      <c r="C2678" s="519" t="s">
        <v>7762</v>
      </c>
      <c r="D2678" s="519" t="s">
        <v>8642</v>
      </c>
      <c r="E2678" s="519" t="s">
        <v>7840</v>
      </c>
      <c r="F2678" s="519" t="s">
        <v>8294</v>
      </c>
      <c r="G2678" s="519" t="s">
        <v>7903</v>
      </c>
      <c r="H2678" s="519" t="s">
        <v>9743</v>
      </c>
      <c r="I2678" s="519"/>
      <c r="L2678" s="518" t="s">
        <v>1233</v>
      </c>
      <c r="M2678" s="520">
        <v>12.55</v>
      </c>
      <c r="N2678" s="518" t="s">
        <v>1233</v>
      </c>
    </row>
    <row r="2679" spans="1:14" s="518" customFormat="1" x14ac:dyDescent="0.25">
      <c r="A2679" s="518" t="s">
        <v>6622</v>
      </c>
      <c r="B2679" s="518" t="s">
        <v>6623</v>
      </c>
      <c r="C2679" s="519" t="s">
        <v>7762</v>
      </c>
      <c r="D2679" s="519" t="s">
        <v>8642</v>
      </c>
      <c r="E2679" s="519" t="s">
        <v>7840</v>
      </c>
      <c r="F2679" s="519" t="s">
        <v>8294</v>
      </c>
      <c r="G2679" s="519" t="s">
        <v>7904</v>
      </c>
      <c r="H2679" s="519" t="s">
        <v>9743</v>
      </c>
      <c r="I2679" s="519"/>
      <c r="L2679" s="518" t="s">
        <v>1233</v>
      </c>
      <c r="M2679" s="520">
        <v>12.55</v>
      </c>
      <c r="N2679" s="518" t="s">
        <v>1233</v>
      </c>
    </row>
    <row r="2680" spans="1:14" s="518" customFormat="1" x14ac:dyDescent="0.25">
      <c r="A2680" s="518" t="s">
        <v>6624</v>
      </c>
      <c r="B2680" s="518" t="s">
        <v>6625</v>
      </c>
      <c r="C2680" s="519" t="s">
        <v>7762</v>
      </c>
      <c r="D2680" s="519" t="s">
        <v>8642</v>
      </c>
      <c r="E2680" s="519" t="s">
        <v>7840</v>
      </c>
      <c r="F2680" s="519" t="s">
        <v>8294</v>
      </c>
      <c r="G2680" s="519" t="s">
        <v>7454</v>
      </c>
      <c r="H2680" s="519" t="s">
        <v>9743</v>
      </c>
      <c r="I2680" s="519"/>
      <c r="L2680" s="518" t="s">
        <v>1233</v>
      </c>
      <c r="M2680" s="520">
        <v>12.55</v>
      </c>
      <c r="N2680" s="518" t="s">
        <v>1233</v>
      </c>
    </row>
    <row r="2681" spans="1:14" s="518" customFormat="1" x14ac:dyDescent="0.25">
      <c r="A2681" s="518" t="s">
        <v>6626</v>
      </c>
      <c r="B2681" s="518" t="s">
        <v>6627</v>
      </c>
      <c r="C2681" s="519" t="s">
        <v>7762</v>
      </c>
      <c r="D2681" s="519" t="s">
        <v>8642</v>
      </c>
      <c r="E2681" s="519" t="s">
        <v>7840</v>
      </c>
      <c r="F2681" s="519" t="s">
        <v>8294</v>
      </c>
      <c r="G2681" s="519" t="s">
        <v>7433</v>
      </c>
      <c r="H2681" s="519" t="s">
        <v>9743</v>
      </c>
      <c r="I2681" s="519"/>
      <c r="L2681" s="518" t="s">
        <v>1233</v>
      </c>
      <c r="M2681" s="520">
        <v>12.55</v>
      </c>
      <c r="N2681" s="518" t="s">
        <v>1233</v>
      </c>
    </row>
    <row r="2682" spans="1:14" s="518" customFormat="1" x14ac:dyDescent="0.25">
      <c r="A2682" s="518" t="s">
        <v>6628</v>
      </c>
      <c r="B2682" s="518" t="s">
        <v>6629</v>
      </c>
      <c r="C2682" s="519" t="s">
        <v>7762</v>
      </c>
      <c r="D2682" s="519" t="s">
        <v>8642</v>
      </c>
      <c r="E2682" s="519" t="s">
        <v>7840</v>
      </c>
      <c r="F2682" s="519" t="s">
        <v>8294</v>
      </c>
      <c r="G2682" s="519" t="s">
        <v>7905</v>
      </c>
      <c r="H2682" s="519" t="s">
        <v>7887</v>
      </c>
      <c r="I2682" s="519" t="s">
        <v>9743</v>
      </c>
      <c r="L2682" s="518" t="s">
        <v>1233</v>
      </c>
      <c r="M2682" s="520">
        <v>12.55</v>
      </c>
      <c r="N2682" s="518" t="s">
        <v>1233</v>
      </c>
    </row>
    <row r="2683" spans="1:14" s="518" customFormat="1" x14ac:dyDescent="0.25">
      <c r="A2683" s="518" t="s">
        <v>6630</v>
      </c>
      <c r="B2683" s="518" t="s">
        <v>6631</v>
      </c>
      <c r="C2683" s="519" t="s">
        <v>7762</v>
      </c>
      <c r="D2683" s="519" t="s">
        <v>8642</v>
      </c>
      <c r="E2683" s="519" t="s">
        <v>7840</v>
      </c>
      <c r="F2683" s="519" t="s">
        <v>8294</v>
      </c>
      <c r="G2683" s="519" t="s">
        <v>7906</v>
      </c>
      <c r="H2683" s="519" t="s">
        <v>9743</v>
      </c>
      <c r="I2683" s="519"/>
      <c r="L2683" s="518" t="s">
        <v>1233</v>
      </c>
      <c r="M2683" s="520">
        <v>12.55</v>
      </c>
      <c r="N2683" s="518" t="s">
        <v>1233</v>
      </c>
    </row>
    <row r="2684" spans="1:14" s="518" customFormat="1" x14ac:dyDescent="0.25">
      <c r="A2684" s="518" t="s">
        <v>6632</v>
      </c>
      <c r="B2684" s="518" t="s">
        <v>6633</v>
      </c>
      <c r="C2684" s="519" t="s">
        <v>7762</v>
      </c>
      <c r="D2684" s="519" t="s">
        <v>8642</v>
      </c>
      <c r="E2684" s="519" t="s">
        <v>7840</v>
      </c>
      <c r="F2684" s="519" t="s">
        <v>8294</v>
      </c>
      <c r="G2684" s="519" t="s">
        <v>7889</v>
      </c>
      <c r="H2684" s="519" t="s">
        <v>9743</v>
      </c>
      <c r="I2684" s="519"/>
      <c r="L2684" s="518" t="s">
        <v>1233</v>
      </c>
      <c r="M2684" s="520">
        <v>12.55</v>
      </c>
      <c r="N2684" s="518" t="s">
        <v>1233</v>
      </c>
    </row>
    <row r="2685" spans="1:14" s="518" customFormat="1" x14ac:dyDescent="0.25">
      <c r="A2685" s="518" t="s">
        <v>6634</v>
      </c>
      <c r="B2685" s="518" t="s">
        <v>6635</v>
      </c>
      <c r="C2685" s="519" t="s">
        <v>7762</v>
      </c>
      <c r="D2685" s="519" t="s">
        <v>8642</v>
      </c>
      <c r="E2685" s="519" t="s">
        <v>7840</v>
      </c>
      <c r="F2685" s="519" t="s">
        <v>8294</v>
      </c>
      <c r="G2685" s="519" t="s">
        <v>7890</v>
      </c>
      <c r="H2685" s="519" t="s">
        <v>7881</v>
      </c>
      <c r="I2685" s="519" t="s">
        <v>9743</v>
      </c>
      <c r="L2685" s="518" t="s">
        <v>1233</v>
      </c>
      <c r="M2685" s="520">
        <v>12.55</v>
      </c>
      <c r="N2685" s="518" t="s">
        <v>1233</v>
      </c>
    </row>
    <row r="2686" spans="1:14" s="518" customFormat="1" x14ac:dyDescent="0.25">
      <c r="A2686" s="518" t="s">
        <v>6636</v>
      </c>
      <c r="B2686" s="518" t="s">
        <v>6637</v>
      </c>
      <c r="C2686" s="519" t="s">
        <v>7762</v>
      </c>
      <c r="D2686" s="519" t="s">
        <v>8642</v>
      </c>
      <c r="E2686" s="519" t="s">
        <v>7840</v>
      </c>
      <c r="F2686" s="519" t="s">
        <v>8294</v>
      </c>
      <c r="G2686" s="519" t="s">
        <v>7803</v>
      </c>
      <c r="H2686" s="519" t="s">
        <v>9743</v>
      </c>
      <c r="I2686" s="519"/>
      <c r="L2686" s="518" t="s">
        <v>1233</v>
      </c>
      <c r="M2686" s="520">
        <v>12.55</v>
      </c>
      <c r="N2686" s="518" t="s">
        <v>1233</v>
      </c>
    </row>
    <row r="2687" spans="1:14" s="518" customFormat="1" x14ac:dyDescent="0.25">
      <c r="A2687" s="518" t="s">
        <v>6638</v>
      </c>
      <c r="B2687" s="518" t="s">
        <v>6639</v>
      </c>
      <c r="C2687" s="519" t="s">
        <v>7762</v>
      </c>
      <c r="D2687" s="519" t="s">
        <v>8642</v>
      </c>
      <c r="E2687" s="519" t="s">
        <v>7840</v>
      </c>
      <c r="F2687" s="519" t="s">
        <v>8294</v>
      </c>
      <c r="G2687" s="519" t="s">
        <v>7907</v>
      </c>
      <c r="H2687" s="519" t="s">
        <v>7799</v>
      </c>
      <c r="I2687" s="519" t="s">
        <v>9743</v>
      </c>
      <c r="L2687" s="518" t="s">
        <v>1233</v>
      </c>
      <c r="M2687" s="520">
        <v>12.55</v>
      </c>
      <c r="N2687" s="518" t="s">
        <v>1233</v>
      </c>
    </row>
    <row r="2688" spans="1:14" s="518" customFormat="1" x14ac:dyDescent="0.25">
      <c r="A2688" s="518" t="s">
        <v>6640</v>
      </c>
      <c r="B2688" s="518" t="s">
        <v>6641</v>
      </c>
      <c r="C2688" s="519" t="s">
        <v>7762</v>
      </c>
      <c r="D2688" s="519" t="s">
        <v>8642</v>
      </c>
      <c r="E2688" s="519" t="s">
        <v>7840</v>
      </c>
      <c r="F2688" s="519" t="s">
        <v>8294</v>
      </c>
      <c r="G2688" s="519" t="s">
        <v>7721</v>
      </c>
      <c r="H2688" s="519" t="s">
        <v>9743</v>
      </c>
      <c r="I2688" s="519"/>
      <c r="L2688" s="518" t="s">
        <v>1233</v>
      </c>
      <c r="M2688" s="520">
        <v>12.55</v>
      </c>
      <c r="N2688" s="518" t="s">
        <v>1233</v>
      </c>
    </row>
    <row r="2689" spans="1:14" s="518" customFormat="1" x14ac:dyDescent="0.25">
      <c r="A2689" s="518" t="s">
        <v>6642</v>
      </c>
      <c r="B2689" s="518" t="s">
        <v>6643</v>
      </c>
      <c r="C2689" s="519" t="s">
        <v>7762</v>
      </c>
      <c r="D2689" s="519" t="s">
        <v>8642</v>
      </c>
      <c r="E2689" s="519" t="s">
        <v>7840</v>
      </c>
      <c r="F2689" s="519" t="s">
        <v>8294</v>
      </c>
      <c r="G2689" s="519" t="s">
        <v>7804</v>
      </c>
      <c r="H2689" s="519" t="s">
        <v>9743</v>
      </c>
      <c r="I2689" s="519"/>
      <c r="L2689" s="518" t="s">
        <v>1233</v>
      </c>
      <c r="M2689" s="520">
        <v>12.55</v>
      </c>
      <c r="N2689" s="518" t="s">
        <v>1233</v>
      </c>
    </row>
    <row r="2690" spans="1:14" x14ac:dyDescent="0.25">
      <c r="A2690" s="505" t="s">
        <v>6644</v>
      </c>
      <c r="B2690" s="505" t="s">
        <v>6645</v>
      </c>
      <c r="C2690" s="512" t="s">
        <v>7762</v>
      </c>
      <c r="D2690" s="512" t="s">
        <v>8642</v>
      </c>
      <c r="E2690" s="512" t="s">
        <v>7840</v>
      </c>
      <c r="F2690" s="512" t="s">
        <v>9736</v>
      </c>
      <c r="G2690" s="512" t="s">
        <v>7881</v>
      </c>
      <c r="L2690" s="505" t="s">
        <v>1233</v>
      </c>
      <c r="M2690" s="516">
        <v>15.02</v>
      </c>
      <c r="N2690" s="505" t="s">
        <v>1233</v>
      </c>
    </row>
    <row r="2691" spans="1:14" x14ac:dyDescent="0.25">
      <c r="A2691" s="505" t="s">
        <v>6646</v>
      </c>
      <c r="B2691" s="505" t="s">
        <v>6647</v>
      </c>
      <c r="C2691" s="512" t="s">
        <v>7796</v>
      </c>
      <c r="D2691" s="512" t="s">
        <v>7840</v>
      </c>
      <c r="E2691" s="512" t="s">
        <v>9744</v>
      </c>
      <c r="F2691" s="512" t="s">
        <v>8035</v>
      </c>
      <c r="G2691" s="512" t="s">
        <v>7876</v>
      </c>
      <c r="H2691" s="512" t="s">
        <v>7436</v>
      </c>
      <c r="L2691" s="505" t="s">
        <v>1233</v>
      </c>
      <c r="M2691" s="516">
        <v>9.18</v>
      </c>
      <c r="N2691" s="505" t="s">
        <v>1233</v>
      </c>
    </row>
    <row r="2692" spans="1:14" x14ac:dyDescent="0.25">
      <c r="A2692" s="505" t="s">
        <v>6648</v>
      </c>
      <c r="B2692" s="505" t="s">
        <v>6649</v>
      </c>
      <c r="C2692" s="512" t="s">
        <v>7796</v>
      </c>
      <c r="D2692" s="512" t="s">
        <v>7840</v>
      </c>
      <c r="E2692" s="512" t="s">
        <v>9744</v>
      </c>
      <c r="F2692" s="512" t="s">
        <v>8035</v>
      </c>
      <c r="G2692" s="512" t="s">
        <v>7437</v>
      </c>
      <c r="L2692" s="505" t="s">
        <v>1233</v>
      </c>
      <c r="M2692" s="516">
        <v>9.18</v>
      </c>
      <c r="N2692" s="505" t="s">
        <v>1233</v>
      </c>
    </row>
    <row r="2693" spans="1:14" x14ac:dyDescent="0.25">
      <c r="A2693" s="505" t="s">
        <v>6650</v>
      </c>
      <c r="B2693" s="505" t="s">
        <v>6651</v>
      </c>
      <c r="C2693" s="512" t="s">
        <v>7796</v>
      </c>
      <c r="D2693" s="512" t="s">
        <v>7840</v>
      </c>
      <c r="E2693" s="512" t="s">
        <v>9744</v>
      </c>
      <c r="F2693" s="512" t="s">
        <v>8035</v>
      </c>
      <c r="G2693" s="512" t="s">
        <v>7436</v>
      </c>
      <c r="L2693" s="505" t="s">
        <v>1233</v>
      </c>
      <c r="M2693" s="516">
        <v>9.18</v>
      </c>
      <c r="N2693" s="505" t="s">
        <v>1233</v>
      </c>
    </row>
    <row r="2694" spans="1:14" x14ac:dyDescent="0.25">
      <c r="A2694" s="505" t="s">
        <v>6652</v>
      </c>
      <c r="B2694" s="505" t="s">
        <v>6653</v>
      </c>
      <c r="C2694" s="512" t="s">
        <v>7796</v>
      </c>
      <c r="D2694" s="512" t="s">
        <v>7840</v>
      </c>
      <c r="E2694" s="512" t="s">
        <v>9744</v>
      </c>
      <c r="F2694" s="512" t="s">
        <v>8035</v>
      </c>
      <c r="G2694" s="512" t="s">
        <v>7433</v>
      </c>
      <c r="L2694" s="505" t="s">
        <v>1233</v>
      </c>
      <c r="M2694" s="516">
        <v>9.18</v>
      </c>
      <c r="N2694" s="505" t="s">
        <v>1233</v>
      </c>
    </row>
    <row r="2695" spans="1:14" x14ac:dyDescent="0.25">
      <c r="A2695" s="505" t="s">
        <v>6654</v>
      </c>
      <c r="B2695" s="505" t="s">
        <v>6655</v>
      </c>
      <c r="C2695" s="512" t="s">
        <v>7796</v>
      </c>
      <c r="D2695" s="512" t="s">
        <v>7840</v>
      </c>
      <c r="E2695" s="512" t="s">
        <v>9744</v>
      </c>
      <c r="F2695" s="512" t="s">
        <v>8035</v>
      </c>
      <c r="G2695" s="512" t="s">
        <v>9745</v>
      </c>
      <c r="L2695" s="505" t="s">
        <v>1233</v>
      </c>
      <c r="M2695" s="516">
        <v>9.18</v>
      </c>
      <c r="N2695" s="505" t="s">
        <v>1233</v>
      </c>
    </row>
    <row r="2696" spans="1:14" x14ac:dyDescent="0.25">
      <c r="A2696" s="505" t="s">
        <v>6656</v>
      </c>
      <c r="B2696" s="505" t="s">
        <v>6657</v>
      </c>
      <c r="C2696" s="512" t="s">
        <v>7796</v>
      </c>
      <c r="D2696" s="512" t="s">
        <v>7840</v>
      </c>
      <c r="E2696" s="512" t="s">
        <v>9744</v>
      </c>
      <c r="F2696" s="512" t="s">
        <v>8035</v>
      </c>
      <c r="G2696" s="512" t="s">
        <v>7802</v>
      </c>
      <c r="L2696" s="505" t="s">
        <v>1233</v>
      </c>
      <c r="M2696" s="516">
        <v>9.18</v>
      </c>
      <c r="N2696" s="505" t="s">
        <v>1233</v>
      </c>
    </row>
    <row r="2697" spans="1:14" x14ac:dyDescent="0.25">
      <c r="A2697" s="505" t="s">
        <v>6658</v>
      </c>
      <c r="B2697" s="505" t="s">
        <v>6659</v>
      </c>
      <c r="C2697" s="512" t="s">
        <v>7796</v>
      </c>
      <c r="D2697" s="512" t="s">
        <v>7840</v>
      </c>
      <c r="E2697" s="512" t="s">
        <v>9744</v>
      </c>
      <c r="F2697" s="512" t="s">
        <v>8035</v>
      </c>
      <c r="G2697" s="512" t="s">
        <v>7803</v>
      </c>
      <c r="L2697" s="505" t="s">
        <v>1233</v>
      </c>
      <c r="M2697" s="516">
        <v>9.18</v>
      </c>
      <c r="N2697" s="505" t="s">
        <v>1233</v>
      </c>
    </row>
    <row r="2698" spans="1:14" x14ac:dyDescent="0.25">
      <c r="A2698" s="505" t="s">
        <v>6660</v>
      </c>
      <c r="B2698" s="505" t="s">
        <v>6661</v>
      </c>
      <c r="C2698" s="512" t="s">
        <v>7796</v>
      </c>
      <c r="D2698" s="512" t="s">
        <v>7840</v>
      </c>
      <c r="E2698" s="512" t="s">
        <v>9744</v>
      </c>
      <c r="F2698" s="512" t="s">
        <v>8035</v>
      </c>
      <c r="G2698" s="512" t="s">
        <v>7804</v>
      </c>
      <c r="L2698" s="505" t="s">
        <v>1233</v>
      </c>
      <c r="M2698" s="516">
        <v>9.18</v>
      </c>
      <c r="N2698" s="505" t="s">
        <v>1233</v>
      </c>
    </row>
    <row r="2699" spans="1:14" x14ac:dyDescent="0.25">
      <c r="A2699" s="505" t="s">
        <v>6662</v>
      </c>
      <c r="B2699" s="505" t="s">
        <v>6663</v>
      </c>
      <c r="C2699" s="512" t="s">
        <v>7796</v>
      </c>
      <c r="D2699" s="512" t="s">
        <v>7840</v>
      </c>
      <c r="E2699" s="512" t="s">
        <v>9744</v>
      </c>
      <c r="F2699" s="512" t="s">
        <v>8037</v>
      </c>
      <c r="G2699" s="512" t="s">
        <v>9745</v>
      </c>
      <c r="L2699" s="505" t="s">
        <v>1233</v>
      </c>
      <c r="M2699" s="516">
        <v>12.55</v>
      </c>
      <c r="N2699" s="505" t="s">
        <v>1233</v>
      </c>
    </row>
    <row r="2700" spans="1:14" x14ac:dyDescent="0.25">
      <c r="A2700" s="505" t="s">
        <v>6664</v>
      </c>
      <c r="B2700" s="505" t="s">
        <v>6665</v>
      </c>
      <c r="C2700" s="512" t="s">
        <v>7796</v>
      </c>
      <c r="D2700" s="512" t="s">
        <v>7840</v>
      </c>
      <c r="E2700" s="512" t="s">
        <v>9744</v>
      </c>
      <c r="F2700" s="512" t="s">
        <v>8037</v>
      </c>
      <c r="G2700" s="512" t="s">
        <v>7802</v>
      </c>
      <c r="L2700" s="505" t="s">
        <v>1233</v>
      </c>
      <c r="M2700" s="516">
        <v>12.55</v>
      </c>
      <c r="N2700" s="505" t="s">
        <v>1233</v>
      </c>
    </row>
    <row r="2701" spans="1:14" x14ac:dyDescent="0.25">
      <c r="A2701" s="505" t="s">
        <v>6666</v>
      </c>
      <c r="B2701" s="505" t="s">
        <v>6667</v>
      </c>
      <c r="C2701" s="512" t="s">
        <v>7796</v>
      </c>
      <c r="D2701" s="512" t="s">
        <v>7840</v>
      </c>
      <c r="E2701" s="512" t="s">
        <v>9744</v>
      </c>
      <c r="F2701" s="512" t="s">
        <v>8037</v>
      </c>
      <c r="G2701" s="512" t="s">
        <v>7804</v>
      </c>
      <c r="L2701" s="505" t="s">
        <v>1233</v>
      </c>
      <c r="M2701" s="516">
        <v>12.55</v>
      </c>
      <c r="N2701" s="505" t="s">
        <v>1233</v>
      </c>
    </row>
    <row r="2702" spans="1:14" x14ac:dyDescent="0.25">
      <c r="A2702" s="505" t="s">
        <v>6668</v>
      </c>
      <c r="B2702" s="505" t="s">
        <v>6669</v>
      </c>
      <c r="C2702" s="512" t="s">
        <v>7796</v>
      </c>
      <c r="D2702" s="512" t="s">
        <v>9746</v>
      </c>
      <c r="E2702" s="512" t="s">
        <v>7808</v>
      </c>
      <c r="F2702" s="512" t="s">
        <v>8839</v>
      </c>
      <c r="G2702" s="512" t="s">
        <v>7784</v>
      </c>
      <c r="H2702" s="512" t="s">
        <v>7436</v>
      </c>
      <c r="L2702" s="505" t="s">
        <v>1233</v>
      </c>
      <c r="M2702" s="516">
        <v>4.24</v>
      </c>
      <c r="N2702" s="505" t="s">
        <v>1233</v>
      </c>
    </row>
    <row r="2703" spans="1:14" x14ac:dyDescent="0.25">
      <c r="A2703" s="505" t="s">
        <v>6670</v>
      </c>
      <c r="B2703" s="505" t="s">
        <v>6671</v>
      </c>
      <c r="C2703" s="512" t="s">
        <v>7796</v>
      </c>
      <c r="D2703" s="512" t="s">
        <v>9746</v>
      </c>
      <c r="E2703" s="512" t="s">
        <v>7808</v>
      </c>
      <c r="F2703" s="512" t="s">
        <v>8839</v>
      </c>
      <c r="G2703" s="512" t="s">
        <v>7784</v>
      </c>
      <c r="H2703" s="512" t="s">
        <v>9747</v>
      </c>
      <c r="L2703" s="505" t="s">
        <v>1233</v>
      </c>
      <c r="M2703" s="516">
        <v>4.24</v>
      </c>
      <c r="N2703" s="505" t="s">
        <v>1233</v>
      </c>
    </row>
    <row r="2704" spans="1:14" x14ac:dyDescent="0.25">
      <c r="A2704" s="505" t="s">
        <v>6672</v>
      </c>
      <c r="B2704" s="505" t="s">
        <v>6673</v>
      </c>
      <c r="C2704" s="512" t="s">
        <v>7796</v>
      </c>
      <c r="D2704" s="512" t="s">
        <v>9746</v>
      </c>
      <c r="E2704" s="512" t="s">
        <v>7808</v>
      </c>
      <c r="F2704" s="512" t="s">
        <v>8839</v>
      </c>
      <c r="G2704" s="512" t="s">
        <v>7784</v>
      </c>
      <c r="H2704" s="512" t="s">
        <v>7802</v>
      </c>
      <c r="L2704" s="505" t="s">
        <v>1233</v>
      </c>
      <c r="M2704" s="516">
        <v>4.24</v>
      </c>
      <c r="N2704" s="505" t="s">
        <v>1233</v>
      </c>
    </row>
    <row r="2705" spans="1:14" x14ac:dyDescent="0.25">
      <c r="A2705" s="505" t="s">
        <v>6674</v>
      </c>
      <c r="B2705" s="505" t="s">
        <v>6675</v>
      </c>
      <c r="C2705" s="512" t="s">
        <v>9748</v>
      </c>
      <c r="D2705" s="512" t="s">
        <v>9749</v>
      </c>
      <c r="E2705" s="512" t="s">
        <v>9468</v>
      </c>
      <c r="F2705" s="512" t="s">
        <v>9750</v>
      </c>
      <c r="G2705" s="512" t="s">
        <v>9751</v>
      </c>
      <c r="H2705" s="512" t="s">
        <v>9752</v>
      </c>
      <c r="L2705" s="505" t="s">
        <v>1178</v>
      </c>
      <c r="M2705" s="516">
        <v>2.69</v>
      </c>
      <c r="N2705" s="505" t="s">
        <v>1178</v>
      </c>
    </row>
    <row r="2706" spans="1:14" x14ac:dyDescent="0.25">
      <c r="A2706" s="505" t="s">
        <v>6676</v>
      </c>
      <c r="B2706" s="505" t="s">
        <v>6677</v>
      </c>
      <c r="C2706" s="512" t="s">
        <v>9748</v>
      </c>
      <c r="D2706" s="512" t="s">
        <v>9749</v>
      </c>
      <c r="E2706" s="512" t="s">
        <v>9468</v>
      </c>
      <c r="F2706" s="512" t="s">
        <v>9750</v>
      </c>
      <c r="G2706" s="512" t="s">
        <v>9751</v>
      </c>
      <c r="H2706" s="512" t="s">
        <v>9753</v>
      </c>
      <c r="L2706" s="505" t="s">
        <v>1178</v>
      </c>
      <c r="M2706" s="516">
        <v>2.69</v>
      </c>
      <c r="N2706" s="505" t="s">
        <v>1178</v>
      </c>
    </row>
    <row r="2707" spans="1:14" x14ac:dyDescent="0.25">
      <c r="A2707" s="505" t="s">
        <v>6678</v>
      </c>
      <c r="B2707" s="505" t="s">
        <v>6679</v>
      </c>
      <c r="C2707" s="512" t="s">
        <v>9748</v>
      </c>
      <c r="D2707" s="512" t="s">
        <v>9749</v>
      </c>
      <c r="E2707" s="512" t="s">
        <v>9468</v>
      </c>
      <c r="F2707" s="512" t="s">
        <v>9750</v>
      </c>
      <c r="G2707" s="512" t="s">
        <v>9547</v>
      </c>
      <c r="H2707" s="512" t="s">
        <v>9754</v>
      </c>
      <c r="L2707" s="505" t="s">
        <v>1178</v>
      </c>
      <c r="M2707" s="516">
        <v>2.69</v>
      </c>
      <c r="N2707" s="505" t="s">
        <v>1178</v>
      </c>
    </row>
    <row r="2708" spans="1:14" x14ac:dyDescent="0.25">
      <c r="A2708" s="505" t="s">
        <v>6680</v>
      </c>
      <c r="B2708" s="505" t="s">
        <v>6681</v>
      </c>
      <c r="C2708" s="512" t="s">
        <v>7762</v>
      </c>
      <c r="D2708" s="512" t="s">
        <v>9749</v>
      </c>
      <c r="E2708" s="512" t="s">
        <v>9755</v>
      </c>
      <c r="F2708" s="512" t="s">
        <v>8463</v>
      </c>
      <c r="G2708" s="512" t="s">
        <v>7782</v>
      </c>
      <c r="H2708" s="512" t="s">
        <v>9750</v>
      </c>
      <c r="I2708" s="512" t="s">
        <v>9756</v>
      </c>
      <c r="L2708" s="505" t="s">
        <v>1178</v>
      </c>
      <c r="M2708" s="516">
        <v>269.5</v>
      </c>
      <c r="N2708" s="505" t="s">
        <v>1178</v>
      </c>
    </row>
    <row r="2709" spans="1:14" x14ac:dyDescent="0.25">
      <c r="A2709" s="505" t="s">
        <v>6682</v>
      </c>
      <c r="B2709" s="505" t="s">
        <v>6683</v>
      </c>
      <c r="C2709" s="512" t="s">
        <v>7762</v>
      </c>
      <c r="D2709" s="512" t="s">
        <v>9749</v>
      </c>
      <c r="E2709" s="512" t="s">
        <v>9755</v>
      </c>
      <c r="F2709" s="512" t="s">
        <v>8463</v>
      </c>
      <c r="G2709" s="512" t="s">
        <v>7782</v>
      </c>
      <c r="H2709" s="512" t="s">
        <v>9750</v>
      </c>
      <c r="I2709" s="512" t="s">
        <v>9757</v>
      </c>
      <c r="L2709" s="505" t="s">
        <v>1178</v>
      </c>
      <c r="M2709" s="516">
        <v>269.5</v>
      </c>
      <c r="N2709" s="505" t="s">
        <v>1178</v>
      </c>
    </row>
    <row r="2710" spans="1:14" x14ac:dyDescent="0.25">
      <c r="A2710" s="505" t="s">
        <v>6684</v>
      </c>
      <c r="B2710" s="505" t="s">
        <v>6685</v>
      </c>
      <c r="C2710" s="512" t="s">
        <v>7762</v>
      </c>
      <c r="D2710" s="512" t="s">
        <v>9749</v>
      </c>
      <c r="E2710" s="512" t="s">
        <v>9755</v>
      </c>
      <c r="F2710" s="512" t="s">
        <v>8463</v>
      </c>
      <c r="G2710" s="512" t="s">
        <v>7782</v>
      </c>
      <c r="H2710" s="512" t="s">
        <v>9750</v>
      </c>
      <c r="I2710" s="512" t="s">
        <v>7768</v>
      </c>
      <c r="L2710" s="505" t="s">
        <v>1178</v>
      </c>
      <c r="M2710" s="516">
        <v>269.5</v>
      </c>
      <c r="N2710" s="505" t="s">
        <v>1178</v>
      </c>
    </row>
    <row r="2711" spans="1:14" x14ac:dyDescent="0.25">
      <c r="A2711" s="505" t="s">
        <v>6686</v>
      </c>
      <c r="B2711" s="505" t="s">
        <v>6687</v>
      </c>
      <c r="C2711" s="512" t="s">
        <v>7762</v>
      </c>
      <c r="D2711" s="512" t="s">
        <v>9749</v>
      </c>
      <c r="E2711" s="512" t="s">
        <v>9755</v>
      </c>
      <c r="F2711" s="512" t="s">
        <v>8463</v>
      </c>
      <c r="G2711" s="512" t="s">
        <v>7782</v>
      </c>
      <c r="H2711" s="512" t="s">
        <v>9750</v>
      </c>
      <c r="I2711" s="512" t="s">
        <v>144</v>
      </c>
      <c r="L2711" s="505" t="s">
        <v>1178</v>
      </c>
      <c r="M2711" s="516">
        <v>269.5</v>
      </c>
      <c r="N2711" s="505" t="s">
        <v>1178</v>
      </c>
    </row>
    <row r="2712" spans="1:14" x14ac:dyDescent="0.25">
      <c r="A2712" s="505" t="s">
        <v>6688</v>
      </c>
      <c r="B2712" s="505" t="s">
        <v>6689</v>
      </c>
      <c r="C2712" s="512" t="s">
        <v>7762</v>
      </c>
      <c r="D2712" s="512" t="s">
        <v>9749</v>
      </c>
      <c r="E2712" s="512" t="s">
        <v>9755</v>
      </c>
      <c r="F2712" s="512" t="s">
        <v>8463</v>
      </c>
      <c r="G2712" s="512" t="s">
        <v>7782</v>
      </c>
      <c r="H2712" s="512" t="s">
        <v>9750</v>
      </c>
      <c r="I2712" s="512" t="s">
        <v>9730</v>
      </c>
      <c r="L2712" s="505" t="s">
        <v>1178</v>
      </c>
      <c r="M2712" s="516">
        <v>269.5</v>
      </c>
      <c r="N2712" s="505" t="s">
        <v>1178</v>
      </c>
    </row>
    <row r="2713" spans="1:14" x14ac:dyDescent="0.25">
      <c r="A2713" s="505" t="s">
        <v>6690</v>
      </c>
      <c r="B2713" s="505" t="s">
        <v>6691</v>
      </c>
      <c r="C2713" s="512" t="s">
        <v>7762</v>
      </c>
      <c r="D2713" s="512" t="s">
        <v>9749</v>
      </c>
      <c r="E2713" s="512" t="s">
        <v>9755</v>
      </c>
      <c r="F2713" s="512" t="s">
        <v>8463</v>
      </c>
      <c r="G2713" s="512" t="s">
        <v>7782</v>
      </c>
      <c r="H2713" s="512" t="s">
        <v>9750</v>
      </c>
      <c r="I2713" s="512" t="s">
        <v>477</v>
      </c>
      <c r="L2713" s="505" t="s">
        <v>1178</v>
      </c>
      <c r="M2713" s="516">
        <v>269.5</v>
      </c>
      <c r="N2713" s="505" t="s">
        <v>1178</v>
      </c>
    </row>
    <row r="2714" spans="1:14" x14ac:dyDescent="0.25">
      <c r="A2714" s="505" t="s">
        <v>6692</v>
      </c>
      <c r="B2714" s="505" t="s">
        <v>6693</v>
      </c>
      <c r="C2714" s="512" t="s">
        <v>7762</v>
      </c>
      <c r="D2714" s="512" t="s">
        <v>9749</v>
      </c>
      <c r="E2714" s="512" t="s">
        <v>9755</v>
      </c>
      <c r="F2714" s="512" t="s">
        <v>8463</v>
      </c>
      <c r="G2714" s="512" t="s">
        <v>7782</v>
      </c>
      <c r="H2714" s="512" t="s">
        <v>9750</v>
      </c>
      <c r="I2714" s="512" t="s">
        <v>7770</v>
      </c>
      <c r="L2714" s="505" t="s">
        <v>1178</v>
      </c>
      <c r="M2714" s="516">
        <v>269.5</v>
      </c>
      <c r="N2714" s="505" t="s">
        <v>1178</v>
      </c>
    </row>
    <row r="2715" spans="1:14" x14ac:dyDescent="0.25">
      <c r="A2715" s="505" t="s">
        <v>6694</v>
      </c>
      <c r="B2715" s="505" t="s">
        <v>6695</v>
      </c>
      <c r="C2715" s="512" t="s">
        <v>7762</v>
      </c>
      <c r="D2715" s="512" t="s">
        <v>9749</v>
      </c>
      <c r="E2715" s="512" t="s">
        <v>9755</v>
      </c>
      <c r="F2715" s="512" t="s">
        <v>8463</v>
      </c>
      <c r="G2715" s="512" t="s">
        <v>7782</v>
      </c>
      <c r="H2715" s="512" t="s">
        <v>9750</v>
      </c>
      <c r="I2715" s="512" t="s">
        <v>7772</v>
      </c>
      <c r="L2715" s="505" t="s">
        <v>1178</v>
      </c>
      <c r="M2715" s="516">
        <v>269.5</v>
      </c>
      <c r="N2715" s="505" t="s">
        <v>1178</v>
      </c>
    </row>
    <row r="2716" spans="1:14" x14ac:dyDescent="0.25">
      <c r="A2716" s="505" t="s">
        <v>6696</v>
      </c>
      <c r="B2716" s="505" t="s">
        <v>6697</v>
      </c>
      <c r="C2716" s="512" t="s">
        <v>7762</v>
      </c>
      <c r="D2716" s="512" t="s">
        <v>9749</v>
      </c>
      <c r="E2716" s="512" t="s">
        <v>9755</v>
      </c>
      <c r="F2716" s="512" t="s">
        <v>8463</v>
      </c>
      <c r="G2716" s="512" t="s">
        <v>7782</v>
      </c>
      <c r="H2716" s="512" t="s">
        <v>9750</v>
      </c>
      <c r="I2716" s="512" t="s">
        <v>7773</v>
      </c>
      <c r="L2716" s="505" t="s">
        <v>1178</v>
      </c>
      <c r="M2716" s="516">
        <v>269.5</v>
      </c>
      <c r="N2716" s="505" t="s">
        <v>1178</v>
      </c>
    </row>
    <row r="2717" spans="1:14" x14ac:dyDescent="0.25">
      <c r="A2717" s="505" t="s">
        <v>6698</v>
      </c>
      <c r="B2717" s="505" t="s">
        <v>6699</v>
      </c>
      <c r="C2717" s="512" t="s">
        <v>7762</v>
      </c>
      <c r="D2717" s="512" t="s">
        <v>9749</v>
      </c>
      <c r="E2717" s="512" t="s">
        <v>9755</v>
      </c>
      <c r="F2717" s="512" t="s">
        <v>8463</v>
      </c>
      <c r="G2717" s="512" t="s">
        <v>7782</v>
      </c>
      <c r="H2717" s="512" t="s">
        <v>9750</v>
      </c>
      <c r="I2717" s="512" t="s">
        <v>524</v>
      </c>
      <c r="L2717" s="505" t="s">
        <v>1178</v>
      </c>
      <c r="M2717" s="516">
        <v>269.5</v>
      </c>
      <c r="N2717" s="505" t="s">
        <v>1178</v>
      </c>
    </row>
    <row r="2718" spans="1:14" x14ac:dyDescent="0.25">
      <c r="A2718" s="505" t="s">
        <v>6700</v>
      </c>
      <c r="B2718" s="505" t="s">
        <v>6701</v>
      </c>
      <c r="C2718" s="512" t="s">
        <v>7762</v>
      </c>
      <c r="D2718" s="512" t="s">
        <v>9749</v>
      </c>
      <c r="E2718" s="512" t="s">
        <v>9755</v>
      </c>
      <c r="F2718" s="512" t="s">
        <v>8463</v>
      </c>
      <c r="G2718" s="512" t="s">
        <v>7782</v>
      </c>
      <c r="H2718" s="512" t="s">
        <v>9750</v>
      </c>
      <c r="I2718" s="512" t="s">
        <v>363</v>
      </c>
      <c r="L2718" s="505" t="s">
        <v>1178</v>
      </c>
      <c r="M2718" s="516">
        <v>269.5</v>
      </c>
      <c r="N2718" s="505" t="s">
        <v>1178</v>
      </c>
    </row>
    <row r="2719" spans="1:14" x14ac:dyDescent="0.25">
      <c r="A2719" s="505" t="s">
        <v>6702</v>
      </c>
      <c r="B2719" s="505" t="s">
        <v>6703</v>
      </c>
      <c r="C2719" s="512" t="s">
        <v>7762</v>
      </c>
      <c r="D2719" s="512" t="s">
        <v>9749</v>
      </c>
      <c r="E2719" s="512" t="s">
        <v>9755</v>
      </c>
      <c r="F2719" s="512" t="s">
        <v>8463</v>
      </c>
      <c r="G2719" s="512" t="s">
        <v>7782</v>
      </c>
      <c r="H2719" s="512" t="s">
        <v>9750</v>
      </c>
      <c r="I2719" s="512" t="s">
        <v>9758</v>
      </c>
      <c r="L2719" s="505" t="s">
        <v>1178</v>
      </c>
      <c r="M2719" s="516">
        <v>269.5</v>
      </c>
      <c r="N2719" s="505" t="s">
        <v>1178</v>
      </c>
    </row>
    <row r="2720" spans="1:14" x14ac:dyDescent="0.25">
      <c r="A2720" s="505" t="s">
        <v>6704</v>
      </c>
      <c r="B2720" s="505" t="s">
        <v>6705</v>
      </c>
      <c r="C2720" s="512" t="s">
        <v>7762</v>
      </c>
      <c r="D2720" s="512" t="s">
        <v>9749</v>
      </c>
      <c r="E2720" s="512" t="s">
        <v>9755</v>
      </c>
      <c r="F2720" s="512" t="s">
        <v>8463</v>
      </c>
      <c r="G2720" s="512" t="s">
        <v>7782</v>
      </c>
      <c r="H2720" s="512" t="s">
        <v>9750</v>
      </c>
      <c r="I2720" s="512" t="s">
        <v>7776</v>
      </c>
      <c r="L2720" s="505" t="s">
        <v>1178</v>
      </c>
      <c r="M2720" s="516">
        <v>269.5</v>
      </c>
      <c r="N2720" s="505" t="s">
        <v>1178</v>
      </c>
    </row>
    <row r="2721" spans="1:14" x14ac:dyDescent="0.25">
      <c r="A2721" s="505" t="s">
        <v>6706</v>
      </c>
      <c r="B2721" s="505" t="s">
        <v>6707</v>
      </c>
      <c r="C2721" s="512" t="s">
        <v>7762</v>
      </c>
      <c r="D2721" s="512" t="s">
        <v>9749</v>
      </c>
      <c r="E2721" s="512" t="s">
        <v>9755</v>
      </c>
      <c r="F2721" s="512" t="s">
        <v>8463</v>
      </c>
      <c r="G2721" s="512" t="s">
        <v>7782</v>
      </c>
      <c r="H2721" s="512" t="s">
        <v>9750</v>
      </c>
      <c r="I2721" s="512" t="s">
        <v>134</v>
      </c>
      <c r="L2721" s="505" t="s">
        <v>1178</v>
      </c>
      <c r="M2721" s="516">
        <v>269.5</v>
      </c>
      <c r="N2721" s="505" t="s">
        <v>1178</v>
      </c>
    </row>
    <row r="2722" spans="1:14" x14ac:dyDescent="0.25">
      <c r="A2722" s="505" t="s">
        <v>6708</v>
      </c>
      <c r="B2722" s="505" t="s">
        <v>6709</v>
      </c>
      <c r="C2722" s="512" t="s">
        <v>7762</v>
      </c>
      <c r="D2722" s="512" t="s">
        <v>9749</v>
      </c>
      <c r="E2722" s="512" t="s">
        <v>9755</v>
      </c>
      <c r="F2722" s="512" t="s">
        <v>8463</v>
      </c>
      <c r="G2722" s="512" t="s">
        <v>7782</v>
      </c>
      <c r="H2722" s="512" t="s">
        <v>9750</v>
      </c>
      <c r="I2722" s="512" t="s">
        <v>133</v>
      </c>
      <c r="L2722" s="505" t="s">
        <v>1178</v>
      </c>
      <c r="M2722" s="516">
        <v>269.5</v>
      </c>
      <c r="N2722" s="505" t="s">
        <v>1178</v>
      </c>
    </row>
    <row r="2723" spans="1:14" x14ac:dyDescent="0.25">
      <c r="A2723" s="505" t="s">
        <v>6710</v>
      </c>
      <c r="B2723" s="505" t="s">
        <v>6711</v>
      </c>
      <c r="C2723" s="512" t="s">
        <v>7762</v>
      </c>
      <c r="D2723" s="512" t="s">
        <v>9749</v>
      </c>
      <c r="E2723" s="512" t="s">
        <v>9755</v>
      </c>
      <c r="F2723" s="512" t="s">
        <v>8463</v>
      </c>
      <c r="G2723" s="512" t="s">
        <v>7782</v>
      </c>
      <c r="H2723" s="512" t="s">
        <v>9750</v>
      </c>
      <c r="I2723" s="512" t="s">
        <v>7777</v>
      </c>
      <c r="J2723" s="505" t="s">
        <v>7778</v>
      </c>
      <c r="L2723" s="505" t="s">
        <v>1178</v>
      </c>
      <c r="M2723" s="516">
        <v>269.5</v>
      </c>
      <c r="N2723" s="505" t="s">
        <v>1178</v>
      </c>
    </row>
    <row r="2724" spans="1:14" x14ac:dyDescent="0.25">
      <c r="A2724" s="505" t="s">
        <v>6712</v>
      </c>
      <c r="B2724" s="505" t="s">
        <v>6713</v>
      </c>
      <c r="C2724" s="512" t="s">
        <v>7762</v>
      </c>
      <c r="D2724" s="512" t="s">
        <v>9749</v>
      </c>
      <c r="E2724" s="512" t="s">
        <v>9755</v>
      </c>
      <c r="F2724" s="512" t="s">
        <v>8463</v>
      </c>
      <c r="G2724" s="512" t="s">
        <v>7782</v>
      </c>
      <c r="H2724" s="512" t="s">
        <v>9750</v>
      </c>
      <c r="I2724" s="512" t="s">
        <v>510</v>
      </c>
      <c r="L2724" s="505" t="s">
        <v>1178</v>
      </c>
      <c r="M2724" s="516">
        <v>269.5</v>
      </c>
      <c r="N2724" s="505" t="s">
        <v>1178</v>
      </c>
    </row>
    <row r="2725" spans="1:14" x14ac:dyDescent="0.25">
      <c r="A2725" s="505" t="s">
        <v>6714</v>
      </c>
      <c r="B2725" s="505" t="s">
        <v>6715</v>
      </c>
      <c r="C2725" s="512" t="s">
        <v>7762</v>
      </c>
      <c r="D2725" s="512" t="s">
        <v>9749</v>
      </c>
      <c r="E2725" s="512" t="s">
        <v>9755</v>
      </c>
      <c r="F2725" s="512" t="s">
        <v>8463</v>
      </c>
      <c r="G2725" s="512" t="s">
        <v>7782</v>
      </c>
      <c r="H2725" s="512" t="s">
        <v>9750</v>
      </c>
      <c r="I2725" s="512" t="s">
        <v>9759</v>
      </c>
      <c r="L2725" s="505" t="s">
        <v>1178</v>
      </c>
      <c r="M2725" s="516">
        <v>269.5</v>
      </c>
      <c r="N2725" s="505" t="s">
        <v>1178</v>
      </c>
    </row>
    <row r="2726" spans="1:14" x14ac:dyDescent="0.25">
      <c r="A2726" s="505" t="s">
        <v>6716</v>
      </c>
      <c r="B2726" s="505" t="s">
        <v>6717</v>
      </c>
      <c r="C2726" s="512" t="s">
        <v>7762</v>
      </c>
      <c r="D2726" s="512" t="s">
        <v>9749</v>
      </c>
      <c r="E2726" s="512" t="s">
        <v>9755</v>
      </c>
      <c r="F2726" s="512" t="s">
        <v>8463</v>
      </c>
      <c r="G2726" s="512" t="s">
        <v>7782</v>
      </c>
      <c r="H2726" s="512" t="s">
        <v>9750</v>
      </c>
      <c r="I2726" s="512" t="s">
        <v>137</v>
      </c>
      <c r="L2726" s="505" t="s">
        <v>1178</v>
      </c>
      <c r="M2726" s="516">
        <v>269.5</v>
      </c>
      <c r="N2726" s="505" t="s">
        <v>1178</v>
      </c>
    </row>
    <row r="2727" spans="1:14" x14ac:dyDescent="0.25">
      <c r="A2727" s="505" t="s">
        <v>6718</v>
      </c>
      <c r="B2727" s="505" t="s">
        <v>6719</v>
      </c>
      <c r="C2727" s="512" t="s">
        <v>7762</v>
      </c>
      <c r="D2727" s="512" t="s">
        <v>9749</v>
      </c>
      <c r="E2727" s="512" t="s">
        <v>9755</v>
      </c>
      <c r="F2727" s="512" t="s">
        <v>8463</v>
      </c>
      <c r="G2727" s="512" t="s">
        <v>7782</v>
      </c>
      <c r="H2727" s="512" t="s">
        <v>9750</v>
      </c>
      <c r="I2727" s="512" t="s">
        <v>9532</v>
      </c>
      <c r="L2727" s="505" t="s">
        <v>1178</v>
      </c>
      <c r="M2727" s="516">
        <v>269.5</v>
      </c>
      <c r="N2727" s="505" t="s">
        <v>1178</v>
      </c>
    </row>
    <row r="2728" spans="1:14" x14ac:dyDescent="0.25">
      <c r="A2728" s="505" t="s">
        <v>6720</v>
      </c>
      <c r="B2728" s="505" t="s">
        <v>6721</v>
      </c>
      <c r="C2728" s="512" t="s">
        <v>7762</v>
      </c>
      <c r="D2728" s="512" t="s">
        <v>9749</v>
      </c>
      <c r="E2728" s="512" t="s">
        <v>9760</v>
      </c>
      <c r="F2728" s="512" t="s">
        <v>8463</v>
      </c>
      <c r="G2728" s="512" t="s">
        <v>7797</v>
      </c>
      <c r="H2728" s="512" t="s">
        <v>9750</v>
      </c>
      <c r="I2728" s="512" t="s">
        <v>7721</v>
      </c>
      <c r="L2728" s="505" t="s">
        <v>1178</v>
      </c>
      <c r="M2728" s="516">
        <v>269.5</v>
      </c>
      <c r="N2728" s="505" t="s">
        <v>1178</v>
      </c>
    </row>
    <row r="2729" spans="1:14" x14ac:dyDescent="0.25">
      <c r="A2729" s="505" t="s">
        <v>6722</v>
      </c>
      <c r="B2729" s="505" t="s">
        <v>6723</v>
      </c>
      <c r="C2729" s="512" t="s">
        <v>7762</v>
      </c>
      <c r="D2729" s="512" t="s">
        <v>9749</v>
      </c>
      <c r="E2729" s="512" t="s">
        <v>9761</v>
      </c>
      <c r="F2729" s="512" t="s">
        <v>9468</v>
      </c>
      <c r="G2729" s="512" t="s">
        <v>7797</v>
      </c>
      <c r="H2729" s="512" t="s">
        <v>9750</v>
      </c>
      <c r="I2729" s="512" t="s">
        <v>9275</v>
      </c>
      <c r="L2729" s="505" t="s">
        <v>1178</v>
      </c>
      <c r="M2729" s="516">
        <v>294</v>
      </c>
      <c r="N2729" s="505" t="s">
        <v>1178</v>
      </c>
    </row>
    <row r="2730" spans="1:14" x14ac:dyDescent="0.25">
      <c r="A2730" s="505" t="s">
        <v>6724</v>
      </c>
      <c r="B2730" s="505" t="s">
        <v>6725</v>
      </c>
      <c r="C2730" s="512" t="s">
        <v>7762</v>
      </c>
      <c r="D2730" s="512" t="s">
        <v>9749</v>
      </c>
      <c r="E2730" s="512" t="s">
        <v>9761</v>
      </c>
      <c r="F2730" s="512" t="s">
        <v>9468</v>
      </c>
      <c r="G2730" s="512" t="s">
        <v>7797</v>
      </c>
      <c r="H2730" s="512" t="s">
        <v>9750</v>
      </c>
      <c r="I2730" s="512" t="s">
        <v>9762</v>
      </c>
      <c r="L2730" s="505" t="s">
        <v>1178</v>
      </c>
      <c r="M2730" s="516">
        <v>294</v>
      </c>
      <c r="N2730" s="505" t="s">
        <v>1178</v>
      </c>
    </row>
    <row r="2731" spans="1:14" x14ac:dyDescent="0.25">
      <c r="A2731" s="505" t="s">
        <v>6726</v>
      </c>
      <c r="B2731" s="505" t="s">
        <v>6727</v>
      </c>
      <c r="C2731" s="512" t="s">
        <v>7762</v>
      </c>
      <c r="D2731" s="512" t="s">
        <v>9749</v>
      </c>
      <c r="E2731" s="512" t="s">
        <v>9761</v>
      </c>
      <c r="F2731" s="512" t="s">
        <v>9468</v>
      </c>
      <c r="G2731" s="512" t="s">
        <v>7797</v>
      </c>
      <c r="H2731" s="512" t="s">
        <v>9750</v>
      </c>
      <c r="I2731" s="512" t="s">
        <v>8975</v>
      </c>
      <c r="L2731" s="505" t="s">
        <v>1178</v>
      </c>
      <c r="M2731" s="516">
        <v>294</v>
      </c>
      <c r="N2731" s="505" t="s">
        <v>1178</v>
      </c>
    </row>
    <row r="2732" spans="1:14" x14ac:dyDescent="0.25">
      <c r="A2732" s="505" t="s">
        <v>6728</v>
      </c>
      <c r="B2732" s="505" t="s">
        <v>6729</v>
      </c>
      <c r="C2732" s="512" t="s">
        <v>7762</v>
      </c>
      <c r="D2732" s="512" t="s">
        <v>9749</v>
      </c>
      <c r="E2732" s="512" t="s">
        <v>9761</v>
      </c>
      <c r="F2732" s="512" t="s">
        <v>9468</v>
      </c>
      <c r="G2732" s="512" t="s">
        <v>7797</v>
      </c>
      <c r="H2732" s="512" t="s">
        <v>9750</v>
      </c>
      <c r="I2732" s="512" t="s">
        <v>7800</v>
      </c>
      <c r="L2732" s="505" t="s">
        <v>1178</v>
      </c>
      <c r="M2732" s="516">
        <v>294</v>
      </c>
      <c r="N2732" s="505" t="s">
        <v>1178</v>
      </c>
    </row>
    <row r="2733" spans="1:14" x14ac:dyDescent="0.25">
      <c r="A2733" s="505" t="s">
        <v>6730</v>
      </c>
      <c r="B2733" s="505" t="s">
        <v>6731</v>
      </c>
      <c r="C2733" s="512" t="s">
        <v>7762</v>
      </c>
      <c r="D2733" s="512" t="s">
        <v>9749</v>
      </c>
      <c r="E2733" s="512" t="s">
        <v>9761</v>
      </c>
      <c r="F2733" s="512" t="s">
        <v>9468</v>
      </c>
      <c r="G2733" s="512" t="s">
        <v>7797</v>
      </c>
      <c r="H2733" s="512" t="s">
        <v>9750</v>
      </c>
      <c r="I2733" s="512" t="s">
        <v>7714</v>
      </c>
      <c r="L2733" s="505" t="s">
        <v>1178</v>
      </c>
      <c r="M2733" s="516">
        <v>294</v>
      </c>
      <c r="N2733" s="505" t="s">
        <v>1178</v>
      </c>
    </row>
    <row r="2734" spans="1:14" x14ac:dyDescent="0.25">
      <c r="A2734" s="505" t="s">
        <v>6732</v>
      </c>
      <c r="B2734" s="505" t="s">
        <v>6733</v>
      </c>
      <c r="C2734" s="512" t="s">
        <v>7762</v>
      </c>
      <c r="D2734" s="512" t="s">
        <v>9749</v>
      </c>
      <c r="E2734" s="512" t="s">
        <v>9761</v>
      </c>
      <c r="F2734" s="512" t="s">
        <v>9468</v>
      </c>
      <c r="G2734" s="512" t="s">
        <v>7797</v>
      </c>
      <c r="H2734" s="512" t="s">
        <v>9750</v>
      </c>
      <c r="I2734" s="512" t="s">
        <v>7881</v>
      </c>
      <c r="L2734" s="505" t="s">
        <v>1178</v>
      </c>
      <c r="M2734" s="516">
        <v>294</v>
      </c>
      <c r="N2734" s="505" t="s">
        <v>1178</v>
      </c>
    </row>
    <row r="2735" spans="1:14" x14ac:dyDescent="0.25">
      <c r="A2735" s="505" t="s">
        <v>6734</v>
      </c>
      <c r="B2735" s="505" t="s">
        <v>6735</v>
      </c>
      <c r="C2735" s="512" t="s">
        <v>7762</v>
      </c>
      <c r="D2735" s="512" t="s">
        <v>9749</v>
      </c>
      <c r="E2735" s="512" t="s">
        <v>9761</v>
      </c>
      <c r="F2735" s="512" t="s">
        <v>9468</v>
      </c>
      <c r="G2735" s="512" t="s">
        <v>7797</v>
      </c>
      <c r="H2735" s="512" t="s">
        <v>9750</v>
      </c>
      <c r="I2735" s="512" t="s">
        <v>8977</v>
      </c>
      <c r="L2735" s="505" t="s">
        <v>1178</v>
      </c>
      <c r="M2735" s="516">
        <v>294</v>
      </c>
      <c r="N2735" s="505" t="s">
        <v>1178</v>
      </c>
    </row>
    <row r="2736" spans="1:14" x14ac:dyDescent="0.25">
      <c r="A2736" s="505" t="s">
        <v>6736</v>
      </c>
      <c r="B2736" s="505" t="s">
        <v>6737</v>
      </c>
      <c r="C2736" s="512" t="s">
        <v>7762</v>
      </c>
      <c r="D2736" s="512" t="s">
        <v>9749</v>
      </c>
      <c r="E2736" s="512" t="s">
        <v>9761</v>
      </c>
      <c r="F2736" s="512" t="s">
        <v>9468</v>
      </c>
      <c r="G2736" s="512" t="s">
        <v>7797</v>
      </c>
      <c r="H2736" s="512" t="s">
        <v>9750</v>
      </c>
      <c r="I2736" s="512" t="s">
        <v>9763</v>
      </c>
      <c r="L2736" s="505" t="s">
        <v>1178</v>
      </c>
      <c r="M2736" s="516">
        <v>294</v>
      </c>
      <c r="N2736" s="505" t="s">
        <v>1178</v>
      </c>
    </row>
    <row r="2737" spans="1:14" x14ac:dyDescent="0.25">
      <c r="A2737" s="505" t="s">
        <v>6738</v>
      </c>
      <c r="B2737" s="505" t="s">
        <v>6739</v>
      </c>
      <c r="C2737" s="512" t="s">
        <v>7762</v>
      </c>
      <c r="D2737" s="512" t="s">
        <v>9749</v>
      </c>
      <c r="E2737" s="512" t="s">
        <v>9761</v>
      </c>
      <c r="F2737" s="512" t="s">
        <v>9468</v>
      </c>
      <c r="G2737" s="512" t="s">
        <v>7797</v>
      </c>
      <c r="H2737" s="512" t="s">
        <v>9750</v>
      </c>
      <c r="I2737" s="512" t="s">
        <v>8385</v>
      </c>
      <c r="L2737" s="505" t="s">
        <v>1178</v>
      </c>
      <c r="M2737" s="516">
        <v>294</v>
      </c>
      <c r="N2737" s="505" t="s">
        <v>1178</v>
      </c>
    </row>
    <row r="2738" spans="1:14" x14ac:dyDescent="0.25">
      <c r="A2738" s="505" t="s">
        <v>6740</v>
      </c>
      <c r="B2738" s="505" t="s">
        <v>6741</v>
      </c>
      <c r="C2738" s="512" t="s">
        <v>7762</v>
      </c>
      <c r="D2738" s="512" t="s">
        <v>9749</v>
      </c>
      <c r="E2738" s="512" t="s">
        <v>9761</v>
      </c>
      <c r="F2738" s="512" t="s">
        <v>9468</v>
      </c>
      <c r="G2738" s="512" t="s">
        <v>7797</v>
      </c>
      <c r="H2738" s="512" t="s">
        <v>9750</v>
      </c>
      <c r="I2738" s="512" t="s">
        <v>7454</v>
      </c>
      <c r="L2738" s="505" t="s">
        <v>1178</v>
      </c>
      <c r="M2738" s="516">
        <v>294</v>
      </c>
      <c r="N2738" s="505" t="s">
        <v>1178</v>
      </c>
    </row>
    <row r="2739" spans="1:14" x14ac:dyDescent="0.25">
      <c r="A2739" s="505" t="s">
        <v>6742</v>
      </c>
      <c r="B2739" s="505" t="s">
        <v>6743</v>
      </c>
      <c r="C2739" s="512" t="s">
        <v>7762</v>
      </c>
      <c r="D2739" s="512" t="s">
        <v>9749</v>
      </c>
      <c r="E2739" s="512" t="s">
        <v>9761</v>
      </c>
      <c r="F2739" s="512" t="s">
        <v>9468</v>
      </c>
      <c r="G2739" s="512" t="s">
        <v>7797</v>
      </c>
      <c r="H2739" s="512" t="s">
        <v>9750</v>
      </c>
      <c r="I2739" s="512" t="s">
        <v>7433</v>
      </c>
      <c r="L2739" s="505" t="s">
        <v>1178</v>
      </c>
      <c r="M2739" s="516">
        <v>294</v>
      </c>
      <c r="N2739" s="505" t="s">
        <v>1178</v>
      </c>
    </row>
    <row r="2740" spans="1:14" x14ac:dyDescent="0.25">
      <c r="A2740" s="505" t="s">
        <v>6744</v>
      </c>
      <c r="B2740" s="505" t="s">
        <v>6745</v>
      </c>
      <c r="C2740" s="512" t="s">
        <v>7762</v>
      </c>
      <c r="D2740" s="512" t="s">
        <v>9749</v>
      </c>
      <c r="E2740" s="512" t="s">
        <v>9761</v>
      </c>
      <c r="F2740" s="512" t="s">
        <v>9468</v>
      </c>
      <c r="G2740" s="512" t="s">
        <v>7797</v>
      </c>
      <c r="H2740" s="512" t="s">
        <v>9750</v>
      </c>
      <c r="I2740" s="512" t="s">
        <v>8979</v>
      </c>
      <c r="L2740" s="505" t="s">
        <v>1178</v>
      </c>
      <c r="M2740" s="516">
        <v>294</v>
      </c>
      <c r="N2740" s="505" t="s">
        <v>1178</v>
      </c>
    </row>
    <row r="2741" spans="1:14" x14ac:dyDescent="0.25">
      <c r="A2741" s="505" t="s">
        <v>6746</v>
      </c>
      <c r="B2741" s="505" t="s">
        <v>6747</v>
      </c>
      <c r="C2741" s="512" t="s">
        <v>7762</v>
      </c>
      <c r="D2741" s="512" t="s">
        <v>9749</v>
      </c>
      <c r="E2741" s="512" t="s">
        <v>9761</v>
      </c>
      <c r="F2741" s="512" t="s">
        <v>9468</v>
      </c>
      <c r="G2741" s="512" t="s">
        <v>7797</v>
      </c>
      <c r="H2741" s="512" t="s">
        <v>9750</v>
      </c>
      <c r="I2741" s="512" t="s">
        <v>8143</v>
      </c>
      <c r="L2741" s="505" t="s">
        <v>1178</v>
      </c>
      <c r="M2741" s="516">
        <v>294</v>
      </c>
      <c r="N2741" s="505" t="s">
        <v>1178</v>
      </c>
    </row>
    <row r="2742" spans="1:14" x14ac:dyDescent="0.25">
      <c r="A2742" s="505" t="s">
        <v>6748</v>
      </c>
      <c r="B2742" s="505" t="s">
        <v>6749</v>
      </c>
      <c r="C2742" s="512" t="s">
        <v>7762</v>
      </c>
      <c r="D2742" s="512" t="s">
        <v>9749</v>
      </c>
      <c r="E2742" s="512" t="s">
        <v>9761</v>
      </c>
      <c r="F2742" s="512" t="s">
        <v>9468</v>
      </c>
      <c r="G2742" s="512" t="s">
        <v>7797</v>
      </c>
      <c r="H2742" s="512" t="s">
        <v>9750</v>
      </c>
      <c r="I2742" s="512" t="s">
        <v>7889</v>
      </c>
      <c r="L2742" s="505" t="s">
        <v>1178</v>
      </c>
      <c r="M2742" s="516">
        <v>294</v>
      </c>
      <c r="N2742" s="505" t="s">
        <v>1178</v>
      </c>
    </row>
    <row r="2743" spans="1:14" x14ac:dyDescent="0.25">
      <c r="A2743" s="505" t="s">
        <v>6750</v>
      </c>
      <c r="B2743" s="505" t="s">
        <v>6751</v>
      </c>
      <c r="C2743" s="512" t="s">
        <v>7762</v>
      </c>
      <c r="D2743" s="512" t="s">
        <v>9749</v>
      </c>
      <c r="E2743" s="512" t="s">
        <v>9761</v>
      </c>
      <c r="F2743" s="512" t="s">
        <v>9468</v>
      </c>
      <c r="G2743" s="512" t="s">
        <v>7797</v>
      </c>
      <c r="H2743" s="512" t="s">
        <v>9750</v>
      </c>
      <c r="I2743" s="512" t="s">
        <v>7890</v>
      </c>
      <c r="J2743" s="505" t="s">
        <v>8817</v>
      </c>
      <c r="L2743" s="505" t="s">
        <v>1178</v>
      </c>
      <c r="M2743" s="516">
        <v>294</v>
      </c>
      <c r="N2743" s="505" t="s">
        <v>1178</v>
      </c>
    </row>
    <row r="2744" spans="1:14" x14ac:dyDescent="0.25">
      <c r="A2744" s="505" t="s">
        <v>6752</v>
      </c>
      <c r="B2744" s="505" t="s">
        <v>6753</v>
      </c>
      <c r="C2744" s="512" t="s">
        <v>7762</v>
      </c>
      <c r="D2744" s="512" t="s">
        <v>9749</v>
      </c>
      <c r="E2744" s="512" t="s">
        <v>9761</v>
      </c>
      <c r="F2744" s="512" t="s">
        <v>9468</v>
      </c>
      <c r="G2744" s="512" t="s">
        <v>7797</v>
      </c>
      <c r="H2744" s="512" t="s">
        <v>9750</v>
      </c>
      <c r="I2744" s="512" t="s">
        <v>7803</v>
      </c>
      <c r="L2744" s="505" t="s">
        <v>1178</v>
      </c>
      <c r="M2744" s="516">
        <v>294</v>
      </c>
      <c r="N2744" s="505" t="s">
        <v>1178</v>
      </c>
    </row>
    <row r="2745" spans="1:14" x14ac:dyDescent="0.25">
      <c r="A2745" s="505" t="s">
        <v>6754</v>
      </c>
      <c r="B2745" s="505" t="s">
        <v>6755</v>
      </c>
      <c r="C2745" s="512" t="s">
        <v>7762</v>
      </c>
      <c r="D2745" s="512" t="s">
        <v>9749</v>
      </c>
      <c r="E2745" s="512" t="s">
        <v>9761</v>
      </c>
      <c r="F2745" s="512" t="s">
        <v>9468</v>
      </c>
      <c r="G2745" s="512" t="s">
        <v>7797</v>
      </c>
      <c r="H2745" s="512" t="s">
        <v>9750</v>
      </c>
      <c r="I2745" s="512" t="s">
        <v>9764</v>
      </c>
      <c r="L2745" s="505" t="s">
        <v>1178</v>
      </c>
      <c r="M2745" s="516">
        <v>294</v>
      </c>
      <c r="N2745" s="505" t="s">
        <v>1178</v>
      </c>
    </row>
    <row r="2746" spans="1:14" x14ac:dyDescent="0.25">
      <c r="A2746" s="505" t="s">
        <v>6756</v>
      </c>
      <c r="B2746" s="505" t="s">
        <v>6757</v>
      </c>
      <c r="C2746" s="512" t="s">
        <v>7762</v>
      </c>
      <c r="D2746" s="512" t="s">
        <v>9749</v>
      </c>
      <c r="E2746" s="512" t="s">
        <v>9761</v>
      </c>
      <c r="F2746" s="512" t="s">
        <v>9468</v>
      </c>
      <c r="G2746" s="512" t="s">
        <v>7797</v>
      </c>
      <c r="H2746" s="512" t="s">
        <v>9750</v>
      </c>
      <c r="I2746" s="512" t="s">
        <v>7721</v>
      </c>
      <c r="L2746" s="505" t="s">
        <v>1178</v>
      </c>
      <c r="M2746" s="516">
        <v>294</v>
      </c>
      <c r="N2746" s="505" t="s">
        <v>1178</v>
      </c>
    </row>
    <row r="2747" spans="1:14" x14ac:dyDescent="0.25">
      <c r="A2747" s="505" t="s">
        <v>6758</v>
      </c>
      <c r="B2747" s="505" t="s">
        <v>6759</v>
      </c>
      <c r="C2747" s="512" t="s">
        <v>7762</v>
      </c>
      <c r="D2747" s="512" t="s">
        <v>9749</v>
      </c>
      <c r="E2747" s="512" t="s">
        <v>9761</v>
      </c>
      <c r="F2747" s="512" t="s">
        <v>9468</v>
      </c>
      <c r="G2747" s="512" t="s">
        <v>7797</v>
      </c>
      <c r="H2747" s="512" t="s">
        <v>9750</v>
      </c>
      <c r="I2747" s="512" t="s">
        <v>7804</v>
      </c>
      <c r="L2747" s="505" t="s">
        <v>1178</v>
      </c>
      <c r="M2747" s="516">
        <v>294</v>
      </c>
      <c r="N2747" s="505" t="s">
        <v>1178</v>
      </c>
    </row>
    <row r="2748" spans="1:14" x14ac:dyDescent="0.25">
      <c r="A2748" s="505" t="s">
        <v>6760</v>
      </c>
      <c r="B2748" s="505" t="s">
        <v>6761</v>
      </c>
      <c r="C2748" s="512" t="s">
        <v>7762</v>
      </c>
      <c r="D2748" s="512" t="s">
        <v>7554</v>
      </c>
      <c r="E2748" s="512" t="s">
        <v>8989</v>
      </c>
      <c r="F2748" s="512" t="s">
        <v>8463</v>
      </c>
      <c r="G2748" s="512" t="s">
        <v>7797</v>
      </c>
      <c r="H2748" s="512" t="s">
        <v>9750</v>
      </c>
      <c r="I2748" s="512" t="s">
        <v>7877</v>
      </c>
      <c r="L2748" s="505" t="s">
        <v>1178</v>
      </c>
      <c r="M2748" s="516">
        <v>462.96</v>
      </c>
      <c r="N2748" s="505" t="s">
        <v>1178</v>
      </c>
    </row>
    <row r="2749" spans="1:14" x14ac:dyDescent="0.25">
      <c r="A2749" s="505" t="s">
        <v>6762</v>
      </c>
      <c r="B2749" s="505" t="s">
        <v>6763</v>
      </c>
      <c r="C2749" s="512" t="s">
        <v>7762</v>
      </c>
      <c r="D2749" s="512" t="s">
        <v>7554</v>
      </c>
      <c r="E2749" s="512" t="s">
        <v>8989</v>
      </c>
      <c r="F2749" s="512" t="s">
        <v>8463</v>
      </c>
      <c r="G2749" s="512" t="s">
        <v>7797</v>
      </c>
      <c r="H2749" s="512" t="s">
        <v>9750</v>
      </c>
      <c r="I2749" s="512" t="s">
        <v>7554</v>
      </c>
      <c r="J2749" s="505" t="s">
        <v>7970</v>
      </c>
      <c r="L2749" s="505" t="s">
        <v>1178</v>
      </c>
      <c r="M2749" s="516">
        <v>462.96</v>
      </c>
      <c r="N2749" s="505" t="s">
        <v>1178</v>
      </c>
    </row>
    <row r="2750" spans="1:14" x14ac:dyDescent="0.25">
      <c r="A2750" s="505" t="s">
        <v>6764</v>
      </c>
      <c r="B2750" s="505" t="s">
        <v>6765</v>
      </c>
      <c r="C2750" s="512" t="s">
        <v>7762</v>
      </c>
      <c r="D2750" s="512" t="s">
        <v>7554</v>
      </c>
      <c r="E2750" s="512" t="s">
        <v>8989</v>
      </c>
      <c r="F2750" s="512" t="s">
        <v>8463</v>
      </c>
      <c r="G2750" s="512" t="s">
        <v>7797</v>
      </c>
      <c r="H2750" s="512" t="s">
        <v>9750</v>
      </c>
      <c r="I2750" s="512" t="s">
        <v>8325</v>
      </c>
      <c r="L2750" s="505" t="s">
        <v>1178</v>
      </c>
      <c r="M2750" s="516">
        <v>462.96</v>
      </c>
      <c r="N2750" s="505" t="s">
        <v>1178</v>
      </c>
    </row>
    <row r="2751" spans="1:14" x14ac:dyDescent="0.25">
      <c r="A2751" s="505" t="s">
        <v>6766</v>
      </c>
      <c r="B2751" s="505" t="s">
        <v>6767</v>
      </c>
      <c r="C2751" s="512" t="s">
        <v>7762</v>
      </c>
      <c r="D2751" s="512" t="s">
        <v>7554</v>
      </c>
      <c r="E2751" s="512" t="s">
        <v>8989</v>
      </c>
      <c r="F2751" s="512" t="s">
        <v>8463</v>
      </c>
      <c r="G2751" s="512" t="s">
        <v>7797</v>
      </c>
      <c r="H2751" s="512" t="s">
        <v>9750</v>
      </c>
      <c r="I2751" s="512" t="s">
        <v>7433</v>
      </c>
      <c r="J2751" s="505" t="s">
        <v>8809</v>
      </c>
      <c r="L2751" s="505" t="s">
        <v>1178</v>
      </c>
      <c r="M2751" s="516">
        <v>551.71</v>
      </c>
      <c r="N2751" s="505" t="s">
        <v>1178</v>
      </c>
    </row>
    <row r="2752" spans="1:14" x14ac:dyDescent="0.25">
      <c r="A2752" s="505" t="s">
        <v>6768</v>
      </c>
      <c r="B2752" s="505" t="s">
        <v>6769</v>
      </c>
      <c r="C2752" s="512" t="s">
        <v>7762</v>
      </c>
      <c r="D2752" s="512" t="s">
        <v>7554</v>
      </c>
      <c r="E2752" s="512" t="s">
        <v>8989</v>
      </c>
      <c r="F2752" s="512" t="s">
        <v>8463</v>
      </c>
      <c r="G2752" s="512" t="s">
        <v>7797</v>
      </c>
      <c r="H2752" s="512" t="s">
        <v>9750</v>
      </c>
      <c r="I2752" s="512" t="s">
        <v>9765</v>
      </c>
      <c r="L2752" s="505" t="s">
        <v>1178</v>
      </c>
      <c r="M2752" s="516">
        <v>551.71</v>
      </c>
      <c r="N2752" s="505" t="s">
        <v>1178</v>
      </c>
    </row>
    <row r="2753" spans="1:14" x14ac:dyDescent="0.25">
      <c r="A2753" s="505" t="s">
        <v>6770</v>
      </c>
      <c r="B2753" s="505" t="s">
        <v>6771</v>
      </c>
      <c r="C2753" s="512" t="s">
        <v>7762</v>
      </c>
      <c r="D2753" s="512" t="s">
        <v>8336</v>
      </c>
      <c r="E2753" s="512" t="s">
        <v>8331</v>
      </c>
      <c r="F2753" s="512" t="s">
        <v>9766</v>
      </c>
      <c r="G2753" s="512" t="s">
        <v>7782</v>
      </c>
      <c r="H2753" s="512" t="s">
        <v>9750</v>
      </c>
      <c r="I2753" s="512" t="s">
        <v>9767</v>
      </c>
      <c r="L2753" s="505" t="s">
        <v>1178</v>
      </c>
      <c r="M2753" s="516">
        <v>551.71</v>
      </c>
      <c r="N2753" s="505" t="s">
        <v>1178</v>
      </c>
    </row>
    <row r="2754" spans="1:14" x14ac:dyDescent="0.25">
      <c r="A2754" s="505" t="s">
        <v>6772</v>
      </c>
      <c r="B2754" s="505" t="s">
        <v>6773</v>
      </c>
      <c r="C2754" s="512" t="s">
        <v>7762</v>
      </c>
      <c r="D2754" s="512" t="s">
        <v>7554</v>
      </c>
      <c r="E2754" s="512" t="s">
        <v>8989</v>
      </c>
      <c r="F2754" s="512" t="s">
        <v>8463</v>
      </c>
      <c r="G2754" s="512" t="s">
        <v>7797</v>
      </c>
      <c r="H2754" s="512" t="s">
        <v>9750</v>
      </c>
      <c r="I2754" s="512" t="s">
        <v>9726</v>
      </c>
      <c r="L2754" s="505" t="s">
        <v>1178</v>
      </c>
      <c r="M2754" s="516">
        <v>371.73</v>
      </c>
      <c r="N2754" s="505" t="s">
        <v>1178</v>
      </c>
    </row>
    <row r="2755" spans="1:14" x14ac:dyDescent="0.25">
      <c r="A2755" s="505" t="s">
        <v>6774</v>
      </c>
      <c r="B2755" s="505" t="s">
        <v>6775</v>
      </c>
      <c r="C2755" s="512" t="s">
        <v>7762</v>
      </c>
      <c r="D2755" s="512" t="s">
        <v>7554</v>
      </c>
      <c r="E2755" s="512" t="s">
        <v>8989</v>
      </c>
      <c r="F2755" s="512" t="s">
        <v>8463</v>
      </c>
      <c r="G2755" s="512" t="s">
        <v>7797</v>
      </c>
      <c r="H2755" s="512" t="s">
        <v>9750</v>
      </c>
      <c r="I2755" s="512" t="s">
        <v>9768</v>
      </c>
      <c r="L2755" s="505" t="s">
        <v>1178</v>
      </c>
      <c r="M2755" s="516">
        <v>551.71</v>
      </c>
      <c r="N2755" s="505" t="s">
        <v>1178</v>
      </c>
    </row>
    <row r="2756" spans="1:14" x14ac:dyDescent="0.25">
      <c r="A2756" s="505" t="s">
        <v>6776</v>
      </c>
      <c r="B2756" s="505" t="s">
        <v>6777</v>
      </c>
      <c r="C2756" s="512" t="s">
        <v>7762</v>
      </c>
      <c r="D2756" s="512" t="s">
        <v>9769</v>
      </c>
      <c r="E2756" s="512" t="s">
        <v>8481</v>
      </c>
      <c r="F2756" s="512" t="s">
        <v>7782</v>
      </c>
      <c r="G2756" s="512" t="s">
        <v>9750</v>
      </c>
      <c r="H2756" s="512" t="s">
        <v>8376</v>
      </c>
      <c r="I2756" s="512" t="s">
        <v>9770</v>
      </c>
      <c r="L2756" s="505" t="s">
        <v>1178</v>
      </c>
      <c r="M2756" s="516">
        <v>312.64999999999998</v>
      </c>
      <c r="N2756" s="505" t="s">
        <v>1178</v>
      </c>
    </row>
    <row r="2757" spans="1:14" x14ac:dyDescent="0.25">
      <c r="A2757" s="505" t="s">
        <v>6778</v>
      </c>
      <c r="B2757" s="505" t="s">
        <v>6779</v>
      </c>
      <c r="C2757" s="512" t="s">
        <v>7762</v>
      </c>
      <c r="D2757" s="512" t="s">
        <v>9769</v>
      </c>
      <c r="E2757" s="512" t="s">
        <v>8481</v>
      </c>
      <c r="F2757" s="512" t="s">
        <v>7782</v>
      </c>
      <c r="G2757" s="512" t="s">
        <v>9750</v>
      </c>
      <c r="H2757" s="512" t="s">
        <v>141</v>
      </c>
      <c r="L2757" s="505" t="s">
        <v>1178</v>
      </c>
      <c r="M2757" s="516">
        <v>312.64999999999998</v>
      </c>
      <c r="N2757" s="505" t="s">
        <v>1178</v>
      </c>
    </row>
    <row r="2758" spans="1:14" x14ac:dyDescent="0.25">
      <c r="A2758" s="505" t="s">
        <v>6780</v>
      </c>
      <c r="B2758" s="505" t="s">
        <v>6781</v>
      </c>
      <c r="C2758" s="512" t="s">
        <v>7762</v>
      </c>
      <c r="D2758" s="512" t="s">
        <v>9769</v>
      </c>
      <c r="E2758" s="512" t="s">
        <v>8481</v>
      </c>
      <c r="F2758" s="512" t="s">
        <v>7782</v>
      </c>
      <c r="G2758" s="512" t="s">
        <v>9750</v>
      </c>
      <c r="H2758" s="512" t="s">
        <v>9771</v>
      </c>
      <c r="L2758" s="505" t="s">
        <v>1178</v>
      </c>
      <c r="M2758" s="516">
        <v>312.64999999999998</v>
      </c>
      <c r="N2758" s="505" t="s">
        <v>1178</v>
      </c>
    </row>
    <row r="2759" spans="1:14" x14ac:dyDescent="0.25">
      <c r="A2759" s="505" t="s">
        <v>6782</v>
      </c>
      <c r="B2759" s="505" t="s">
        <v>6783</v>
      </c>
      <c r="C2759" s="512" t="s">
        <v>7762</v>
      </c>
      <c r="D2759" s="512" t="s">
        <v>9769</v>
      </c>
      <c r="E2759" s="512" t="s">
        <v>8481</v>
      </c>
      <c r="F2759" s="512" t="s">
        <v>7782</v>
      </c>
      <c r="G2759" s="512" t="s">
        <v>9750</v>
      </c>
      <c r="H2759" s="512" t="s">
        <v>9772</v>
      </c>
      <c r="L2759" s="505" t="s">
        <v>1178</v>
      </c>
      <c r="M2759" s="516">
        <v>312.64999999999998</v>
      </c>
      <c r="N2759" s="505" t="s">
        <v>1178</v>
      </c>
    </row>
    <row r="2760" spans="1:14" x14ac:dyDescent="0.25">
      <c r="A2760" s="505" t="s">
        <v>6784</v>
      </c>
      <c r="B2760" s="505" t="s">
        <v>6785</v>
      </c>
      <c r="C2760" s="512" t="s">
        <v>7762</v>
      </c>
      <c r="D2760" s="512" t="s">
        <v>9769</v>
      </c>
      <c r="E2760" s="512" t="s">
        <v>8481</v>
      </c>
      <c r="F2760" s="512" t="s">
        <v>7782</v>
      </c>
      <c r="G2760" s="512" t="s">
        <v>9750</v>
      </c>
      <c r="H2760" s="512" t="s">
        <v>7931</v>
      </c>
      <c r="L2760" s="505" t="s">
        <v>1178</v>
      </c>
      <c r="M2760" s="516">
        <v>312.64999999999998</v>
      </c>
      <c r="N2760" s="505" t="s">
        <v>1178</v>
      </c>
    </row>
    <row r="2761" spans="1:14" x14ac:dyDescent="0.25">
      <c r="A2761" s="505" t="s">
        <v>6786</v>
      </c>
      <c r="B2761" s="505" t="s">
        <v>6787</v>
      </c>
      <c r="C2761" s="512" t="s">
        <v>7762</v>
      </c>
      <c r="D2761" s="512" t="s">
        <v>9769</v>
      </c>
      <c r="E2761" s="512" t="s">
        <v>8481</v>
      </c>
      <c r="F2761" s="512" t="s">
        <v>7782</v>
      </c>
      <c r="G2761" s="512" t="s">
        <v>9750</v>
      </c>
      <c r="H2761" s="512" t="s">
        <v>8507</v>
      </c>
      <c r="L2761" s="505" t="s">
        <v>1178</v>
      </c>
      <c r="M2761" s="516">
        <v>312.64999999999998</v>
      </c>
      <c r="N2761" s="505" t="s">
        <v>1178</v>
      </c>
    </row>
    <row r="2762" spans="1:14" x14ac:dyDescent="0.25">
      <c r="A2762" s="505" t="s">
        <v>6788</v>
      </c>
      <c r="B2762" s="505" t="s">
        <v>6789</v>
      </c>
      <c r="C2762" s="512" t="s">
        <v>7762</v>
      </c>
      <c r="D2762" s="512" t="s">
        <v>9769</v>
      </c>
      <c r="E2762" s="512" t="s">
        <v>8481</v>
      </c>
      <c r="F2762" s="512" t="s">
        <v>7782</v>
      </c>
      <c r="G2762" s="512" t="s">
        <v>9750</v>
      </c>
      <c r="H2762" s="512" t="s">
        <v>470</v>
      </c>
      <c r="L2762" s="505" t="s">
        <v>1178</v>
      </c>
      <c r="M2762" s="516">
        <v>312.64999999999998</v>
      </c>
      <c r="N2762" s="505" t="s">
        <v>1178</v>
      </c>
    </row>
    <row r="2763" spans="1:14" x14ac:dyDescent="0.25">
      <c r="A2763" s="505" t="s">
        <v>6790</v>
      </c>
      <c r="B2763" s="505" t="s">
        <v>6791</v>
      </c>
      <c r="C2763" s="512" t="s">
        <v>7762</v>
      </c>
      <c r="D2763" s="512" t="s">
        <v>9769</v>
      </c>
      <c r="E2763" s="512" t="s">
        <v>8481</v>
      </c>
      <c r="F2763" s="512" t="s">
        <v>7782</v>
      </c>
      <c r="G2763" s="512" t="s">
        <v>9750</v>
      </c>
      <c r="H2763" s="512" t="s">
        <v>9773</v>
      </c>
      <c r="L2763" s="505" t="s">
        <v>1178</v>
      </c>
      <c r="M2763" s="516">
        <v>312.64999999999998</v>
      </c>
      <c r="N2763" s="505" t="s">
        <v>1178</v>
      </c>
    </row>
    <row r="2764" spans="1:14" x14ac:dyDescent="0.25">
      <c r="A2764" s="505" t="s">
        <v>6792</v>
      </c>
      <c r="B2764" s="505" t="s">
        <v>6793</v>
      </c>
      <c r="C2764" s="512" t="s">
        <v>7762</v>
      </c>
      <c r="D2764" s="512" t="s">
        <v>9769</v>
      </c>
      <c r="E2764" s="512" t="s">
        <v>8481</v>
      </c>
      <c r="F2764" s="512" t="s">
        <v>7782</v>
      </c>
      <c r="G2764" s="512" t="s">
        <v>9774</v>
      </c>
      <c r="H2764" s="512" t="s">
        <v>9775</v>
      </c>
      <c r="L2764" s="505" t="s">
        <v>1178</v>
      </c>
      <c r="M2764" s="516">
        <v>312.64999999999998</v>
      </c>
      <c r="N2764" s="505" t="s">
        <v>1178</v>
      </c>
    </row>
    <row r="2765" spans="1:14" x14ac:dyDescent="0.25">
      <c r="A2765" s="505" t="s">
        <v>6794</v>
      </c>
      <c r="B2765" s="505" t="s">
        <v>6795</v>
      </c>
      <c r="C2765" s="512" t="s">
        <v>7762</v>
      </c>
      <c r="D2765" s="512" t="s">
        <v>9769</v>
      </c>
      <c r="E2765" s="512" t="s">
        <v>8481</v>
      </c>
      <c r="F2765" s="512" t="s">
        <v>7782</v>
      </c>
      <c r="G2765" s="512" t="s">
        <v>9750</v>
      </c>
      <c r="H2765" s="512" t="s">
        <v>9776</v>
      </c>
      <c r="I2765" s="512" t="s">
        <v>9777</v>
      </c>
      <c r="L2765" s="505" t="s">
        <v>1178</v>
      </c>
      <c r="M2765" s="516">
        <v>312.64999999999998</v>
      </c>
      <c r="N2765" s="505" t="s">
        <v>1178</v>
      </c>
    </row>
    <row r="2766" spans="1:14" x14ac:dyDescent="0.25">
      <c r="A2766" s="505" t="s">
        <v>6796</v>
      </c>
      <c r="B2766" s="505" t="s">
        <v>6797</v>
      </c>
      <c r="C2766" s="512" t="s">
        <v>7762</v>
      </c>
      <c r="D2766" s="512" t="s">
        <v>9769</v>
      </c>
      <c r="E2766" s="512" t="s">
        <v>8481</v>
      </c>
      <c r="F2766" s="512" t="s">
        <v>7782</v>
      </c>
      <c r="G2766" s="512" t="s">
        <v>9750</v>
      </c>
      <c r="H2766" s="512" t="s">
        <v>9778</v>
      </c>
      <c r="L2766" s="505" t="s">
        <v>1178</v>
      </c>
      <c r="M2766" s="516">
        <v>312.64999999999998</v>
      </c>
      <c r="N2766" s="505" t="s">
        <v>1178</v>
      </c>
    </row>
    <row r="2767" spans="1:14" x14ac:dyDescent="0.25">
      <c r="A2767" s="505" t="s">
        <v>6798</v>
      </c>
      <c r="B2767" s="505" t="s">
        <v>6799</v>
      </c>
      <c r="C2767" s="512" t="s">
        <v>7762</v>
      </c>
      <c r="D2767" s="512" t="s">
        <v>9769</v>
      </c>
      <c r="E2767" s="512" t="s">
        <v>8481</v>
      </c>
      <c r="F2767" s="512" t="s">
        <v>7782</v>
      </c>
      <c r="G2767" s="512" t="s">
        <v>9750</v>
      </c>
      <c r="H2767" s="512" t="s">
        <v>9779</v>
      </c>
      <c r="I2767" s="512" t="s">
        <v>8377</v>
      </c>
      <c r="L2767" s="505" t="s">
        <v>1178</v>
      </c>
      <c r="M2767" s="516">
        <v>312.64999999999998</v>
      </c>
      <c r="N2767" s="505" t="s">
        <v>1178</v>
      </c>
    </row>
    <row r="2768" spans="1:14" x14ac:dyDescent="0.25">
      <c r="A2768" s="505" t="s">
        <v>6800</v>
      </c>
      <c r="B2768" s="505" t="s">
        <v>6801</v>
      </c>
      <c r="C2768" s="512" t="s">
        <v>7762</v>
      </c>
      <c r="D2768" s="512" t="s">
        <v>9769</v>
      </c>
      <c r="E2768" s="512" t="s">
        <v>8481</v>
      </c>
      <c r="F2768" s="512" t="s">
        <v>7782</v>
      </c>
      <c r="G2768" s="512" t="s">
        <v>9750</v>
      </c>
      <c r="H2768" s="512" t="s">
        <v>9780</v>
      </c>
      <c r="L2768" s="505" t="s">
        <v>1178</v>
      </c>
      <c r="M2768" s="516">
        <v>312.64999999999998</v>
      </c>
      <c r="N2768" s="505" t="s">
        <v>1178</v>
      </c>
    </row>
    <row r="2769" spans="1:14" x14ac:dyDescent="0.25">
      <c r="A2769" s="505" t="s">
        <v>6802</v>
      </c>
      <c r="B2769" s="505" t="s">
        <v>6803</v>
      </c>
      <c r="C2769" s="512" t="s">
        <v>7762</v>
      </c>
      <c r="D2769" s="512" t="s">
        <v>9769</v>
      </c>
      <c r="E2769" s="512" t="s">
        <v>8481</v>
      </c>
      <c r="F2769" s="512" t="s">
        <v>7782</v>
      </c>
      <c r="G2769" s="512" t="s">
        <v>9750</v>
      </c>
      <c r="H2769" s="512" t="s">
        <v>9781</v>
      </c>
      <c r="I2769" s="512" t="s">
        <v>7539</v>
      </c>
      <c r="L2769" s="505" t="s">
        <v>1178</v>
      </c>
      <c r="M2769" s="516">
        <v>312.64999999999998</v>
      </c>
      <c r="N2769" s="505" t="s">
        <v>1178</v>
      </c>
    </row>
    <row r="2770" spans="1:14" x14ac:dyDescent="0.25">
      <c r="A2770" s="505" t="s">
        <v>6804</v>
      </c>
      <c r="B2770" s="505" t="s">
        <v>6805</v>
      </c>
      <c r="C2770" s="512" t="s">
        <v>7762</v>
      </c>
      <c r="D2770" s="512" t="s">
        <v>9769</v>
      </c>
      <c r="E2770" s="512" t="s">
        <v>8481</v>
      </c>
      <c r="F2770" s="512" t="s">
        <v>7782</v>
      </c>
      <c r="G2770" s="512" t="s">
        <v>9750</v>
      </c>
      <c r="H2770" s="512" t="s">
        <v>9782</v>
      </c>
      <c r="L2770" s="505" t="s">
        <v>1178</v>
      </c>
      <c r="M2770" s="516">
        <v>312.64999999999998</v>
      </c>
      <c r="N2770" s="505" t="s">
        <v>1178</v>
      </c>
    </row>
    <row r="2771" spans="1:14" x14ac:dyDescent="0.25">
      <c r="A2771" s="505" t="s">
        <v>6806</v>
      </c>
      <c r="B2771" s="505" t="s">
        <v>6807</v>
      </c>
      <c r="C2771" s="512" t="s">
        <v>7796</v>
      </c>
      <c r="D2771" s="512" t="s">
        <v>9749</v>
      </c>
      <c r="E2771" s="512" t="s">
        <v>9468</v>
      </c>
      <c r="F2771" s="512" t="s">
        <v>7797</v>
      </c>
      <c r="G2771" s="512" t="s">
        <v>9750</v>
      </c>
      <c r="H2771" s="512" t="s">
        <v>7433</v>
      </c>
      <c r="L2771" s="505" t="s">
        <v>1178</v>
      </c>
      <c r="M2771" s="516">
        <v>9.94</v>
      </c>
      <c r="N2771" s="505" t="s">
        <v>1178</v>
      </c>
    </row>
    <row r="2772" spans="1:14" x14ac:dyDescent="0.25">
      <c r="A2772" s="505" t="s">
        <v>6808</v>
      </c>
      <c r="B2772" s="505" t="s">
        <v>6809</v>
      </c>
      <c r="C2772" s="512" t="s">
        <v>7796</v>
      </c>
      <c r="D2772" s="512" t="s">
        <v>9749</v>
      </c>
      <c r="E2772" s="512" t="s">
        <v>9468</v>
      </c>
      <c r="F2772" s="512" t="s">
        <v>7797</v>
      </c>
      <c r="G2772" s="512" t="s">
        <v>9750</v>
      </c>
      <c r="H2772" s="512" t="s">
        <v>9783</v>
      </c>
      <c r="L2772" s="505" t="s">
        <v>1178</v>
      </c>
      <c r="M2772" s="516">
        <v>9.94</v>
      </c>
      <c r="N2772" s="505" t="s">
        <v>1178</v>
      </c>
    </row>
    <row r="2773" spans="1:14" x14ac:dyDescent="0.25">
      <c r="A2773" s="505" t="s">
        <v>6810</v>
      </c>
      <c r="B2773" s="505" t="s">
        <v>6811</v>
      </c>
      <c r="C2773" s="512" t="s">
        <v>9784</v>
      </c>
      <c r="D2773" s="512" t="s">
        <v>9785</v>
      </c>
      <c r="E2773" s="512" t="s">
        <v>9786</v>
      </c>
      <c r="F2773" s="512" t="s">
        <v>9787</v>
      </c>
      <c r="G2773" s="512" t="s">
        <v>9788</v>
      </c>
      <c r="H2773" s="512" t="s">
        <v>9789</v>
      </c>
      <c r="L2773" s="505" t="s">
        <v>114</v>
      </c>
      <c r="M2773" s="516">
        <v>2.0499999999999998</v>
      </c>
      <c r="N2773" s="505" t="s">
        <v>114</v>
      </c>
    </row>
    <row r="2774" spans="1:14" x14ac:dyDescent="0.25">
      <c r="A2774" s="505" t="s">
        <v>6812</v>
      </c>
      <c r="B2774" s="505" t="s">
        <v>6813</v>
      </c>
      <c r="C2774" s="512" t="s">
        <v>9790</v>
      </c>
      <c r="D2774" s="512" t="s">
        <v>9791</v>
      </c>
      <c r="E2774" s="512" t="s">
        <v>9792</v>
      </c>
      <c r="F2774" s="512" t="s">
        <v>8277</v>
      </c>
      <c r="G2774" s="512" t="s">
        <v>9793</v>
      </c>
      <c r="L2774" s="505" t="s">
        <v>114</v>
      </c>
      <c r="M2774" s="516">
        <v>1464.53</v>
      </c>
      <c r="N2774" s="505" t="s">
        <v>114</v>
      </c>
    </row>
    <row r="2775" spans="1:14" x14ac:dyDescent="0.25">
      <c r="A2775" s="505" t="s">
        <v>6814</v>
      </c>
      <c r="B2775" s="505" t="s">
        <v>6815</v>
      </c>
      <c r="C2775" s="512" t="s">
        <v>9794</v>
      </c>
      <c r="D2775" s="512" t="s">
        <v>9795</v>
      </c>
      <c r="E2775" s="512" t="s">
        <v>9050</v>
      </c>
      <c r="F2775" s="512" t="s">
        <v>8849</v>
      </c>
      <c r="G2775" s="512" t="s">
        <v>9796</v>
      </c>
      <c r="L2775" s="505" t="s">
        <v>114</v>
      </c>
      <c r="M2775" s="516">
        <v>281.48</v>
      </c>
      <c r="N2775" s="505" t="s">
        <v>114</v>
      </c>
    </row>
    <row r="2776" spans="1:14" x14ac:dyDescent="0.25">
      <c r="A2776" s="505" t="s">
        <v>6816</v>
      </c>
      <c r="B2776" s="505" t="s">
        <v>6817</v>
      </c>
      <c r="C2776" s="512" t="s">
        <v>9034</v>
      </c>
      <c r="D2776" s="512" t="s">
        <v>7504</v>
      </c>
      <c r="E2776" s="512" t="s">
        <v>9797</v>
      </c>
      <c r="F2776" s="512" t="s">
        <v>9798</v>
      </c>
      <c r="G2776" s="512" t="s">
        <v>9794</v>
      </c>
      <c r="H2776" s="512" t="s">
        <v>9799</v>
      </c>
      <c r="L2776" s="505" t="s">
        <v>2293</v>
      </c>
      <c r="M2776" s="516">
        <v>109.62</v>
      </c>
      <c r="N2776" s="505" t="s">
        <v>2293</v>
      </c>
    </row>
    <row r="2777" spans="1:14" x14ac:dyDescent="0.25">
      <c r="A2777" s="505" t="s">
        <v>6818</v>
      </c>
      <c r="B2777" s="505" t="s">
        <v>6819</v>
      </c>
      <c r="C2777" s="512" t="s">
        <v>9794</v>
      </c>
      <c r="D2777" s="512" t="s">
        <v>9800</v>
      </c>
      <c r="E2777" s="512" t="s">
        <v>9145</v>
      </c>
      <c r="F2777" s="512" t="s">
        <v>9801</v>
      </c>
      <c r="L2777" s="505" t="s">
        <v>114</v>
      </c>
      <c r="M2777" s="516">
        <v>402.98</v>
      </c>
      <c r="N2777" s="505" t="s">
        <v>114</v>
      </c>
    </row>
    <row r="2778" spans="1:14" x14ac:dyDescent="0.25">
      <c r="A2778" s="505" t="s">
        <v>6820</v>
      </c>
      <c r="B2778" s="505" t="s">
        <v>6821</v>
      </c>
      <c r="C2778" s="512" t="s">
        <v>9802</v>
      </c>
      <c r="D2778" s="512" t="s">
        <v>8275</v>
      </c>
      <c r="E2778" s="512" t="s">
        <v>9797</v>
      </c>
      <c r="F2778" s="512" t="s">
        <v>9803</v>
      </c>
      <c r="G2778" s="512" t="s">
        <v>9792</v>
      </c>
      <c r="H2778" s="512" t="s">
        <v>9804</v>
      </c>
      <c r="L2778" s="505" t="s">
        <v>2293</v>
      </c>
      <c r="M2778" s="516">
        <v>133.94999999999999</v>
      </c>
      <c r="N2778" s="505" t="s">
        <v>2293</v>
      </c>
    </row>
    <row r="2779" spans="1:14" x14ac:dyDescent="0.25">
      <c r="A2779" s="505" t="s">
        <v>6822</v>
      </c>
      <c r="B2779" s="505" t="s">
        <v>6823</v>
      </c>
      <c r="C2779" s="512" t="s">
        <v>9794</v>
      </c>
      <c r="D2779" s="512" t="s">
        <v>9805</v>
      </c>
      <c r="E2779" s="512" t="s">
        <v>7515</v>
      </c>
      <c r="F2779" s="512" t="s">
        <v>9806</v>
      </c>
      <c r="G2779" s="512" t="s">
        <v>9145</v>
      </c>
      <c r="H2779" s="512" t="s">
        <v>9807</v>
      </c>
      <c r="L2779" s="505" t="s">
        <v>114</v>
      </c>
      <c r="M2779" s="516">
        <v>384.75</v>
      </c>
      <c r="N2779" s="505" t="s">
        <v>114</v>
      </c>
    </row>
    <row r="2780" spans="1:14" x14ac:dyDescent="0.25">
      <c r="A2780" s="505" t="s">
        <v>6824</v>
      </c>
      <c r="B2780" s="505" t="s">
        <v>6825</v>
      </c>
      <c r="C2780" s="512" t="s">
        <v>9808</v>
      </c>
      <c r="D2780" s="512" t="s">
        <v>9809</v>
      </c>
      <c r="E2780" s="512" t="s">
        <v>8635</v>
      </c>
      <c r="F2780" s="512" t="s">
        <v>8069</v>
      </c>
      <c r="G2780" s="512" t="s">
        <v>9810</v>
      </c>
      <c r="L2780" s="505" t="s">
        <v>2293</v>
      </c>
      <c r="M2780" s="516">
        <v>106.53</v>
      </c>
      <c r="N2780" s="505" t="s">
        <v>2293</v>
      </c>
    </row>
    <row r="2781" spans="1:14" x14ac:dyDescent="0.25">
      <c r="A2781" s="505" t="s">
        <v>6826</v>
      </c>
      <c r="B2781" s="505" t="s">
        <v>6827</v>
      </c>
      <c r="C2781" s="512" t="s">
        <v>9808</v>
      </c>
      <c r="D2781" s="512" t="s">
        <v>9809</v>
      </c>
      <c r="E2781" s="512" t="s">
        <v>8371</v>
      </c>
      <c r="F2781" s="512" t="s">
        <v>8069</v>
      </c>
      <c r="G2781" s="512" t="s">
        <v>9811</v>
      </c>
      <c r="L2781" s="505" t="s">
        <v>2293</v>
      </c>
      <c r="M2781" s="516">
        <v>110</v>
      </c>
      <c r="N2781" s="505" t="s">
        <v>2293</v>
      </c>
    </row>
    <row r="2782" spans="1:14" x14ac:dyDescent="0.25">
      <c r="A2782" s="505" t="s">
        <v>6828</v>
      </c>
      <c r="B2782" s="505" t="s">
        <v>6829</v>
      </c>
      <c r="C2782" s="512" t="s">
        <v>7781</v>
      </c>
      <c r="D2782" s="512" t="s">
        <v>9812</v>
      </c>
      <c r="E2782" s="512" t="s">
        <v>9813</v>
      </c>
      <c r="L2782" s="505" t="s">
        <v>114</v>
      </c>
      <c r="M2782" s="516">
        <v>150.06</v>
      </c>
      <c r="N2782" s="505" t="s">
        <v>114</v>
      </c>
    </row>
    <row r="2783" spans="1:14" x14ac:dyDescent="0.25">
      <c r="A2783" s="505" t="s">
        <v>6830</v>
      </c>
      <c r="B2783" s="505" t="s">
        <v>6831</v>
      </c>
      <c r="C2783" s="512" t="s">
        <v>9814</v>
      </c>
      <c r="D2783" s="512" t="s">
        <v>9815</v>
      </c>
      <c r="E2783" s="512" t="s">
        <v>9816</v>
      </c>
      <c r="F2783" s="512" t="s">
        <v>8550</v>
      </c>
      <c r="G2783" s="512" t="s">
        <v>143</v>
      </c>
      <c r="L2783" s="505" t="s">
        <v>1233</v>
      </c>
      <c r="M2783" s="516">
        <v>305</v>
      </c>
      <c r="N2783" s="505" t="s">
        <v>1233</v>
      </c>
    </row>
    <row r="2784" spans="1:14" x14ac:dyDescent="0.25">
      <c r="A2784" s="505" t="s">
        <v>6832</v>
      </c>
      <c r="B2784" s="505" t="s">
        <v>6833</v>
      </c>
      <c r="C2784" s="512" t="s">
        <v>9814</v>
      </c>
      <c r="D2784" s="512" t="s">
        <v>283</v>
      </c>
      <c r="E2784" s="512" t="s">
        <v>8550</v>
      </c>
      <c r="F2784" s="512" t="s">
        <v>143</v>
      </c>
      <c r="L2784" s="505" t="s">
        <v>1233</v>
      </c>
      <c r="M2784" s="516">
        <v>5.95</v>
      </c>
      <c r="N2784" s="505" t="s">
        <v>1233</v>
      </c>
    </row>
    <row r="2785" spans="1:14" x14ac:dyDescent="0.25">
      <c r="A2785" s="505" t="s">
        <v>6834</v>
      </c>
      <c r="B2785" s="505" t="s">
        <v>6835</v>
      </c>
      <c r="C2785" s="512" t="s">
        <v>9814</v>
      </c>
      <c r="D2785" s="512" t="s">
        <v>9815</v>
      </c>
      <c r="E2785" s="512" t="s">
        <v>9817</v>
      </c>
      <c r="F2785" s="512" t="s">
        <v>9816</v>
      </c>
      <c r="L2785" s="505" t="s">
        <v>1233</v>
      </c>
      <c r="M2785" s="516">
        <v>305</v>
      </c>
      <c r="N2785" s="505" t="s">
        <v>1233</v>
      </c>
    </row>
    <row r="2786" spans="1:14" x14ac:dyDescent="0.25">
      <c r="A2786" s="505" t="s">
        <v>6836</v>
      </c>
      <c r="B2786" s="505" t="s">
        <v>6837</v>
      </c>
      <c r="C2786" s="512" t="s">
        <v>9814</v>
      </c>
      <c r="D2786" s="512" t="s">
        <v>9815</v>
      </c>
      <c r="E2786" s="512" t="s">
        <v>9817</v>
      </c>
      <c r="F2786" s="512" t="s">
        <v>283</v>
      </c>
      <c r="L2786" s="505" t="s">
        <v>1233</v>
      </c>
      <c r="M2786" s="516">
        <v>5.95</v>
      </c>
      <c r="N2786" s="505" t="s">
        <v>1233</v>
      </c>
    </row>
    <row r="2787" spans="1:14" x14ac:dyDescent="0.25">
      <c r="A2787" s="505" t="s">
        <v>6838</v>
      </c>
      <c r="B2787" s="505" t="s">
        <v>6839</v>
      </c>
      <c r="C2787" s="512" t="s">
        <v>9814</v>
      </c>
      <c r="D2787" s="512" t="s">
        <v>9815</v>
      </c>
      <c r="E2787" s="512" t="s">
        <v>9817</v>
      </c>
      <c r="F2787" s="512" t="s">
        <v>7573</v>
      </c>
      <c r="L2787" s="505" t="s">
        <v>1233</v>
      </c>
      <c r="M2787" s="516">
        <v>5.95</v>
      </c>
      <c r="N2787" s="505" t="s">
        <v>1233</v>
      </c>
    </row>
    <row r="2788" spans="1:14" x14ac:dyDescent="0.25">
      <c r="A2788" s="505" t="s">
        <v>6840</v>
      </c>
      <c r="B2788" s="505" t="s">
        <v>6841</v>
      </c>
      <c r="C2788" s="512" t="s">
        <v>9818</v>
      </c>
      <c r="D2788" s="512" t="s">
        <v>9819</v>
      </c>
      <c r="E2788" s="512" t="s">
        <v>9820</v>
      </c>
      <c r="F2788" s="512" t="s">
        <v>9821</v>
      </c>
      <c r="G2788" s="512" t="s">
        <v>9822</v>
      </c>
      <c r="H2788" s="512" t="s">
        <v>9823</v>
      </c>
      <c r="I2788" s="512" t="s">
        <v>9824</v>
      </c>
      <c r="L2788" s="505" t="s">
        <v>114</v>
      </c>
      <c r="M2788" s="516">
        <v>7.67</v>
      </c>
      <c r="N2788" s="505" t="s">
        <v>114</v>
      </c>
    </row>
    <row r="2789" spans="1:14" x14ac:dyDescent="0.25">
      <c r="A2789" s="505" t="s">
        <v>6842</v>
      </c>
      <c r="B2789" s="505" t="s">
        <v>6843</v>
      </c>
      <c r="C2789" s="512" t="s">
        <v>9825</v>
      </c>
      <c r="D2789" s="512" t="s">
        <v>8847</v>
      </c>
      <c r="E2789" s="512" t="s">
        <v>9826</v>
      </c>
      <c r="F2789" s="512" t="s">
        <v>9827</v>
      </c>
      <c r="G2789" s="512" t="s">
        <v>9828</v>
      </c>
      <c r="H2789" s="512" t="s">
        <v>9829</v>
      </c>
      <c r="I2789" s="512" t="s">
        <v>9824</v>
      </c>
      <c r="L2789" s="505" t="s">
        <v>114</v>
      </c>
      <c r="M2789" s="516">
        <v>7.67</v>
      </c>
      <c r="N2789" s="505" t="s">
        <v>114</v>
      </c>
    </row>
    <row r="2790" spans="1:14" x14ac:dyDescent="0.25">
      <c r="A2790" s="505" t="s">
        <v>6844</v>
      </c>
      <c r="B2790" s="505" t="s">
        <v>6845</v>
      </c>
      <c r="C2790" s="512" t="s">
        <v>9818</v>
      </c>
      <c r="D2790" s="512" t="s">
        <v>9830</v>
      </c>
      <c r="E2790" s="512" t="s">
        <v>8955</v>
      </c>
      <c r="F2790" s="512" t="s">
        <v>9831</v>
      </c>
      <c r="G2790" s="512" t="s">
        <v>9832</v>
      </c>
      <c r="H2790" s="512" t="s">
        <v>9833</v>
      </c>
      <c r="L2790" s="505" t="s">
        <v>114</v>
      </c>
      <c r="M2790" s="516">
        <v>58.7</v>
      </c>
      <c r="N2790" s="505" t="s">
        <v>114</v>
      </c>
    </row>
    <row r="2791" spans="1:14" x14ac:dyDescent="0.25">
      <c r="A2791" s="505" t="s">
        <v>6846</v>
      </c>
      <c r="B2791" s="505" t="s">
        <v>6847</v>
      </c>
      <c r="C2791" s="512" t="s">
        <v>9818</v>
      </c>
      <c r="D2791" s="512" t="s">
        <v>9830</v>
      </c>
      <c r="E2791" s="512" t="s">
        <v>8955</v>
      </c>
      <c r="F2791" s="512" t="s">
        <v>9831</v>
      </c>
      <c r="G2791" s="512" t="s">
        <v>9344</v>
      </c>
      <c r="H2791" s="512" t="s">
        <v>8432</v>
      </c>
      <c r="I2791" s="512" t="s">
        <v>9833</v>
      </c>
      <c r="L2791" s="505" t="s">
        <v>114</v>
      </c>
      <c r="M2791" s="516">
        <v>58.7</v>
      </c>
      <c r="N2791" s="505" t="s">
        <v>114</v>
      </c>
    </row>
    <row r="2792" spans="1:14" x14ac:dyDescent="0.25">
      <c r="A2792" s="505" t="s">
        <v>6848</v>
      </c>
      <c r="B2792" s="505" t="s">
        <v>6849</v>
      </c>
      <c r="C2792" s="512" t="s">
        <v>9818</v>
      </c>
      <c r="D2792" s="512" t="s">
        <v>9830</v>
      </c>
      <c r="E2792" s="512" t="s">
        <v>8955</v>
      </c>
      <c r="F2792" s="512" t="s">
        <v>9831</v>
      </c>
      <c r="G2792" s="512" t="s">
        <v>7721</v>
      </c>
      <c r="H2792" s="512" t="s">
        <v>9833</v>
      </c>
      <c r="L2792" s="505" t="s">
        <v>114</v>
      </c>
      <c r="M2792" s="516">
        <v>58.7</v>
      </c>
      <c r="N2792" s="505" t="s">
        <v>114</v>
      </c>
    </row>
    <row r="2793" spans="1:14" x14ac:dyDescent="0.25">
      <c r="A2793" s="505" t="s">
        <v>6850</v>
      </c>
      <c r="B2793" s="505" t="s">
        <v>6851</v>
      </c>
      <c r="C2793" s="512" t="s">
        <v>9818</v>
      </c>
      <c r="D2793" s="512" t="s">
        <v>9834</v>
      </c>
      <c r="E2793" s="512" t="s">
        <v>9835</v>
      </c>
      <c r="F2793" s="512" t="s">
        <v>9836</v>
      </c>
      <c r="G2793" s="512" t="s">
        <v>9837</v>
      </c>
      <c r="H2793" s="512" t="s">
        <v>7491</v>
      </c>
      <c r="I2793" s="512" t="s">
        <v>9838</v>
      </c>
      <c r="L2793" s="505" t="s">
        <v>1205</v>
      </c>
      <c r="M2793" s="516">
        <v>16.78</v>
      </c>
      <c r="N2793" s="505" t="s">
        <v>1205</v>
      </c>
    </row>
    <row r="2794" spans="1:14" x14ac:dyDescent="0.25">
      <c r="A2794" s="505" t="s">
        <v>6852</v>
      </c>
      <c r="B2794" s="505" t="s">
        <v>6853</v>
      </c>
      <c r="C2794" s="512" t="s">
        <v>9818</v>
      </c>
      <c r="D2794" s="512" t="s">
        <v>9834</v>
      </c>
      <c r="E2794" s="512" t="s">
        <v>9835</v>
      </c>
      <c r="F2794" s="512" t="s">
        <v>9836</v>
      </c>
      <c r="G2794" s="512" t="s">
        <v>9837</v>
      </c>
      <c r="H2794" s="512" t="s">
        <v>7986</v>
      </c>
      <c r="I2794" s="512" t="s">
        <v>9838</v>
      </c>
      <c r="L2794" s="505" t="s">
        <v>1205</v>
      </c>
      <c r="M2794" s="516">
        <v>16.78</v>
      </c>
      <c r="N2794" s="505" t="s">
        <v>1205</v>
      </c>
    </row>
    <row r="2795" spans="1:14" x14ac:dyDescent="0.25">
      <c r="A2795" s="505" t="s">
        <v>6854</v>
      </c>
      <c r="B2795" s="505" t="s">
        <v>6855</v>
      </c>
      <c r="C2795" s="512" t="s">
        <v>9825</v>
      </c>
      <c r="D2795" s="512" t="s">
        <v>9839</v>
      </c>
      <c r="E2795" s="512" t="s">
        <v>8855</v>
      </c>
      <c r="F2795" s="512" t="s">
        <v>9840</v>
      </c>
      <c r="G2795" s="512" t="s">
        <v>9841</v>
      </c>
      <c r="H2795" s="512" t="s">
        <v>9842</v>
      </c>
      <c r="L2795" s="505" t="s">
        <v>114</v>
      </c>
      <c r="M2795" s="516">
        <v>46.31</v>
      </c>
      <c r="N2795" s="505" t="s">
        <v>114</v>
      </c>
    </row>
    <row r="2796" spans="1:14" x14ac:dyDescent="0.25">
      <c r="A2796" s="505" t="s">
        <v>6856</v>
      </c>
      <c r="B2796" s="505" t="s">
        <v>6857</v>
      </c>
      <c r="C2796" s="512" t="s">
        <v>9818</v>
      </c>
      <c r="D2796" s="512" t="s">
        <v>8692</v>
      </c>
      <c r="E2796" s="512" t="s">
        <v>9192</v>
      </c>
      <c r="F2796" s="512" t="s">
        <v>9843</v>
      </c>
      <c r="G2796" s="512" t="s">
        <v>9844</v>
      </c>
      <c r="H2796" s="512" t="s">
        <v>9845</v>
      </c>
      <c r="L2796" s="505" t="s">
        <v>114</v>
      </c>
      <c r="M2796" s="516">
        <v>73.13</v>
      </c>
      <c r="N2796" s="505" t="s">
        <v>114</v>
      </c>
    </row>
    <row r="2797" spans="1:14" x14ac:dyDescent="0.25">
      <c r="A2797" s="505" t="s">
        <v>6858</v>
      </c>
      <c r="B2797" s="505" t="s">
        <v>6859</v>
      </c>
      <c r="C2797" s="512" t="s">
        <v>9818</v>
      </c>
      <c r="D2797" s="512" t="s">
        <v>9846</v>
      </c>
      <c r="E2797" s="512" t="s">
        <v>9192</v>
      </c>
      <c r="F2797" s="512" t="s">
        <v>9843</v>
      </c>
      <c r="G2797" s="512" t="s">
        <v>9844</v>
      </c>
      <c r="H2797" s="512" t="s">
        <v>9847</v>
      </c>
      <c r="L2797" s="505" t="s">
        <v>114</v>
      </c>
      <c r="M2797" s="516">
        <v>82.06</v>
      </c>
      <c r="N2797" s="505" t="s">
        <v>114</v>
      </c>
    </row>
    <row r="2798" spans="1:14" x14ac:dyDescent="0.25">
      <c r="A2798" s="505" t="s">
        <v>6860</v>
      </c>
      <c r="B2798" s="505" t="s">
        <v>6861</v>
      </c>
      <c r="C2798" s="512" t="s">
        <v>9818</v>
      </c>
      <c r="D2798" s="512" t="s">
        <v>9848</v>
      </c>
      <c r="E2798" s="512" t="s">
        <v>9192</v>
      </c>
      <c r="F2798" s="512" t="s">
        <v>9843</v>
      </c>
      <c r="G2798" s="512" t="s">
        <v>9844</v>
      </c>
      <c r="H2798" s="512" t="s">
        <v>9849</v>
      </c>
      <c r="L2798" s="505" t="s">
        <v>114</v>
      </c>
      <c r="M2798" s="516">
        <v>91.02</v>
      </c>
      <c r="N2798" s="505" t="s">
        <v>114</v>
      </c>
    </row>
    <row r="2799" spans="1:14" x14ac:dyDescent="0.25">
      <c r="A2799" s="505" t="s">
        <v>6862</v>
      </c>
      <c r="B2799" s="505" t="s">
        <v>6863</v>
      </c>
      <c r="C2799" s="512" t="s">
        <v>9818</v>
      </c>
      <c r="D2799" s="512" t="s">
        <v>9850</v>
      </c>
      <c r="E2799" s="512" t="s">
        <v>9192</v>
      </c>
      <c r="F2799" s="512" t="s">
        <v>9843</v>
      </c>
      <c r="G2799" s="512" t="s">
        <v>9844</v>
      </c>
      <c r="H2799" s="512" t="s">
        <v>9851</v>
      </c>
      <c r="L2799" s="505" t="s">
        <v>114</v>
      </c>
      <c r="M2799" s="516">
        <v>99.92</v>
      </c>
      <c r="N2799" s="505" t="s">
        <v>114</v>
      </c>
    </row>
    <row r="2800" spans="1:14" x14ac:dyDescent="0.25">
      <c r="A2800" s="505" t="s">
        <v>6864</v>
      </c>
      <c r="B2800" s="505" t="s">
        <v>6865</v>
      </c>
      <c r="C2800" s="512" t="s">
        <v>9818</v>
      </c>
      <c r="D2800" s="512" t="s">
        <v>9830</v>
      </c>
      <c r="E2800" s="512" t="s">
        <v>9852</v>
      </c>
      <c r="F2800" s="512" t="s">
        <v>9831</v>
      </c>
      <c r="G2800" s="512" t="s">
        <v>9853</v>
      </c>
      <c r="H2800" s="512" t="s">
        <v>9854</v>
      </c>
      <c r="I2800" s="512" t="s">
        <v>9855</v>
      </c>
      <c r="L2800" s="505" t="s">
        <v>114</v>
      </c>
      <c r="M2800" s="516">
        <v>54.73</v>
      </c>
      <c r="N2800" s="505" t="s">
        <v>114</v>
      </c>
    </row>
    <row r="2801" spans="1:14" x14ac:dyDescent="0.25">
      <c r="A2801" s="505" t="s">
        <v>6866</v>
      </c>
      <c r="B2801" s="505" t="s">
        <v>6867</v>
      </c>
      <c r="C2801" s="512" t="s">
        <v>9818</v>
      </c>
      <c r="D2801" s="512" t="s">
        <v>9830</v>
      </c>
      <c r="E2801" s="512" t="s">
        <v>9856</v>
      </c>
      <c r="F2801" s="512" t="s">
        <v>9831</v>
      </c>
      <c r="G2801" s="512" t="s">
        <v>124</v>
      </c>
      <c r="H2801" s="512" t="s">
        <v>9857</v>
      </c>
      <c r="I2801" s="512" t="s">
        <v>9858</v>
      </c>
      <c r="L2801" s="505" t="s">
        <v>114</v>
      </c>
      <c r="M2801" s="516">
        <v>72.099999999999994</v>
      </c>
      <c r="N2801" s="505" t="s">
        <v>114</v>
      </c>
    </row>
    <row r="2802" spans="1:14" x14ac:dyDescent="0.25">
      <c r="A2802" s="505" t="s">
        <v>6868</v>
      </c>
      <c r="B2802" s="505" t="s">
        <v>6869</v>
      </c>
      <c r="C2802" s="512" t="s">
        <v>9825</v>
      </c>
      <c r="D2802" s="512" t="s">
        <v>9830</v>
      </c>
      <c r="E2802" s="512" t="s">
        <v>9859</v>
      </c>
      <c r="F2802" s="512" t="s">
        <v>9860</v>
      </c>
      <c r="G2802" s="512" t="s">
        <v>9861</v>
      </c>
      <c r="H2802" s="512" t="s">
        <v>7473</v>
      </c>
      <c r="I2802" s="512" t="s">
        <v>9858</v>
      </c>
      <c r="L2802" s="505" t="s">
        <v>114</v>
      </c>
      <c r="M2802" s="516">
        <v>72.099999999999994</v>
      </c>
      <c r="N2802" s="505" t="s">
        <v>114</v>
      </c>
    </row>
    <row r="2803" spans="1:14" x14ac:dyDescent="0.25">
      <c r="A2803" s="505" t="s">
        <v>6870</v>
      </c>
      <c r="B2803" s="505" t="s">
        <v>6871</v>
      </c>
      <c r="C2803" s="512" t="s">
        <v>9818</v>
      </c>
      <c r="D2803" s="512" t="s">
        <v>9862</v>
      </c>
      <c r="E2803" s="512" t="s">
        <v>9678</v>
      </c>
      <c r="F2803" s="512" t="s">
        <v>9863</v>
      </c>
      <c r="L2803" s="505" t="s">
        <v>114</v>
      </c>
      <c r="M2803" s="516">
        <v>3.48</v>
      </c>
      <c r="N2803" s="505" t="s">
        <v>114</v>
      </c>
    </row>
    <row r="2804" spans="1:14" x14ac:dyDescent="0.25">
      <c r="A2804" s="505" t="s">
        <v>6872</v>
      </c>
      <c r="B2804" s="505" t="s">
        <v>6873</v>
      </c>
      <c r="C2804" s="512" t="s">
        <v>9818</v>
      </c>
      <c r="D2804" s="512" t="s">
        <v>9864</v>
      </c>
      <c r="E2804" s="512" t="s">
        <v>9865</v>
      </c>
      <c r="F2804" s="512" t="s">
        <v>124</v>
      </c>
      <c r="G2804" s="512" t="s">
        <v>9866</v>
      </c>
      <c r="H2804" s="512" t="s">
        <v>9867</v>
      </c>
      <c r="L2804" s="505" t="s">
        <v>114</v>
      </c>
      <c r="M2804" s="516">
        <v>96.96</v>
      </c>
      <c r="N2804" s="505" t="s">
        <v>114</v>
      </c>
    </row>
    <row r="2805" spans="1:14" x14ac:dyDescent="0.25">
      <c r="A2805" s="505" t="s">
        <v>6874</v>
      </c>
      <c r="B2805" s="505" t="s">
        <v>6875</v>
      </c>
      <c r="C2805" s="512" t="s">
        <v>9818</v>
      </c>
      <c r="D2805" s="512" t="s">
        <v>9830</v>
      </c>
      <c r="E2805" s="512" t="s">
        <v>9868</v>
      </c>
      <c r="F2805" s="512" t="s">
        <v>9831</v>
      </c>
      <c r="G2805" s="512" t="s">
        <v>124</v>
      </c>
      <c r="H2805" s="512" t="s">
        <v>9869</v>
      </c>
      <c r="I2805" s="512" t="s">
        <v>9870</v>
      </c>
      <c r="L2805" s="505" t="s">
        <v>114</v>
      </c>
      <c r="M2805" s="516">
        <v>50.21</v>
      </c>
      <c r="N2805" s="505" t="s">
        <v>114</v>
      </c>
    </row>
    <row r="2806" spans="1:14" x14ac:dyDescent="0.25">
      <c r="A2806" s="505" t="s">
        <v>6876</v>
      </c>
      <c r="B2806" s="505" t="s">
        <v>6877</v>
      </c>
      <c r="C2806" s="512" t="s">
        <v>9818</v>
      </c>
      <c r="D2806" s="512" t="s">
        <v>9830</v>
      </c>
      <c r="E2806" s="512" t="s">
        <v>9868</v>
      </c>
      <c r="F2806" s="512" t="s">
        <v>9831</v>
      </c>
      <c r="G2806" s="512" t="s">
        <v>9344</v>
      </c>
      <c r="H2806" s="512" t="s">
        <v>7491</v>
      </c>
      <c r="I2806" s="512" t="s">
        <v>9870</v>
      </c>
      <c r="L2806" s="505" t="s">
        <v>114</v>
      </c>
      <c r="M2806" s="516">
        <v>50.21</v>
      </c>
      <c r="N2806" s="505" t="s">
        <v>114</v>
      </c>
    </row>
    <row r="2807" spans="1:14" x14ac:dyDescent="0.25">
      <c r="A2807" s="505" t="s">
        <v>6878</v>
      </c>
      <c r="B2807" s="505" t="s">
        <v>6879</v>
      </c>
      <c r="C2807" s="512" t="s">
        <v>9825</v>
      </c>
      <c r="D2807" s="512" t="s">
        <v>9871</v>
      </c>
      <c r="E2807" s="512" t="s">
        <v>9872</v>
      </c>
      <c r="F2807" s="512" t="s">
        <v>9861</v>
      </c>
      <c r="G2807" s="512" t="s">
        <v>7473</v>
      </c>
      <c r="H2807" s="512" t="s">
        <v>9873</v>
      </c>
      <c r="L2807" s="505" t="s">
        <v>114</v>
      </c>
      <c r="M2807" s="516">
        <v>59.86</v>
      </c>
      <c r="N2807" s="505" t="s">
        <v>114</v>
      </c>
    </row>
    <row r="2808" spans="1:14" x14ac:dyDescent="0.25">
      <c r="A2808" s="505" t="s">
        <v>6880</v>
      </c>
      <c r="B2808" s="505" t="s">
        <v>6881</v>
      </c>
      <c r="C2808" s="512" t="s">
        <v>9818</v>
      </c>
      <c r="D2808" s="512" t="s">
        <v>9871</v>
      </c>
      <c r="E2808" s="512" t="s">
        <v>9865</v>
      </c>
      <c r="F2808" s="512" t="s">
        <v>7721</v>
      </c>
      <c r="G2808" s="512" t="s">
        <v>9873</v>
      </c>
      <c r="L2808" s="505" t="s">
        <v>114</v>
      </c>
      <c r="M2808" s="516">
        <v>59.86</v>
      </c>
      <c r="N2808" s="505" t="s">
        <v>114</v>
      </c>
    </row>
    <row r="2809" spans="1:14" x14ac:dyDescent="0.25">
      <c r="A2809" s="505" t="s">
        <v>6882</v>
      </c>
      <c r="B2809" s="505" t="s">
        <v>6883</v>
      </c>
      <c r="C2809" s="512" t="s">
        <v>9818</v>
      </c>
      <c r="D2809" s="512" t="s">
        <v>9874</v>
      </c>
      <c r="E2809" s="512" t="s">
        <v>9865</v>
      </c>
      <c r="F2809" s="512" t="s">
        <v>124</v>
      </c>
      <c r="G2809" s="512" t="s">
        <v>9857</v>
      </c>
      <c r="H2809" s="512" t="s">
        <v>9875</v>
      </c>
      <c r="L2809" s="505" t="s">
        <v>114</v>
      </c>
      <c r="M2809" s="516">
        <v>87.89</v>
      </c>
      <c r="N2809" s="505" t="s">
        <v>114</v>
      </c>
    </row>
    <row r="2810" spans="1:14" x14ac:dyDescent="0.25">
      <c r="A2810" s="505" t="s">
        <v>6884</v>
      </c>
      <c r="B2810" s="505" t="s">
        <v>6885</v>
      </c>
      <c r="C2810" s="512" t="s">
        <v>9818</v>
      </c>
      <c r="D2810" s="512" t="s">
        <v>9876</v>
      </c>
      <c r="E2810" s="512" t="s">
        <v>9877</v>
      </c>
      <c r="F2810" s="512" t="s">
        <v>9878</v>
      </c>
      <c r="G2810" s="512" t="s">
        <v>9823</v>
      </c>
      <c r="H2810" s="512" t="s">
        <v>9879</v>
      </c>
      <c r="L2810" s="505" t="s">
        <v>114</v>
      </c>
      <c r="M2810" s="516">
        <v>83.92</v>
      </c>
      <c r="N2810" s="505" t="s">
        <v>114</v>
      </c>
    </row>
    <row r="2811" spans="1:14" x14ac:dyDescent="0.25">
      <c r="A2811" s="505" t="s">
        <v>6886</v>
      </c>
      <c r="B2811" s="505" t="s">
        <v>6887</v>
      </c>
      <c r="C2811" s="512" t="s">
        <v>9818</v>
      </c>
      <c r="D2811" s="512" t="s">
        <v>9876</v>
      </c>
      <c r="E2811" s="512" t="s">
        <v>9877</v>
      </c>
      <c r="F2811" s="512" t="s">
        <v>9878</v>
      </c>
      <c r="G2811" s="512" t="s">
        <v>9880</v>
      </c>
      <c r="H2811" s="512" t="s">
        <v>9879</v>
      </c>
      <c r="L2811" s="505" t="s">
        <v>114</v>
      </c>
      <c r="M2811" s="516">
        <v>83.92</v>
      </c>
      <c r="N2811" s="505" t="s">
        <v>114</v>
      </c>
    </row>
    <row r="2812" spans="1:14" x14ac:dyDescent="0.25">
      <c r="A2812" s="505" t="s">
        <v>6888</v>
      </c>
      <c r="B2812" s="505" t="s">
        <v>6889</v>
      </c>
      <c r="C2812" s="512" t="s">
        <v>9818</v>
      </c>
      <c r="D2812" s="512" t="s">
        <v>9876</v>
      </c>
      <c r="E2812" s="512" t="s">
        <v>9877</v>
      </c>
      <c r="F2812" s="512" t="s">
        <v>9878</v>
      </c>
      <c r="G2812" s="512" t="s">
        <v>7986</v>
      </c>
      <c r="H2812" s="512" t="s">
        <v>9879</v>
      </c>
      <c r="L2812" s="505" t="s">
        <v>114</v>
      </c>
      <c r="M2812" s="516">
        <v>83.92</v>
      </c>
      <c r="N2812" s="505" t="s">
        <v>114</v>
      </c>
    </row>
    <row r="2813" spans="1:14" x14ac:dyDescent="0.25">
      <c r="A2813" s="505" t="s">
        <v>6890</v>
      </c>
      <c r="B2813" s="505" t="s">
        <v>6891</v>
      </c>
      <c r="C2813" s="512" t="s">
        <v>9818</v>
      </c>
      <c r="D2813" s="512" t="s">
        <v>9881</v>
      </c>
      <c r="E2813" s="512" t="s">
        <v>9877</v>
      </c>
      <c r="F2813" s="512" t="s">
        <v>9882</v>
      </c>
      <c r="G2813" s="512" t="s">
        <v>9823</v>
      </c>
      <c r="H2813" s="512" t="s">
        <v>9883</v>
      </c>
      <c r="L2813" s="505" t="s">
        <v>114</v>
      </c>
      <c r="M2813" s="516">
        <v>50.15</v>
      </c>
      <c r="N2813" s="505" t="s">
        <v>114</v>
      </c>
    </row>
    <row r="2814" spans="1:14" x14ac:dyDescent="0.25">
      <c r="A2814" s="505" t="s">
        <v>6892</v>
      </c>
      <c r="B2814" s="505" t="s">
        <v>6893</v>
      </c>
      <c r="C2814" s="512" t="s">
        <v>9818</v>
      </c>
      <c r="D2814" s="512" t="s">
        <v>9881</v>
      </c>
      <c r="E2814" s="512" t="s">
        <v>9877</v>
      </c>
      <c r="F2814" s="512" t="s">
        <v>9882</v>
      </c>
      <c r="G2814" s="512" t="s">
        <v>9884</v>
      </c>
      <c r="H2814" s="512" t="s">
        <v>9883</v>
      </c>
      <c r="L2814" s="505" t="s">
        <v>114</v>
      </c>
      <c r="M2814" s="516">
        <v>50.15</v>
      </c>
      <c r="N2814" s="505" t="s">
        <v>114</v>
      </c>
    </row>
    <row r="2815" spans="1:14" x14ac:dyDescent="0.25">
      <c r="A2815" s="505" t="s">
        <v>6894</v>
      </c>
      <c r="B2815" s="505" t="s">
        <v>6895</v>
      </c>
      <c r="C2815" s="512" t="s">
        <v>9818</v>
      </c>
      <c r="D2815" s="512" t="s">
        <v>9881</v>
      </c>
      <c r="E2815" s="512" t="s">
        <v>9877</v>
      </c>
      <c r="F2815" s="512" t="s">
        <v>9882</v>
      </c>
      <c r="G2815" s="512" t="s">
        <v>7986</v>
      </c>
      <c r="H2815" s="512" t="s">
        <v>9883</v>
      </c>
      <c r="L2815" s="505" t="s">
        <v>114</v>
      </c>
      <c r="M2815" s="516">
        <v>50.15</v>
      </c>
      <c r="N2815" s="505" t="s">
        <v>114</v>
      </c>
    </row>
    <row r="2816" spans="1:14" x14ac:dyDescent="0.25">
      <c r="A2816" s="505" t="s">
        <v>6896</v>
      </c>
      <c r="B2816" s="505" t="s">
        <v>6897</v>
      </c>
      <c r="C2816" s="512" t="s">
        <v>9818</v>
      </c>
      <c r="D2816" s="512" t="s">
        <v>9885</v>
      </c>
      <c r="E2816" s="512" t="s">
        <v>9877</v>
      </c>
      <c r="F2816" s="512" t="s">
        <v>9882</v>
      </c>
      <c r="G2816" s="512" t="s">
        <v>9823</v>
      </c>
      <c r="H2816" s="512" t="s">
        <v>9886</v>
      </c>
      <c r="L2816" s="505" t="s">
        <v>114</v>
      </c>
      <c r="M2816" s="516">
        <v>73.510000000000005</v>
      </c>
      <c r="N2816" s="505" t="s">
        <v>114</v>
      </c>
    </row>
    <row r="2817" spans="1:14" x14ac:dyDescent="0.25">
      <c r="A2817" s="505" t="s">
        <v>6898</v>
      </c>
      <c r="B2817" s="505" t="s">
        <v>6899</v>
      </c>
      <c r="C2817" s="512" t="s">
        <v>9818</v>
      </c>
      <c r="D2817" s="512" t="s">
        <v>9885</v>
      </c>
      <c r="E2817" s="512" t="s">
        <v>9877</v>
      </c>
      <c r="F2817" s="512" t="s">
        <v>9882</v>
      </c>
      <c r="G2817" s="512" t="s">
        <v>7986</v>
      </c>
      <c r="H2817" s="512" t="s">
        <v>9886</v>
      </c>
      <c r="L2817" s="505" t="s">
        <v>114</v>
      </c>
      <c r="M2817" s="516">
        <v>73.510000000000005</v>
      </c>
      <c r="N2817" s="505" t="s">
        <v>114</v>
      </c>
    </row>
    <row r="2818" spans="1:14" x14ac:dyDescent="0.25">
      <c r="A2818" s="505" t="s">
        <v>6900</v>
      </c>
      <c r="B2818" s="505" t="s">
        <v>6901</v>
      </c>
      <c r="C2818" s="512" t="s">
        <v>9818</v>
      </c>
      <c r="D2818" s="512" t="s">
        <v>9887</v>
      </c>
      <c r="E2818" s="512" t="s">
        <v>9877</v>
      </c>
      <c r="F2818" s="512" t="s">
        <v>9882</v>
      </c>
      <c r="G2818" s="512" t="s">
        <v>9823</v>
      </c>
      <c r="H2818" s="512" t="s">
        <v>9888</v>
      </c>
      <c r="L2818" s="505" t="s">
        <v>114</v>
      </c>
      <c r="M2818" s="516">
        <v>65.52</v>
      </c>
      <c r="N2818" s="505" t="s">
        <v>114</v>
      </c>
    </row>
    <row r="2819" spans="1:14" x14ac:dyDescent="0.25">
      <c r="A2819" s="505" t="s">
        <v>6902</v>
      </c>
      <c r="B2819" s="505" t="s">
        <v>6903</v>
      </c>
      <c r="C2819" s="512" t="s">
        <v>9818</v>
      </c>
      <c r="D2819" s="512" t="s">
        <v>9887</v>
      </c>
      <c r="E2819" s="512" t="s">
        <v>9877</v>
      </c>
      <c r="F2819" s="512" t="s">
        <v>9882</v>
      </c>
      <c r="G2819" s="512" t="s">
        <v>7986</v>
      </c>
      <c r="H2819" s="512" t="s">
        <v>9888</v>
      </c>
      <c r="L2819" s="505" t="s">
        <v>114</v>
      </c>
      <c r="M2819" s="516">
        <v>65.52</v>
      </c>
      <c r="N2819" s="505" t="s">
        <v>114</v>
      </c>
    </row>
    <row r="2820" spans="1:14" x14ac:dyDescent="0.25">
      <c r="A2820" s="505" t="s">
        <v>6904</v>
      </c>
      <c r="B2820" s="505" t="s">
        <v>6905</v>
      </c>
      <c r="C2820" s="512" t="s">
        <v>9818</v>
      </c>
      <c r="D2820" s="512" t="s">
        <v>7719</v>
      </c>
      <c r="E2820" s="512" t="s">
        <v>9889</v>
      </c>
      <c r="F2820" s="512" t="s">
        <v>9890</v>
      </c>
      <c r="G2820" s="512" t="s">
        <v>9891</v>
      </c>
      <c r="H2820" s="512" t="s">
        <v>9823</v>
      </c>
      <c r="I2820" s="512" t="s">
        <v>9892</v>
      </c>
      <c r="L2820" s="505" t="s">
        <v>114</v>
      </c>
      <c r="M2820" s="516">
        <v>188.03</v>
      </c>
      <c r="N2820" s="505" t="s">
        <v>114</v>
      </c>
    </row>
    <row r="2821" spans="1:14" x14ac:dyDescent="0.25">
      <c r="A2821" s="505" t="s">
        <v>6906</v>
      </c>
      <c r="B2821" s="505" t="s">
        <v>6907</v>
      </c>
      <c r="C2821" s="512" t="s">
        <v>9818</v>
      </c>
      <c r="D2821" s="512" t="s">
        <v>7719</v>
      </c>
      <c r="E2821" s="512" t="s">
        <v>9889</v>
      </c>
      <c r="F2821" s="512" t="s">
        <v>9890</v>
      </c>
      <c r="G2821" s="512" t="s">
        <v>9891</v>
      </c>
      <c r="H2821" s="512" t="s">
        <v>9880</v>
      </c>
      <c r="I2821" s="512" t="s">
        <v>9892</v>
      </c>
      <c r="L2821" s="505" t="s">
        <v>114</v>
      </c>
      <c r="M2821" s="516">
        <v>188.03</v>
      </c>
      <c r="N2821" s="505" t="s">
        <v>114</v>
      </c>
    </row>
    <row r="2822" spans="1:14" x14ac:dyDescent="0.25">
      <c r="A2822" s="505" t="s">
        <v>6908</v>
      </c>
      <c r="B2822" s="505" t="s">
        <v>6909</v>
      </c>
      <c r="C2822" s="512" t="s">
        <v>9818</v>
      </c>
      <c r="D2822" s="512" t="s">
        <v>7719</v>
      </c>
      <c r="E2822" s="512" t="s">
        <v>9889</v>
      </c>
      <c r="F2822" s="512" t="s">
        <v>9890</v>
      </c>
      <c r="G2822" s="512" t="s">
        <v>9891</v>
      </c>
      <c r="H2822" s="512" t="s">
        <v>7986</v>
      </c>
      <c r="I2822" s="512" t="s">
        <v>9892</v>
      </c>
      <c r="L2822" s="505" t="s">
        <v>114</v>
      </c>
      <c r="M2822" s="516">
        <v>188.03</v>
      </c>
      <c r="N2822" s="505" t="s">
        <v>114</v>
      </c>
    </row>
    <row r="2823" spans="1:14" x14ac:dyDescent="0.25">
      <c r="A2823" s="505" t="s">
        <v>6910</v>
      </c>
      <c r="B2823" s="505" t="s">
        <v>6911</v>
      </c>
      <c r="C2823" s="512" t="s">
        <v>9818</v>
      </c>
      <c r="D2823" s="512" t="s">
        <v>7742</v>
      </c>
      <c r="E2823" s="512" t="s">
        <v>9889</v>
      </c>
      <c r="F2823" s="512" t="s">
        <v>9890</v>
      </c>
      <c r="G2823" s="512" t="s">
        <v>9891</v>
      </c>
      <c r="H2823" s="512" t="s">
        <v>9893</v>
      </c>
      <c r="I2823" s="512" t="s">
        <v>9894</v>
      </c>
      <c r="L2823" s="505" t="s">
        <v>114</v>
      </c>
      <c r="M2823" s="516">
        <v>152.5</v>
      </c>
      <c r="N2823" s="505" t="s">
        <v>114</v>
      </c>
    </row>
    <row r="2824" spans="1:14" x14ac:dyDescent="0.25">
      <c r="A2824" s="505" t="s">
        <v>6912</v>
      </c>
      <c r="B2824" s="505" t="s">
        <v>6913</v>
      </c>
      <c r="C2824" s="512" t="s">
        <v>9818</v>
      </c>
      <c r="D2824" s="512" t="s">
        <v>7742</v>
      </c>
      <c r="E2824" s="512" t="s">
        <v>9889</v>
      </c>
      <c r="F2824" s="512" t="s">
        <v>9890</v>
      </c>
      <c r="G2824" s="512" t="s">
        <v>9891</v>
      </c>
      <c r="H2824" s="512" t="s">
        <v>9895</v>
      </c>
      <c r="I2824" s="512" t="s">
        <v>9894</v>
      </c>
      <c r="L2824" s="505" t="s">
        <v>114</v>
      </c>
      <c r="M2824" s="516">
        <v>152.5</v>
      </c>
      <c r="N2824" s="505" t="s">
        <v>114</v>
      </c>
    </row>
    <row r="2825" spans="1:14" x14ac:dyDescent="0.25">
      <c r="A2825" s="505" t="s">
        <v>6914</v>
      </c>
      <c r="B2825" s="505" t="s">
        <v>6915</v>
      </c>
      <c r="C2825" s="512" t="s">
        <v>9818</v>
      </c>
      <c r="D2825" s="512" t="s">
        <v>7742</v>
      </c>
      <c r="E2825" s="512" t="s">
        <v>9889</v>
      </c>
      <c r="F2825" s="512" t="s">
        <v>9890</v>
      </c>
      <c r="G2825" s="512" t="s">
        <v>9891</v>
      </c>
      <c r="H2825" s="512" t="s">
        <v>7721</v>
      </c>
      <c r="I2825" s="512" t="s">
        <v>9894</v>
      </c>
      <c r="L2825" s="505" t="s">
        <v>114</v>
      </c>
      <c r="M2825" s="516">
        <v>152.5</v>
      </c>
      <c r="N2825" s="505" t="s">
        <v>114</v>
      </c>
    </row>
    <row r="2826" spans="1:14" x14ac:dyDescent="0.25">
      <c r="A2826" s="505" t="s">
        <v>6916</v>
      </c>
      <c r="B2826" s="505" t="s">
        <v>6917</v>
      </c>
      <c r="C2826" s="512" t="s">
        <v>9818</v>
      </c>
      <c r="D2826" s="512" t="s">
        <v>9896</v>
      </c>
      <c r="E2826" s="512" t="s">
        <v>1178</v>
      </c>
      <c r="F2826" s="512" t="s">
        <v>7719</v>
      </c>
      <c r="G2826" s="512" t="s">
        <v>9823</v>
      </c>
      <c r="H2826" s="512" t="s">
        <v>9897</v>
      </c>
      <c r="L2826" s="505" t="s">
        <v>114</v>
      </c>
      <c r="M2826" s="516">
        <v>160.09</v>
      </c>
      <c r="N2826" s="505" t="s">
        <v>114</v>
      </c>
    </row>
    <row r="2827" spans="1:14" x14ac:dyDescent="0.25">
      <c r="A2827" s="505" t="s">
        <v>6918</v>
      </c>
      <c r="B2827" s="505" t="s">
        <v>6919</v>
      </c>
      <c r="C2827" s="512" t="s">
        <v>9818</v>
      </c>
      <c r="D2827" s="512">
        <v>10</v>
      </c>
      <c r="E2827" s="512" t="s">
        <v>9889</v>
      </c>
      <c r="F2827" s="512" t="s">
        <v>9898</v>
      </c>
      <c r="G2827" s="512" t="s">
        <v>9891</v>
      </c>
      <c r="H2827" s="512" t="s">
        <v>9823</v>
      </c>
      <c r="I2827" s="512" t="s">
        <v>9899</v>
      </c>
      <c r="L2827" s="505" t="s">
        <v>114</v>
      </c>
      <c r="M2827" s="516">
        <v>160.09</v>
      </c>
      <c r="N2827" s="505" t="s">
        <v>114</v>
      </c>
    </row>
    <row r="2828" spans="1:14" x14ac:dyDescent="0.25">
      <c r="A2828" s="505" t="s">
        <v>6920</v>
      </c>
      <c r="B2828" s="505" t="s">
        <v>6921</v>
      </c>
      <c r="C2828" s="512" t="s">
        <v>9818</v>
      </c>
      <c r="D2828" s="512">
        <v>10</v>
      </c>
      <c r="E2828" s="512" t="s">
        <v>9889</v>
      </c>
      <c r="F2828" s="512" t="s">
        <v>9898</v>
      </c>
      <c r="G2828" s="512" t="s">
        <v>9891</v>
      </c>
      <c r="H2828" s="512" t="s">
        <v>9880</v>
      </c>
      <c r="I2828" s="512" t="s">
        <v>9899</v>
      </c>
      <c r="L2828" s="505" t="s">
        <v>114</v>
      </c>
      <c r="M2828" s="516">
        <v>160.09</v>
      </c>
      <c r="N2828" s="505" t="s">
        <v>114</v>
      </c>
    </row>
    <row r="2829" spans="1:14" x14ac:dyDescent="0.25">
      <c r="A2829" s="505" t="s">
        <v>6922</v>
      </c>
      <c r="B2829" s="505" t="s">
        <v>6923</v>
      </c>
      <c r="C2829" s="512" t="s">
        <v>9818</v>
      </c>
      <c r="D2829" s="512">
        <v>10</v>
      </c>
      <c r="E2829" s="512" t="s">
        <v>9889</v>
      </c>
      <c r="F2829" s="512" t="s">
        <v>9898</v>
      </c>
      <c r="G2829" s="512" t="s">
        <v>9891</v>
      </c>
      <c r="H2829" s="512" t="s">
        <v>7986</v>
      </c>
      <c r="I2829" s="512" t="s">
        <v>9899</v>
      </c>
      <c r="L2829" s="505" t="s">
        <v>114</v>
      </c>
      <c r="M2829" s="516">
        <v>160.09</v>
      </c>
      <c r="N2829" s="505" t="s">
        <v>114</v>
      </c>
    </row>
    <row r="2830" spans="1:14" x14ac:dyDescent="0.25">
      <c r="A2830" s="505" t="s">
        <v>6924</v>
      </c>
      <c r="B2830" s="505" t="s">
        <v>6925</v>
      </c>
      <c r="C2830" s="512" t="s">
        <v>9818</v>
      </c>
      <c r="D2830" s="512" t="s">
        <v>9896</v>
      </c>
      <c r="E2830" s="512" t="s">
        <v>1178</v>
      </c>
      <c r="F2830" s="512" t="s">
        <v>9584</v>
      </c>
      <c r="G2830" s="512" t="s">
        <v>9893</v>
      </c>
      <c r="H2830" s="512" t="s">
        <v>9900</v>
      </c>
      <c r="L2830" s="505" t="s">
        <v>114</v>
      </c>
      <c r="M2830" s="516">
        <v>98.46</v>
      </c>
      <c r="N2830" s="505" t="s">
        <v>114</v>
      </c>
    </row>
    <row r="2831" spans="1:14" x14ac:dyDescent="0.25">
      <c r="A2831" s="505" t="s">
        <v>6926</v>
      </c>
      <c r="B2831" s="505" t="s">
        <v>6927</v>
      </c>
      <c r="C2831" s="512" t="s">
        <v>9818</v>
      </c>
      <c r="D2831" s="512" t="s">
        <v>9896</v>
      </c>
      <c r="E2831" s="512" t="s">
        <v>1178</v>
      </c>
      <c r="F2831" s="512" t="s">
        <v>9584</v>
      </c>
      <c r="G2831" s="512" t="s">
        <v>9895</v>
      </c>
      <c r="H2831" s="512" t="s">
        <v>9900</v>
      </c>
      <c r="L2831" s="505" t="s">
        <v>114</v>
      </c>
      <c r="M2831" s="516">
        <v>98.46</v>
      </c>
      <c r="N2831" s="505" t="s">
        <v>114</v>
      </c>
    </row>
    <row r="2832" spans="1:14" x14ac:dyDescent="0.25">
      <c r="A2832" s="505" t="s">
        <v>6928</v>
      </c>
      <c r="B2832" s="505" t="s">
        <v>6929</v>
      </c>
      <c r="C2832" s="512" t="s">
        <v>9818</v>
      </c>
      <c r="D2832" s="512" t="s">
        <v>9896</v>
      </c>
      <c r="E2832" s="512" t="s">
        <v>1178</v>
      </c>
      <c r="F2832" s="512" t="s">
        <v>9584</v>
      </c>
      <c r="G2832" s="512" t="s">
        <v>7721</v>
      </c>
      <c r="H2832" s="512" t="s">
        <v>9900</v>
      </c>
      <c r="L2832" s="505" t="s">
        <v>114</v>
      </c>
      <c r="M2832" s="516">
        <v>98.46</v>
      </c>
      <c r="N2832" s="505" t="s">
        <v>114</v>
      </c>
    </row>
    <row r="2833" spans="1:14" x14ac:dyDescent="0.25">
      <c r="A2833" s="505" t="s">
        <v>6930</v>
      </c>
      <c r="B2833" s="505" t="s">
        <v>6931</v>
      </c>
      <c r="C2833" s="512" t="s">
        <v>9818</v>
      </c>
      <c r="D2833" s="512" t="s">
        <v>7742</v>
      </c>
      <c r="E2833" s="512" t="s">
        <v>9889</v>
      </c>
      <c r="F2833" s="512" t="s">
        <v>9898</v>
      </c>
      <c r="G2833" s="512" t="s">
        <v>9891</v>
      </c>
      <c r="H2833" s="512" t="s">
        <v>9823</v>
      </c>
      <c r="I2833" s="512" t="s">
        <v>9901</v>
      </c>
      <c r="L2833" s="505" t="s">
        <v>114</v>
      </c>
      <c r="M2833" s="516">
        <v>133.33000000000001</v>
      </c>
      <c r="N2833" s="505" t="s">
        <v>114</v>
      </c>
    </row>
    <row r="2834" spans="1:14" x14ac:dyDescent="0.25">
      <c r="A2834" s="505" t="s">
        <v>6932</v>
      </c>
      <c r="B2834" s="505" t="s">
        <v>6933</v>
      </c>
      <c r="C2834" s="512" t="s">
        <v>9818</v>
      </c>
      <c r="D2834" s="512" t="s">
        <v>7742</v>
      </c>
      <c r="E2834" s="512" t="s">
        <v>9889</v>
      </c>
      <c r="F2834" s="512" t="s">
        <v>9898</v>
      </c>
      <c r="G2834" s="512" t="s">
        <v>9891</v>
      </c>
      <c r="H2834" s="512" t="s">
        <v>9884</v>
      </c>
      <c r="I2834" s="512" t="s">
        <v>9901</v>
      </c>
      <c r="L2834" s="505" t="s">
        <v>114</v>
      </c>
      <c r="M2834" s="516">
        <v>133.33000000000001</v>
      </c>
      <c r="N2834" s="505" t="s">
        <v>114</v>
      </c>
    </row>
    <row r="2835" spans="1:14" x14ac:dyDescent="0.25">
      <c r="A2835" s="505" t="s">
        <v>6934</v>
      </c>
      <c r="B2835" s="505" t="s">
        <v>6935</v>
      </c>
      <c r="C2835" s="512" t="s">
        <v>9818</v>
      </c>
      <c r="D2835" s="512" t="s">
        <v>9896</v>
      </c>
      <c r="E2835" s="512" t="s">
        <v>1178</v>
      </c>
      <c r="F2835" s="512" t="s">
        <v>7742</v>
      </c>
      <c r="G2835" s="512" t="s">
        <v>9893</v>
      </c>
      <c r="H2835" s="512" t="s">
        <v>9902</v>
      </c>
      <c r="L2835" s="505" t="s">
        <v>114</v>
      </c>
      <c r="M2835" s="516">
        <v>133.33000000000001</v>
      </c>
      <c r="N2835" s="505" t="s">
        <v>114</v>
      </c>
    </row>
    <row r="2836" spans="1:14" x14ac:dyDescent="0.25">
      <c r="A2836" s="505" t="s">
        <v>6936</v>
      </c>
      <c r="B2836" s="505" t="s">
        <v>6937</v>
      </c>
      <c r="C2836" s="512" t="s">
        <v>9818</v>
      </c>
      <c r="D2836" s="512" t="s">
        <v>9584</v>
      </c>
      <c r="E2836" s="512" t="s">
        <v>9889</v>
      </c>
      <c r="F2836" s="512" t="s">
        <v>9898</v>
      </c>
      <c r="G2836" s="512" t="s">
        <v>9891</v>
      </c>
      <c r="H2836" s="512" t="s">
        <v>9823</v>
      </c>
      <c r="I2836" s="512" t="s">
        <v>9903</v>
      </c>
      <c r="L2836" s="505" t="s">
        <v>114</v>
      </c>
      <c r="M2836" s="516">
        <v>98.46</v>
      </c>
      <c r="N2836" s="505" t="s">
        <v>114</v>
      </c>
    </row>
    <row r="2837" spans="1:14" x14ac:dyDescent="0.25">
      <c r="A2837" s="505" t="s">
        <v>6938</v>
      </c>
      <c r="B2837" s="505" t="s">
        <v>6939</v>
      </c>
      <c r="C2837" s="512" t="s">
        <v>9818</v>
      </c>
      <c r="D2837" s="512" t="s">
        <v>9584</v>
      </c>
      <c r="E2837" s="512" t="s">
        <v>9889</v>
      </c>
      <c r="F2837" s="512" t="s">
        <v>9898</v>
      </c>
      <c r="G2837" s="512" t="s">
        <v>9891</v>
      </c>
      <c r="H2837" s="512" t="s">
        <v>9884</v>
      </c>
      <c r="I2837" s="512" t="s">
        <v>9903</v>
      </c>
      <c r="L2837" s="505" t="s">
        <v>114</v>
      </c>
      <c r="M2837" s="516">
        <v>98.46</v>
      </c>
      <c r="N2837" s="505" t="s">
        <v>114</v>
      </c>
    </row>
    <row r="2838" spans="1:14" x14ac:dyDescent="0.25">
      <c r="A2838" s="505" t="s">
        <v>6940</v>
      </c>
      <c r="B2838" s="505" t="s">
        <v>6941</v>
      </c>
      <c r="C2838" s="512" t="s">
        <v>9818</v>
      </c>
      <c r="D2838" s="512" t="s">
        <v>8695</v>
      </c>
      <c r="E2838" s="512" t="s">
        <v>8696</v>
      </c>
      <c r="F2838" s="512" t="s">
        <v>9904</v>
      </c>
      <c r="G2838" s="512" t="s">
        <v>7437</v>
      </c>
      <c r="H2838" s="512" t="s">
        <v>9905</v>
      </c>
      <c r="L2838" s="505" t="s">
        <v>114</v>
      </c>
      <c r="M2838" s="516">
        <v>35.08</v>
      </c>
      <c r="N2838" s="505" t="s">
        <v>114</v>
      </c>
    </row>
    <row r="2839" spans="1:14" x14ac:dyDescent="0.25">
      <c r="A2839" s="505" t="s">
        <v>6942</v>
      </c>
      <c r="B2839" s="505" t="s">
        <v>6943</v>
      </c>
      <c r="C2839" s="512" t="s">
        <v>9818</v>
      </c>
      <c r="D2839" s="512" t="s">
        <v>8695</v>
      </c>
      <c r="E2839" s="512" t="s">
        <v>8696</v>
      </c>
      <c r="F2839" s="512" t="s">
        <v>9904</v>
      </c>
      <c r="G2839" s="512" t="s">
        <v>124</v>
      </c>
      <c r="H2839" s="512" t="s">
        <v>9906</v>
      </c>
      <c r="I2839" s="512" t="s">
        <v>9905</v>
      </c>
      <c r="L2839" s="505" t="s">
        <v>114</v>
      </c>
      <c r="M2839" s="516">
        <v>35.08</v>
      </c>
      <c r="N2839" s="505" t="s">
        <v>114</v>
      </c>
    </row>
    <row r="2840" spans="1:14" x14ac:dyDescent="0.25">
      <c r="A2840" s="505" t="s">
        <v>6944</v>
      </c>
      <c r="B2840" s="505" t="s">
        <v>6945</v>
      </c>
      <c r="C2840" s="512" t="s">
        <v>9818</v>
      </c>
      <c r="D2840" s="512" t="s">
        <v>8695</v>
      </c>
      <c r="E2840" s="512" t="s">
        <v>8696</v>
      </c>
      <c r="F2840" s="512" t="s">
        <v>9904</v>
      </c>
      <c r="G2840" s="512" t="s">
        <v>7721</v>
      </c>
      <c r="H2840" s="512" t="s">
        <v>9905</v>
      </c>
      <c r="L2840" s="505" t="s">
        <v>114</v>
      </c>
      <c r="M2840" s="516">
        <v>35.08</v>
      </c>
      <c r="N2840" s="505" t="s">
        <v>114</v>
      </c>
    </row>
    <row r="2841" spans="1:14" x14ac:dyDescent="0.25">
      <c r="A2841" s="505" t="s">
        <v>6946</v>
      </c>
      <c r="B2841" s="505" t="s">
        <v>6947</v>
      </c>
      <c r="C2841" s="512" t="s">
        <v>9818</v>
      </c>
      <c r="D2841" s="512" t="s">
        <v>9907</v>
      </c>
      <c r="E2841" s="512" t="s">
        <v>7747</v>
      </c>
      <c r="F2841" s="512" t="s">
        <v>9908</v>
      </c>
      <c r="G2841" s="512" t="s">
        <v>9893</v>
      </c>
      <c r="H2841" s="512" t="s">
        <v>9909</v>
      </c>
      <c r="L2841" s="505" t="s">
        <v>114</v>
      </c>
      <c r="M2841" s="516">
        <v>25.14</v>
      </c>
      <c r="N2841" s="505" t="s">
        <v>114</v>
      </c>
    </row>
    <row r="2842" spans="1:14" x14ac:dyDescent="0.25">
      <c r="A2842" s="505" t="s">
        <v>6948</v>
      </c>
      <c r="B2842" s="505" t="s">
        <v>6949</v>
      </c>
      <c r="C2842" s="512" t="s">
        <v>9818</v>
      </c>
      <c r="D2842" s="512" t="s">
        <v>9907</v>
      </c>
      <c r="E2842" s="512" t="s">
        <v>7747</v>
      </c>
      <c r="F2842" s="512" t="s">
        <v>9908</v>
      </c>
      <c r="G2842" s="512" t="s">
        <v>9910</v>
      </c>
      <c r="H2842" s="512" t="s">
        <v>9909</v>
      </c>
      <c r="L2842" s="505" t="s">
        <v>114</v>
      </c>
      <c r="M2842" s="516">
        <v>25.14</v>
      </c>
      <c r="N2842" s="505" t="s">
        <v>114</v>
      </c>
    </row>
    <row r="2843" spans="1:14" x14ac:dyDescent="0.25">
      <c r="A2843" s="505" t="s">
        <v>6950</v>
      </c>
      <c r="B2843" s="505" t="s">
        <v>6951</v>
      </c>
      <c r="C2843" s="512" t="s">
        <v>9911</v>
      </c>
      <c r="D2843" s="512" t="s">
        <v>9912</v>
      </c>
      <c r="E2843" s="512" t="s">
        <v>9913</v>
      </c>
      <c r="F2843" s="512" t="s">
        <v>9914</v>
      </c>
      <c r="G2843" s="512" t="s">
        <v>7784</v>
      </c>
      <c r="H2843" s="512" t="s">
        <v>9915</v>
      </c>
      <c r="I2843" s="512" t="s">
        <v>9916</v>
      </c>
      <c r="L2843" s="505" t="s">
        <v>1233</v>
      </c>
      <c r="M2843" s="516">
        <v>124.8</v>
      </c>
      <c r="N2843" s="505" t="s">
        <v>1233</v>
      </c>
    </row>
    <row r="2844" spans="1:14" x14ac:dyDescent="0.25">
      <c r="A2844" s="505" t="s">
        <v>6952</v>
      </c>
      <c r="B2844" s="505" t="s">
        <v>6953</v>
      </c>
      <c r="C2844" s="512" t="s">
        <v>9911</v>
      </c>
      <c r="D2844" s="512" t="s">
        <v>9912</v>
      </c>
      <c r="E2844" s="512" t="s">
        <v>9913</v>
      </c>
      <c r="F2844" s="512" t="s">
        <v>9914</v>
      </c>
      <c r="G2844" s="512" t="s">
        <v>7784</v>
      </c>
      <c r="H2844" s="512" t="s">
        <v>9917</v>
      </c>
      <c r="L2844" s="505" t="s">
        <v>1233</v>
      </c>
      <c r="M2844" s="516">
        <v>124.8</v>
      </c>
      <c r="N2844" s="505" t="s">
        <v>1233</v>
      </c>
    </row>
    <row r="2845" spans="1:14" x14ac:dyDescent="0.25">
      <c r="A2845" s="505" t="s">
        <v>6954</v>
      </c>
      <c r="B2845" s="505" t="s">
        <v>6955</v>
      </c>
      <c r="C2845" s="512" t="s">
        <v>9911</v>
      </c>
      <c r="D2845" s="512" t="s">
        <v>9912</v>
      </c>
      <c r="E2845" s="512" t="s">
        <v>9913</v>
      </c>
      <c r="F2845" s="512" t="s">
        <v>9914</v>
      </c>
      <c r="G2845" s="512" t="s">
        <v>7784</v>
      </c>
      <c r="H2845" s="512" t="s">
        <v>9918</v>
      </c>
      <c r="L2845" s="505" t="s">
        <v>1233</v>
      </c>
      <c r="M2845" s="516">
        <v>120</v>
      </c>
      <c r="N2845" s="505" t="s">
        <v>1233</v>
      </c>
    </row>
    <row r="2846" spans="1:14" x14ac:dyDescent="0.25">
      <c r="A2846" s="505" t="s">
        <v>6956</v>
      </c>
      <c r="B2846" s="505" t="s">
        <v>6957</v>
      </c>
      <c r="C2846" s="512" t="s">
        <v>9911</v>
      </c>
      <c r="D2846" s="512" t="s">
        <v>9912</v>
      </c>
      <c r="E2846" s="512" t="s">
        <v>9913</v>
      </c>
      <c r="F2846" s="512" t="s">
        <v>9914</v>
      </c>
      <c r="G2846" s="512" t="s">
        <v>7784</v>
      </c>
      <c r="H2846" s="512" t="s">
        <v>9919</v>
      </c>
      <c r="L2846" s="505" t="s">
        <v>1233</v>
      </c>
      <c r="M2846" s="516">
        <v>124.8</v>
      </c>
      <c r="N2846" s="505" t="s">
        <v>1233</v>
      </c>
    </row>
    <row r="2847" spans="1:14" x14ac:dyDescent="0.25">
      <c r="A2847" s="505" t="s">
        <v>6958</v>
      </c>
      <c r="B2847" s="505" t="s">
        <v>6959</v>
      </c>
      <c r="C2847" s="512" t="s">
        <v>9911</v>
      </c>
      <c r="D2847" s="512" t="s">
        <v>9912</v>
      </c>
      <c r="E2847" s="512" t="s">
        <v>9913</v>
      </c>
      <c r="F2847" s="512" t="s">
        <v>9914</v>
      </c>
      <c r="G2847" s="512" t="s">
        <v>7784</v>
      </c>
      <c r="H2847" s="512" t="s">
        <v>9920</v>
      </c>
      <c r="L2847" s="505" t="s">
        <v>1233</v>
      </c>
      <c r="M2847" s="516">
        <v>120</v>
      </c>
      <c r="N2847" s="505" t="s">
        <v>1233</v>
      </c>
    </row>
    <row r="2848" spans="1:14" x14ac:dyDescent="0.25">
      <c r="A2848" s="505" t="s">
        <v>6960</v>
      </c>
      <c r="B2848" s="505" t="s">
        <v>6961</v>
      </c>
      <c r="C2848" s="512" t="s">
        <v>9921</v>
      </c>
      <c r="D2848" s="512" t="s">
        <v>9922</v>
      </c>
      <c r="E2848" s="512" t="s">
        <v>9923</v>
      </c>
      <c r="F2848" s="512" t="s">
        <v>9924</v>
      </c>
      <c r="G2848" s="512" t="s">
        <v>7784</v>
      </c>
      <c r="H2848" s="512" t="s">
        <v>9925</v>
      </c>
      <c r="I2848" s="512" t="s">
        <v>9926</v>
      </c>
      <c r="L2848" s="505" t="s">
        <v>1233</v>
      </c>
      <c r="M2848" s="516">
        <v>124.8</v>
      </c>
      <c r="N2848" s="505" t="s">
        <v>1233</v>
      </c>
    </row>
    <row r="2849" spans="1:14" x14ac:dyDescent="0.25">
      <c r="A2849" s="505" t="s">
        <v>6962</v>
      </c>
      <c r="B2849" s="505" t="s">
        <v>6963</v>
      </c>
      <c r="C2849" s="512" t="s">
        <v>9911</v>
      </c>
      <c r="D2849" s="512" t="s">
        <v>9912</v>
      </c>
      <c r="E2849" s="512" t="s">
        <v>9913</v>
      </c>
      <c r="F2849" s="512" t="s">
        <v>8815</v>
      </c>
      <c r="G2849" s="512" t="s">
        <v>9927</v>
      </c>
      <c r="H2849" s="512" t="s">
        <v>9915</v>
      </c>
      <c r="I2849" s="512" t="s">
        <v>9916</v>
      </c>
      <c r="L2849" s="505" t="s">
        <v>1233</v>
      </c>
      <c r="M2849" s="516">
        <v>77.52</v>
      </c>
      <c r="N2849" s="505" t="s">
        <v>1233</v>
      </c>
    </row>
    <row r="2850" spans="1:14" x14ac:dyDescent="0.25">
      <c r="A2850" s="505" t="s">
        <v>6964</v>
      </c>
      <c r="B2850" s="505" t="s">
        <v>6965</v>
      </c>
      <c r="C2850" s="512" t="s">
        <v>9921</v>
      </c>
      <c r="D2850" s="512" t="s">
        <v>9922</v>
      </c>
      <c r="E2850" s="512" t="s">
        <v>9923</v>
      </c>
      <c r="F2850" s="512" t="s">
        <v>8815</v>
      </c>
      <c r="G2850" s="512" t="s">
        <v>9928</v>
      </c>
      <c r="H2850" s="512" t="s">
        <v>9929</v>
      </c>
      <c r="L2850" s="505" t="s">
        <v>1233</v>
      </c>
      <c r="M2850" s="516">
        <v>77.52</v>
      </c>
      <c r="N2850" s="505" t="s">
        <v>1233</v>
      </c>
    </row>
    <row r="2851" spans="1:14" x14ac:dyDescent="0.25">
      <c r="A2851" s="505" t="s">
        <v>6966</v>
      </c>
      <c r="B2851" s="505" t="s">
        <v>6967</v>
      </c>
      <c r="C2851" s="512" t="s">
        <v>9911</v>
      </c>
      <c r="D2851" s="512" t="s">
        <v>9912</v>
      </c>
      <c r="E2851" s="512" t="s">
        <v>9913</v>
      </c>
      <c r="F2851" s="512" t="s">
        <v>8815</v>
      </c>
      <c r="G2851" s="512" t="s">
        <v>9927</v>
      </c>
      <c r="H2851" s="512" t="s">
        <v>9918</v>
      </c>
      <c r="L2851" s="505" t="s">
        <v>1233</v>
      </c>
      <c r="M2851" s="516">
        <v>65.040000000000006</v>
      </c>
      <c r="N2851" s="505" t="s">
        <v>1233</v>
      </c>
    </row>
    <row r="2852" spans="1:14" x14ac:dyDescent="0.25">
      <c r="A2852" s="505" t="s">
        <v>6968</v>
      </c>
      <c r="B2852" s="505" t="s">
        <v>6969</v>
      </c>
      <c r="C2852" s="512" t="s">
        <v>9911</v>
      </c>
      <c r="D2852" s="512" t="s">
        <v>9912</v>
      </c>
      <c r="E2852" s="512" t="s">
        <v>9913</v>
      </c>
      <c r="F2852" s="512" t="s">
        <v>8815</v>
      </c>
      <c r="G2852" s="512" t="s">
        <v>9927</v>
      </c>
      <c r="H2852" s="512" t="s">
        <v>9919</v>
      </c>
      <c r="L2852" s="505" t="s">
        <v>1233</v>
      </c>
      <c r="M2852" s="516">
        <v>77.52</v>
      </c>
      <c r="N2852" s="505" t="s">
        <v>1233</v>
      </c>
    </row>
    <row r="2853" spans="1:14" x14ac:dyDescent="0.25">
      <c r="A2853" s="505" t="s">
        <v>6970</v>
      </c>
      <c r="B2853" s="505" t="s">
        <v>6971</v>
      </c>
      <c r="C2853" s="512" t="s">
        <v>9911</v>
      </c>
      <c r="D2853" s="512" t="s">
        <v>9912</v>
      </c>
      <c r="E2853" s="512" t="s">
        <v>9913</v>
      </c>
      <c r="F2853" s="512" t="s">
        <v>8815</v>
      </c>
      <c r="G2853" s="512" t="s">
        <v>9927</v>
      </c>
      <c r="H2853" s="512" t="s">
        <v>9920</v>
      </c>
      <c r="L2853" s="505" t="s">
        <v>1233</v>
      </c>
      <c r="M2853" s="516">
        <v>65.040000000000006</v>
      </c>
      <c r="N2853" s="505" t="s">
        <v>1233</v>
      </c>
    </row>
    <row r="2854" spans="1:14" x14ac:dyDescent="0.25">
      <c r="A2854" s="505" t="s">
        <v>6972</v>
      </c>
      <c r="B2854" s="505" t="s">
        <v>6973</v>
      </c>
      <c r="C2854" s="512" t="s">
        <v>9911</v>
      </c>
      <c r="D2854" s="512" t="s">
        <v>9912</v>
      </c>
      <c r="E2854" s="512" t="s">
        <v>9913</v>
      </c>
      <c r="F2854" s="512" t="s">
        <v>8815</v>
      </c>
      <c r="G2854" s="512" t="s">
        <v>9927</v>
      </c>
      <c r="H2854" s="512" t="s">
        <v>9930</v>
      </c>
      <c r="I2854" s="512" t="s">
        <v>9931</v>
      </c>
      <c r="L2854" s="505" t="s">
        <v>1233</v>
      </c>
      <c r="M2854" s="516">
        <v>77.52</v>
      </c>
      <c r="N2854" s="505" t="s">
        <v>1233</v>
      </c>
    </row>
    <row r="2855" spans="1:14" x14ac:dyDescent="0.25">
      <c r="A2855" s="505" t="s">
        <v>6974</v>
      </c>
      <c r="B2855" s="505" t="s">
        <v>6975</v>
      </c>
      <c r="C2855" s="512" t="s">
        <v>9911</v>
      </c>
      <c r="D2855" s="512" t="s">
        <v>9912</v>
      </c>
      <c r="E2855" s="512" t="s">
        <v>9913</v>
      </c>
      <c r="F2855" s="512" t="s">
        <v>7784</v>
      </c>
      <c r="G2855" s="512" t="s">
        <v>9927</v>
      </c>
      <c r="H2855" s="512" t="s">
        <v>9917</v>
      </c>
      <c r="L2855" s="505" t="s">
        <v>1233</v>
      </c>
      <c r="M2855" s="516">
        <v>46.51</v>
      </c>
      <c r="N2855" s="505" t="s">
        <v>1233</v>
      </c>
    </row>
    <row r="2856" spans="1:14" x14ac:dyDescent="0.25">
      <c r="A2856" s="505" t="s">
        <v>6976</v>
      </c>
      <c r="B2856" s="505" t="s">
        <v>6977</v>
      </c>
      <c r="C2856" s="512" t="s">
        <v>9911</v>
      </c>
      <c r="D2856" s="512" t="s">
        <v>9912</v>
      </c>
      <c r="E2856" s="512" t="s">
        <v>9913</v>
      </c>
      <c r="F2856" s="512" t="s">
        <v>7784</v>
      </c>
      <c r="G2856" s="512" t="s">
        <v>9927</v>
      </c>
      <c r="H2856" s="512" t="s">
        <v>9918</v>
      </c>
      <c r="L2856" s="505" t="s">
        <v>1233</v>
      </c>
      <c r="M2856" s="516">
        <v>39.020000000000003</v>
      </c>
      <c r="N2856" s="505" t="s">
        <v>1233</v>
      </c>
    </row>
    <row r="2857" spans="1:14" x14ac:dyDescent="0.25">
      <c r="A2857" s="505" t="s">
        <v>6978</v>
      </c>
      <c r="B2857" s="505" t="s">
        <v>6979</v>
      </c>
      <c r="C2857" s="512" t="s">
        <v>9911</v>
      </c>
      <c r="D2857" s="512" t="s">
        <v>9912</v>
      </c>
      <c r="E2857" s="512" t="s">
        <v>9913</v>
      </c>
      <c r="F2857" s="512" t="s">
        <v>7784</v>
      </c>
      <c r="G2857" s="512" t="s">
        <v>9927</v>
      </c>
      <c r="H2857" s="512" t="s">
        <v>9915</v>
      </c>
      <c r="I2857" s="512" t="s">
        <v>9916</v>
      </c>
      <c r="L2857" s="505" t="s">
        <v>1233</v>
      </c>
      <c r="M2857" s="516">
        <v>46.51</v>
      </c>
      <c r="N2857" s="505" t="s">
        <v>1233</v>
      </c>
    </row>
    <row r="2858" spans="1:14" x14ac:dyDescent="0.25">
      <c r="A2858" s="505" t="s">
        <v>6980</v>
      </c>
      <c r="B2858" s="505" t="s">
        <v>6981</v>
      </c>
      <c r="C2858" s="512" t="s">
        <v>9911</v>
      </c>
      <c r="D2858" s="512" t="s">
        <v>9912</v>
      </c>
      <c r="E2858" s="512" t="s">
        <v>9913</v>
      </c>
      <c r="F2858" s="512" t="s">
        <v>9533</v>
      </c>
      <c r="G2858" s="512" t="s">
        <v>9927</v>
      </c>
      <c r="H2858" s="512" t="s">
        <v>9932</v>
      </c>
      <c r="I2858" s="512" t="s">
        <v>9305</v>
      </c>
      <c r="L2858" s="505" t="s">
        <v>1233</v>
      </c>
      <c r="M2858" s="516">
        <v>62.02</v>
      </c>
      <c r="N2858" s="505" t="s">
        <v>1233</v>
      </c>
    </row>
    <row r="2859" spans="1:14" x14ac:dyDescent="0.25">
      <c r="A2859" s="505" t="s">
        <v>6982</v>
      </c>
      <c r="B2859" s="505" t="s">
        <v>6983</v>
      </c>
      <c r="C2859" s="512" t="s">
        <v>9911</v>
      </c>
      <c r="D2859" s="512" t="s">
        <v>9912</v>
      </c>
      <c r="E2859" s="512" t="s">
        <v>9913</v>
      </c>
      <c r="F2859" s="512" t="s">
        <v>9533</v>
      </c>
      <c r="G2859" s="512" t="s">
        <v>9927</v>
      </c>
      <c r="H2859" s="512" t="s">
        <v>9918</v>
      </c>
      <c r="L2859" s="505" t="s">
        <v>1233</v>
      </c>
      <c r="M2859" s="516">
        <v>52.03</v>
      </c>
      <c r="N2859" s="505" t="s">
        <v>1233</v>
      </c>
    </row>
    <row r="2860" spans="1:14" x14ac:dyDescent="0.25">
      <c r="A2860" s="505" t="s">
        <v>6984</v>
      </c>
      <c r="B2860" s="505" t="s">
        <v>6985</v>
      </c>
      <c r="C2860" s="512" t="s">
        <v>9911</v>
      </c>
      <c r="D2860" s="512" t="s">
        <v>9912</v>
      </c>
      <c r="E2860" s="512" t="s">
        <v>9913</v>
      </c>
      <c r="F2860" s="512" t="s">
        <v>9533</v>
      </c>
      <c r="G2860" s="512" t="s">
        <v>9927</v>
      </c>
      <c r="H2860" s="512" t="s">
        <v>9917</v>
      </c>
      <c r="L2860" s="505" t="s">
        <v>1233</v>
      </c>
      <c r="M2860" s="516">
        <v>62.02</v>
      </c>
      <c r="N2860" s="505" t="s">
        <v>1233</v>
      </c>
    </row>
    <row r="2861" spans="1:14" x14ac:dyDescent="0.25">
      <c r="A2861" s="505" t="s">
        <v>6986</v>
      </c>
      <c r="B2861" s="505" t="s">
        <v>6987</v>
      </c>
      <c r="C2861" s="512" t="s">
        <v>9911</v>
      </c>
      <c r="D2861" s="512" t="s">
        <v>9912</v>
      </c>
      <c r="E2861" s="512" t="s">
        <v>9913</v>
      </c>
      <c r="F2861" s="512" t="s">
        <v>7784</v>
      </c>
      <c r="G2861" s="512" t="s">
        <v>9927</v>
      </c>
      <c r="H2861" s="512" t="s">
        <v>9919</v>
      </c>
      <c r="L2861" s="505" t="s">
        <v>1233</v>
      </c>
      <c r="M2861" s="516">
        <v>46.51</v>
      </c>
      <c r="N2861" s="505" t="s">
        <v>1233</v>
      </c>
    </row>
    <row r="2862" spans="1:14" x14ac:dyDescent="0.25">
      <c r="A2862" s="505" t="s">
        <v>6988</v>
      </c>
      <c r="B2862" s="505" t="s">
        <v>6989</v>
      </c>
      <c r="C2862" s="512" t="s">
        <v>9911</v>
      </c>
      <c r="D2862" s="512" t="s">
        <v>9912</v>
      </c>
      <c r="E2862" s="512" t="s">
        <v>9913</v>
      </c>
      <c r="F2862" s="512" t="s">
        <v>7784</v>
      </c>
      <c r="G2862" s="512" t="s">
        <v>9927</v>
      </c>
      <c r="H2862" s="512" t="s">
        <v>9920</v>
      </c>
      <c r="L2862" s="505" t="s">
        <v>1233</v>
      </c>
      <c r="M2862" s="516">
        <v>39.020000000000003</v>
      </c>
      <c r="N2862" s="505" t="s">
        <v>1233</v>
      </c>
    </row>
    <row r="2863" spans="1:14" x14ac:dyDescent="0.25">
      <c r="A2863" s="505" t="s">
        <v>6990</v>
      </c>
      <c r="B2863" s="505" t="s">
        <v>6991</v>
      </c>
      <c r="C2863" s="512" t="s">
        <v>9911</v>
      </c>
      <c r="D2863" s="512" t="s">
        <v>9912</v>
      </c>
      <c r="E2863" s="512" t="s">
        <v>9913</v>
      </c>
      <c r="F2863" s="512" t="s">
        <v>7784</v>
      </c>
      <c r="G2863" s="512" t="s">
        <v>9927</v>
      </c>
      <c r="H2863" s="512" t="s">
        <v>9930</v>
      </c>
      <c r="I2863" s="512" t="s">
        <v>9931</v>
      </c>
      <c r="L2863" s="505" t="s">
        <v>1233</v>
      </c>
      <c r="M2863" s="516">
        <v>46.51</v>
      </c>
      <c r="N2863" s="505" t="s">
        <v>1233</v>
      </c>
    </row>
    <row r="2864" spans="1:14" x14ac:dyDescent="0.25">
      <c r="A2864" s="505" t="s">
        <v>6992</v>
      </c>
      <c r="B2864" s="505" t="s">
        <v>6993</v>
      </c>
      <c r="C2864" s="512" t="s">
        <v>9911</v>
      </c>
      <c r="D2864" s="512" t="s">
        <v>9912</v>
      </c>
      <c r="E2864" s="512" t="s">
        <v>9913</v>
      </c>
      <c r="F2864" s="512" t="s">
        <v>9533</v>
      </c>
      <c r="G2864" s="512" t="s">
        <v>9927</v>
      </c>
      <c r="H2864" s="512" t="s">
        <v>9919</v>
      </c>
      <c r="L2864" s="505" t="s">
        <v>1233</v>
      </c>
      <c r="M2864" s="516">
        <v>62.02</v>
      </c>
      <c r="N2864" s="505" t="s">
        <v>1233</v>
      </c>
    </row>
    <row r="2865" spans="1:14" x14ac:dyDescent="0.25">
      <c r="A2865" s="505" t="s">
        <v>6994</v>
      </c>
      <c r="B2865" s="505" t="s">
        <v>6995</v>
      </c>
      <c r="C2865" s="512" t="s">
        <v>9911</v>
      </c>
      <c r="D2865" s="512" t="s">
        <v>9912</v>
      </c>
      <c r="E2865" s="512" t="s">
        <v>9913</v>
      </c>
      <c r="F2865" s="512" t="s">
        <v>9533</v>
      </c>
      <c r="G2865" s="512" t="s">
        <v>9927</v>
      </c>
      <c r="H2865" s="512" t="s">
        <v>9920</v>
      </c>
      <c r="L2865" s="505" t="s">
        <v>1233</v>
      </c>
      <c r="M2865" s="516">
        <v>52.03</v>
      </c>
      <c r="N2865" s="505" t="s">
        <v>1233</v>
      </c>
    </row>
    <row r="2866" spans="1:14" x14ac:dyDescent="0.25">
      <c r="A2866" s="505" t="s">
        <v>6996</v>
      </c>
      <c r="B2866" s="505" t="s">
        <v>6997</v>
      </c>
      <c r="C2866" s="512" t="s">
        <v>9911</v>
      </c>
      <c r="D2866" s="512" t="s">
        <v>9912</v>
      </c>
      <c r="E2866" s="512" t="s">
        <v>9913</v>
      </c>
      <c r="F2866" s="512" t="s">
        <v>9533</v>
      </c>
      <c r="G2866" s="512" t="s">
        <v>9927</v>
      </c>
      <c r="H2866" s="512" t="s">
        <v>9930</v>
      </c>
      <c r="I2866" s="512" t="s">
        <v>9931</v>
      </c>
      <c r="L2866" s="505" t="s">
        <v>1233</v>
      </c>
      <c r="M2866" s="516">
        <v>62.02</v>
      </c>
      <c r="N2866" s="505" t="s">
        <v>1233</v>
      </c>
    </row>
    <row r="2867" spans="1:14" x14ac:dyDescent="0.25">
      <c r="A2867" s="505" t="s">
        <v>6998</v>
      </c>
      <c r="B2867" s="505" t="s">
        <v>6999</v>
      </c>
      <c r="C2867" s="512" t="s">
        <v>9911</v>
      </c>
      <c r="D2867" s="512" t="s">
        <v>9912</v>
      </c>
      <c r="E2867" s="512" t="s">
        <v>9913</v>
      </c>
      <c r="F2867" s="512" t="s">
        <v>8815</v>
      </c>
      <c r="G2867" s="512" t="s">
        <v>8072</v>
      </c>
      <c r="H2867" s="512" t="s">
        <v>9933</v>
      </c>
      <c r="I2867" s="512" t="s">
        <v>9305</v>
      </c>
      <c r="L2867" s="505" t="s">
        <v>1233</v>
      </c>
      <c r="M2867" s="516">
        <v>77.52</v>
      </c>
      <c r="N2867" s="505" t="s">
        <v>1233</v>
      </c>
    </row>
    <row r="2868" spans="1:14" x14ac:dyDescent="0.25">
      <c r="A2868" s="505" t="s">
        <v>7000</v>
      </c>
      <c r="B2868" s="505" t="s">
        <v>7001</v>
      </c>
      <c r="C2868" s="512" t="s">
        <v>9911</v>
      </c>
      <c r="D2868" s="512" t="s">
        <v>9912</v>
      </c>
      <c r="E2868" s="512" t="s">
        <v>9913</v>
      </c>
      <c r="F2868" s="512" t="s">
        <v>8815</v>
      </c>
      <c r="G2868" s="512" t="s">
        <v>8072</v>
      </c>
      <c r="H2868" s="512" t="s">
        <v>9917</v>
      </c>
      <c r="L2868" s="505" t="s">
        <v>1233</v>
      </c>
      <c r="M2868" s="516">
        <v>77.52</v>
      </c>
      <c r="N2868" s="505" t="s">
        <v>1233</v>
      </c>
    </row>
    <row r="2869" spans="1:14" x14ac:dyDescent="0.25">
      <c r="A2869" s="505" t="s">
        <v>7002</v>
      </c>
      <c r="B2869" s="505" t="s">
        <v>7003</v>
      </c>
      <c r="C2869" s="512" t="s">
        <v>9911</v>
      </c>
      <c r="D2869" s="512" t="s">
        <v>9912</v>
      </c>
      <c r="E2869" s="512" t="s">
        <v>9913</v>
      </c>
      <c r="F2869" s="512" t="s">
        <v>8815</v>
      </c>
      <c r="G2869" s="512" t="s">
        <v>8072</v>
      </c>
      <c r="H2869" s="512" t="s">
        <v>9918</v>
      </c>
      <c r="L2869" s="505" t="s">
        <v>1233</v>
      </c>
      <c r="M2869" s="516">
        <v>65.040000000000006</v>
      </c>
      <c r="N2869" s="505" t="s">
        <v>1233</v>
      </c>
    </row>
    <row r="2870" spans="1:14" x14ac:dyDescent="0.25">
      <c r="A2870" s="505" t="s">
        <v>7004</v>
      </c>
      <c r="B2870" s="505" t="s">
        <v>7005</v>
      </c>
      <c r="C2870" s="512" t="s">
        <v>9911</v>
      </c>
      <c r="D2870" s="512" t="s">
        <v>9912</v>
      </c>
      <c r="E2870" s="512" t="s">
        <v>9913</v>
      </c>
      <c r="F2870" s="512" t="s">
        <v>8815</v>
      </c>
      <c r="G2870" s="512" t="s">
        <v>8072</v>
      </c>
      <c r="H2870" s="512" t="s">
        <v>9919</v>
      </c>
      <c r="L2870" s="505" t="s">
        <v>1233</v>
      </c>
      <c r="M2870" s="516">
        <v>77.52</v>
      </c>
      <c r="N2870" s="505" t="s">
        <v>1233</v>
      </c>
    </row>
    <row r="2871" spans="1:14" x14ac:dyDescent="0.25">
      <c r="A2871" s="505" t="s">
        <v>7006</v>
      </c>
      <c r="B2871" s="505" t="s">
        <v>7007</v>
      </c>
      <c r="C2871" s="512" t="s">
        <v>9911</v>
      </c>
      <c r="D2871" s="512" t="s">
        <v>9912</v>
      </c>
      <c r="E2871" s="512" t="s">
        <v>9913</v>
      </c>
      <c r="F2871" s="512" t="s">
        <v>8815</v>
      </c>
      <c r="G2871" s="512" t="s">
        <v>8072</v>
      </c>
      <c r="H2871" s="512" t="s">
        <v>9920</v>
      </c>
      <c r="L2871" s="505" t="s">
        <v>1233</v>
      </c>
      <c r="M2871" s="516">
        <v>65.040000000000006</v>
      </c>
      <c r="N2871" s="505" t="s">
        <v>1233</v>
      </c>
    </row>
    <row r="2872" spans="1:14" x14ac:dyDescent="0.25">
      <c r="A2872" s="505" t="s">
        <v>7008</v>
      </c>
      <c r="B2872" s="505" t="s">
        <v>7009</v>
      </c>
      <c r="C2872" s="512" t="s">
        <v>9911</v>
      </c>
      <c r="D2872" s="512" t="s">
        <v>9912</v>
      </c>
      <c r="E2872" s="512" t="s">
        <v>9913</v>
      </c>
      <c r="F2872" s="512" t="s">
        <v>8815</v>
      </c>
      <c r="G2872" s="512" t="s">
        <v>8072</v>
      </c>
      <c r="H2872" s="512" t="s">
        <v>9930</v>
      </c>
      <c r="I2872" s="512" t="s">
        <v>9934</v>
      </c>
      <c r="L2872" s="505" t="s">
        <v>1233</v>
      </c>
      <c r="M2872" s="516">
        <v>77.52</v>
      </c>
      <c r="N2872" s="505" t="s">
        <v>1233</v>
      </c>
    </row>
    <row r="2873" spans="1:14" x14ac:dyDescent="0.25">
      <c r="A2873" s="505" t="s">
        <v>7010</v>
      </c>
      <c r="B2873" s="505" t="s">
        <v>7011</v>
      </c>
      <c r="C2873" s="512" t="s">
        <v>9911</v>
      </c>
      <c r="D2873" s="512" t="s">
        <v>9935</v>
      </c>
      <c r="E2873" s="512" t="s">
        <v>9914</v>
      </c>
      <c r="F2873" s="512" t="s">
        <v>9936</v>
      </c>
      <c r="G2873" s="512" t="s">
        <v>9937</v>
      </c>
      <c r="L2873" s="505" t="s">
        <v>1233</v>
      </c>
      <c r="M2873" s="516">
        <v>150</v>
      </c>
      <c r="N2873" s="505" t="s">
        <v>1233</v>
      </c>
    </row>
    <row r="2874" spans="1:14" x14ac:dyDescent="0.25">
      <c r="A2874" s="505" t="s">
        <v>7012</v>
      </c>
      <c r="B2874" s="505" t="s">
        <v>7013</v>
      </c>
      <c r="C2874" s="512" t="s">
        <v>9911</v>
      </c>
      <c r="D2874" s="512" t="s">
        <v>9938</v>
      </c>
      <c r="E2874" s="512" t="s">
        <v>7907</v>
      </c>
      <c r="F2874" s="512" t="s">
        <v>9939</v>
      </c>
      <c r="G2874" s="512" t="s">
        <v>9940</v>
      </c>
      <c r="L2874" s="505" t="s">
        <v>1205</v>
      </c>
      <c r="M2874" s="516">
        <v>412.8</v>
      </c>
      <c r="N2874" s="505" t="s">
        <v>1205</v>
      </c>
    </row>
    <row r="2875" spans="1:14" s="530" customFormat="1" x14ac:dyDescent="0.25">
      <c r="A2875" s="530" t="s">
        <v>7014</v>
      </c>
      <c r="B2875" s="530" t="s">
        <v>7015</v>
      </c>
      <c r="C2875" s="531" t="s">
        <v>9921</v>
      </c>
      <c r="D2875" s="531" t="s">
        <v>9941</v>
      </c>
      <c r="E2875" s="531" t="s">
        <v>9942</v>
      </c>
      <c r="F2875" s="531" t="s">
        <v>9943</v>
      </c>
      <c r="G2875" s="531" t="s">
        <v>9944</v>
      </c>
      <c r="H2875" s="531"/>
      <c r="I2875" s="531"/>
      <c r="L2875" s="530" t="s">
        <v>1205</v>
      </c>
      <c r="M2875" s="532">
        <v>0</v>
      </c>
      <c r="N2875" s="530" t="s">
        <v>1544</v>
      </c>
    </row>
    <row r="2876" spans="1:14" x14ac:dyDescent="0.25">
      <c r="A2876" s="505" t="s">
        <v>7016</v>
      </c>
      <c r="B2876" s="505" t="s">
        <v>7017</v>
      </c>
      <c r="C2876" s="512" t="s">
        <v>9945</v>
      </c>
      <c r="D2876" s="512" t="s">
        <v>9946</v>
      </c>
      <c r="E2876" s="512" t="s">
        <v>25</v>
      </c>
      <c r="F2876" s="512" t="s">
        <v>9262</v>
      </c>
      <c r="L2876" s="505" t="s">
        <v>114</v>
      </c>
      <c r="M2876" s="516">
        <v>390</v>
      </c>
      <c r="N2876" s="505" t="s">
        <v>114</v>
      </c>
    </row>
    <row r="2877" spans="1:14" x14ac:dyDescent="0.25">
      <c r="A2877" s="505" t="s">
        <v>7018</v>
      </c>
      <c r="B2877" s="505" t="s">
        <v>7019</v>
      </c>
      <c r="C2877" s="512" t="s">
        <v>9313</v>
      </c>
      <c r="D2877" s="512" t="s">
        <v>7457</v>
      </c>
      <c r="E2877" s="512" t="s">
        <v>9947</v>
      </c>
      <c r="F2877" s="512">
        <v>1</v>
      </c>
      <c r="G2877" s="512" t="s">
        <v>9948</v>
      </c>
      <c r="H2877" s="512">
        <v>55</v>
      </c>
      <c r="I2877" s="512" t="s">
        <v>9949</v>
      </c>
      <c r="L2877" s="505" t="s">
        <v>1178</v>
      </c>
      <c r="M2877" s="516">
        <v>7.01</v>
      </c>
      <c r="N2877" s="505" t="s">
        <v>1178</v>
      </c>
    </row>
    <row r="2878" spans="1:14" x14ac:dyDescent="0.25">
      <c r="A2878" s="505" t="s">
        <v>7020</v>
      </c>
      <c r="B2878" s="505" t="s">
        <v>7021</v>
      </c>
      <c r="C2878" s="512" t="s">
        <v>9583</v>
      </c>
      <c r="D2878" s="512" t="s">
        <v>8815</v>
      </c>
      <c r="E2878" s="512" t="s">
        <v>8768</v>
      </c>
      <c r="F2878" s="512" t="s">
        <v>9950</v>
      </c>
      <c r="G2878" s="512" t="s">
        <v>9951</v>
      </c>
      <c r="L2878" s="505" t="s">
        <v>114</v>
      </c>
      <c r="M2878" s="516">
        <v>392.3</v>
      </c>
      <c r="N2878" s="505" t="s">
        <v>114</v>
      </c>
    </row>
    <row r="2879" spans="1:14" x14ac:dyDescent="0.25">
      <c r="A2879" s="505" t="s">
        <v>7022</v>
      </c>
      <c r="B2879" s="505" t="s">
        <v>7023</v>
      </c>
      <c r="C2879" s="512" t="s">
        <v>9583</v>
      </c>
      <c r="D2879" s="512" t="s">
        <v>9593</v>
      </c>
      <c r="E2879" s="512" t="s">
        <v>8768</v>
      </c>
      <c r="F2879" s="512" t="s">
        <v>9950</v>
      </c>
      <c r="G2879" s="512" t="s">
        <v>9951</v>
      </c>
      <c r="L2879" s="505" t="s">
        <v>114</v>
      </c>
      <c r="M2879" s="516">
        <v>445</v>
      </c>
      <c r="N2879" s="505" t="s">
        <v>114</v>
      </c>
    </row>
    <row r="2880" spans="1:14" x14ac:dyDescent="0.25">
      <c r="A2880" s="505" t="s">
        <v>7024</v>
      </c>
      <c r="B2880" s="505" t="s">
        <v>7025</v>
      </c>
      <c r="C2880" s="512" t="s">
        <v>9583</v>
      </c>
      <c r="D2880" s="512" t="s">
        <v>9952</v>
      </c>
      <c r="E2880" s="512" t="s">
        <v>8768</v>
      </c>
      <c r="F2880" s="512" t="s">
        <v>9950</v>
      </c>
      <c r="G2880" s="512" t="s">
        <v>9951</v>
      </c>
      <c r="L2880" s="505" t="s">
        <v>114</v>
      </c>
      <c r="M2880" s="516">
        <v>510</v>
      </c>
      <c r="N2880" s="505" t="s">
        <v>114</v>
      </c>
    </row>
    <row r="2881" spans="1:14" x14ac:dyDescent="0.25">
      <c r="A2881" s="505" t="s">
        <v>7026</v>
      </c>
      <c r="B2881" s="505" t="s">
        <v>7027</v>
      </c>
      <c r="C2881" s="512" t="s">
        <v>9583</v>
      </c>
      <c r="D2881" s="512" t="s">
        <v>9953</v>
      </c>
      <c r="E2881" s="512" t="s">
        <v>8768</v>
      </c>
      <c r="F2881" s="512" t="s">
        <v>9950</v>
      </c>
      <c r="G2881" s="512" t="s">
        <v>9951</v>
      </c>
      <c r="L2881" s="505" t="s">
        <v>114</v>
      </c>
      <c r="M2881" s="516">
        <v>572.20000000000005</v>
      </c>
      <c r="N2881" s="505" t="s">
        <v>114</v>
      </c>
    </row>
    <row r="2882" spans="1:14" x14ac:dyDescent="0.25">
      <c r="A2882" s="505" t="s">
        <v>7028</v>
      </c>
      <c r="B2882" s="505" t="s">
        <v>7029</v>
      </c>
      <c r="C2882" s="512" t="s">
        <v>9954</v>
      </c>
      <c r="D2882" s="512" t="s">
        <v>9955</v>
      </c>
      <c r="E2882" s="512" t="s">
        <v>8768</v>
      </c>
      <c r="F2882" s="512" t="s">
        <v>9950</v>
      </c>
      <c r="G2882" s="512" t="s">
        <v>9951</v>
      </c>
      <c r="L2882" s="505" t="s">
        <v>114</v>
      </c>
      <c r="M2882" s="516">
        <v>710</v>
      </c>
      <c r="N2882" s="505" t="s">
        <v>114</v>
      </c>
    </row>
    <row r="2883" spans="1:14" x14ac:dyDescent="0.25">
      <c r="A2883" s="505" t="s">
        <v>7030</v>
      </c>
      <c r="B2883" s="505" t="s">
        <v>7031</v>
      </c>
      <c r="C2883" s="512" t="s">
        <v>9587</v>
      </c>
      <c r="D2883" s="512" t="s">
        <v>9956</v>
      </c>
      <c r="E2883" s="512" t="s">
        <v>9957</v>
      </c>
      <c r="L2883" s="505" t="s">
        <v>114</v>
      </c>
      <c r="M2883" s="516">
        <v>226.9</v>
      </c>
      <c r="N2883" s="505" t="s">
        <v>114</v>
      </c>
    </row>
    <row r="2884" spans="1:14" x14ac:dyDescent="0.25">
      <c r="A2884" s="505" t="s">
        <v>7032</v>
      </c>
      <c r="B2884" s="505" t="s">
        <v>7033</v>
      </c>
      <c r="C2884" s="512" t="s">
        <v>9958</v>
      </c>
      <c r="D2884" s="512" t="s">
        <v>9959</v>
      </c>
      <c r="E2884" s="512" t="s">
        <v>9960</v>
      </c>
      <c r="F2884" s="512" t="s">
        <v>9961</v>
      </c>
      <c r="G2884" s="512" t="s">
        <v>9962</v>
      </c>
      <c r="L2884" s="505" t="s">
        <v>114</v>
      </c>
      <c r="M2884" s="516">
        <v>61.5</v>
      </c>
      <c r="N2884" s="505" t="s">
        <v>114</v>
      </c>
    </row>
    <row r="2885" spans="1:14" x14ac:dyDescent="0.25">
      <c r="A2885" s="505" t="s">
        <v>7034</v>
      </c>
      <c r="B2885" s="505" t="s">
        <v>7035</v>
      </c>
      <c r="C2885" s="512" t="s">
        <v>9963</v>
      </c>
      <c r="D2885" s="512" t="s">
        <v>8797</v>
      </c>
      <c r="E2885" s="512" t="s">
        <v>9964</v>
      </c>
      <c r="F2885" s="512" t="s">
        <v>9501</v>
      </c>
      <c r="L2885" s="505" t="s">
        <v>114</v>
      </c>
      <c r="M2885" s="516">
        <v>42.8</v>
      </c>
      <c r="N2885" s="505" t="s">
        <v>114</v>
      </c>
    </row>
    <row r="2886" spans="1:14" x14ac:dyDescent="0.25">
      <c r="A2886" s="505" t="s">
        <v>7036</v>
      </c>
      <c r="B2886" s="505" t="s">
        <v>7037</v>
      </c>
      <c r="C2886" s="512" t="s">
        <v>9963</v>
      </c>
      <c r="D2886" s="512" t="s">
        <v>9965</v>
      </c>
      <c r="E2886" s="512" t="s">
        <v>9966</v>
      </c>
      <c r="F2886" s="512" t="s">
        <v>9967</v>
      </c>
      <c r="G2886" s="512" t="s">
        <v>9584</v>
      </c>
      <c r="H2886" s="512" t="s">
        <v>9968</v>
      </c>
      <c r="L2886" s="505" t="s">
        <v>114</v>
      </c>
      <c r="M2886" s="516">
        <v>222.45</v>
      </c>
      <c r="N2886" s="505" t="s">
        <v>114</v>
      </c>
    </row>
    <row r="2887" spans="1:14" x14ac:dyDescent="0.25">
      <c r="A2887" s="505" t="s">
        <v>7038</v>
      </c>
      <c r="B2887" s="505" t="s">
        <v>7039</v>
      </c>
      <c r="C2887" s="512" t="s">
        <v>9963</v>
      </c>
      <c r="D2887" s="512" t="s">
        <v>9965</v>
      </c>
      <c r="E2887" s="512" t="s">
        <v>9966</v>
      </c>
      <c r="F2887" s="512" t="s">
        <v>9967</v>
      </c>
      <c r="G2887" s="512" t="s">
        <v>9969</v>
      </c>
      <c r="H2887" s="512" t="s">
        <v>9970</v>
      </c>
      <c r="L2887" s="505" t="s">
        <v>114</v>
      </c>
      <c r="M2887" s="516">
        <v>425.2</v>
      </c>
      <c r="N2887" s="505" t="s">
        <v>114</v>
      </c>
    </row>
    <row r="2888" spans="1:14" x14ac:dyDescent="0.25">
      <c r="A2888" s="505" t="s">
        <v>7040</v>
      </c>
      <c r="B2888" s="505" t="s">
        <v>7041</v>
      </c>
      <c r="C2888" s="512" t="s">
        <v>9963</v>
      </c>
      <c r="D2888" s="512" t="s">
        <v>9965</v>
      </c>
      <c r="E2888" s="512" t="s">
        <v>9966</v>
      </c>
      <c r="F2888" s="512" t="s">
        <v>9967</v>
      </c>
      <c r="G2888" s="512" t="s">
        <v>7742</v>
      </c>
      <c r="H2888" s="512" t="s">
        <v>9971</v>
      </c>
      <c r="L2888" s="505" t="s">
        <v>114</v>
      </c>
      <c r="M2888" s="516">
        <v>443</v>
      </c>
      <c r="N2888" s="505" t="s">
        <v>114</v>
      </c>
    </row>
    <row r="2889" spans="1:14" x14ac:dyDescent="0.25">
      <c r="A2889" s="505" t="s">
        <v>7042</v>
      </c>
      <c r="B2889" s="505" t="s">
        <v>7043</v>
      </c>
      <c r="C2889" s="512" t="s">
        <v>9958</v>
      </c>
      <c r="D2889" s="512" t="s">
        <v>9972</v>
      </c>
      <c r="E2889" s="512" t="s">
        <v>9599</v>
      </c>
      <c r="F2889" s="512" t="s">
        <v>7784</v>
      </c>
      <c r="G2889" s="512" t="s">
        <v>9973</v>
      </c>
      <c r="L2889" s="505" t="s">
        <v>114</v>
      </c>
      <c r="M2889" s="516">
        <v>269</v>
      </c>
      <c r="N2889" s="505" t="s">
        <v>114</v>
      </c>
    </row>
    <row r="2890" spans="1:14" x14ac:dyDescent="0.25">
      <c r="A2890" s="505" t="s">
        <v>7044</v>
      </c>
      <c r="B2890" s="505" t="s">
        <v>7045</v>
      </c>
      <c r="C2890" s="512" t="s">
        <v>9963</v>
      </c>
      <c r="D2890" s="512" t="s">
        <v>8768</v>
      </c>
      <c r="E2890" s="512" t="s">
        <v>8452</v>
      </c>
      <c r="F2890" s="512" t="s">
        <v>9974</v>
      </c>
      <c r="G2890" s="512" t="s">
        <v>9975</v>
      </c>
      <c r="L2890" s="505" t="s">
        <v>114</v>
      </c>
      <c r="M2890" s="516">
        <v>1090</v>
      </c>
      <c r="N2890" s="505" t="s">
        <v>114</v>
      </c>
    </row>
    <row r="2891" spans="1:14" x14ac:dyDescent="0.25">
      <c r="A2891" s="505" t="s">
        <v>7046</v>
      </c>
      <c r="B2891" s="505" t="s">
        <v>7047</v>
      </c>
      <c r="C2891" s="512" t="s">
        <v>9958</v>
      </c>
      <c r="D2891" s="512" t="s">
        <v>9959</v>
      </c>
      <c r="E2891" s="512" t="s">
        <v>9960</v>
      </c>
      <c r="F2891" s="512" t="s">
        <v>9976</v>
      </c>
      <c r="G2891" s="512" t="s">
        <v>9977</v>
      </c>
      <c r="L2891" s="505" t="s">
        <v>114</v>
      </c>
      <c r="M2891" s="516">
        <v>181.85</v>
      </c>
      <c r="N2891" s="505" t="s">
        <v>114</v>
      </c>
    </row>
    <row r="2892" spans="1:14" x14ac:dyDescent="0.25">
      <c r="A2892" s="505" t="s">
        <v>7048</v>
      </c>
      <c r="B2892" s="505" t="s">
        <v>7049</v>
      </c>
      <c r="C2892" s="512" t="s">
        <v>9963</v>
      </c>
      <c r="D2892" s="512" t="s">
        <v>9965</v>
      </c>
      <c r="E2892" s="512" t="s">
        <v>8093</v>
      </c>
      <c r="F2892" s="512" t="s">
        <v>8452</v>
      </c>
      <c r="G2892" s="512" t="s">
        <v>9978</v>
      </c>
      <c r="H2892" s="515">
        <v>45452</v>
      </c>
      <c r="I2892" s="512" t="s">
        <v>9979</v>
      </c>
      <c r="L2892" s="505" t="s">
        <v>114</v>
      </c>
      <c r="M2892" s="516">
        <v>399.5</v>
      </c>
      <c r="N2892" s="505" t="s">
        <v>114</v>
      </c>
    </row>
    <row r="2893" spans="1:14" x14ac:dyDescent="0.25">
      <c r="A2893" s="505" t="s">
        <v>7050</v>
      </c>
      <c r="B2893" s="505" t="s">
        <v>7051</v>
      </c>
      <c r="C2893" s="512" t="s">
        <v>9963</v>
      </c>
      <c r="D2893" s="512" t="s">
        <v>9965</v>
      </c>
      <c r="E2893" s="512" t="s">
        <v>8093</v>
      </c>
      <c r="F2893" s="512" t="s">
        <v>8452</v>
      </c>
      <c r="G2893" s="512" t="s">
        <v>9980</v>
      </c>
      <c r="H2893" s="515">
        <v>45484</v>
      </c>
      <c r="I2893" s="512" t="s">
        <v>9981</v>
      </c>
      <c r="L2893" s="505" t="s">
        <v>114</v>
      </c>
      <c r="M2893" s="516">
        <v>437.5</v>
      </c>
      <c r="N2893" s="505" t="s">
        <v>114</v>
      </c>
    </row>
    <row r="2894" spans="1:14" x14ac:dyDescent="0.25">
      <c r="A2894" s="505" t="s">
        <v>7052</v>
      </c>
      <c r="B2894" s="505" t="s">
        <v>7053</v>
      </c>
      <c r="C2894" s="512" t="s">
        <v>9963</v>
      </c>
      <c r="D2894" s="512" t="s">
        <v>9965</v>
      </c>
      <c r="E2894" s="512" t="s">
        <v>8093</v>
      </c>
      <c r="F2894" s="512" t="s">
        <v>8452</v>
      </c>
      <c r="G2894" s="512" t="s">
        <v>9980</v>
      </c>
      <c r="H2894" s="515">
        <v>45517</v>
      </c>
      <c r="I2894" s="512" t="s">
        <v>9982</v>
      </c>
      <c r="L2894" s="505" t="s">
        <v>114</v>
      </c>
      <c r="M2894" s="516">
        <v>467.75</v>
      </c>
      <c r="N2894" s="505" t="s">
        <v>114</v>
      </c>
    </row>
    <row r="2895" spans="1:14" x14ac:dyDescent="0.25">
      <c r="A2895" s="505" t="s">
        <v>7054</v>
      </c>
      <c r="B2895" s="505" t="s">
        <v>7055</v>
      </c>
      <c r="C2895" s="512" t="s">
        <v>9814</v>
      </c>
      <c r="D2895" s="512" t="s">
        <v>9983</v>
      </c>
      <c r="E2895" s="512" t="s">
        <v>9984</v>
      </c>
      <c r="F2895" s="512" t="s">
        <v>8099</v>
      </c>
      <c r="G2895" s="512" t="s">
        <v>9730</v>
      </c>
      <c r="L2895" s="505" t="s">
        <v>1233</v>
      </c>
      <c r="M2895" s="516">
        <v>305</v>
      </c>
      <c r="N2895" s="505" t="s">
        <v>1233</v>
      </c>
    </row>
    <row r="2896" spans="1:14" s="518" customFormat="1" x14ac:dyDescent="0.25">
      <c r="A2896" s="518" t="s">
        <v>7056</v>
      </c>
      <c r="B2896" s="518" t="s">
        <v>7057</v>
      </c>
      <c r="C2896" s="519" t="s">
        <v>7762</v>
      </c>
      <c r="D2896" s="519" t="s">
        <v>9985</v>
      </c>
      <c r="E2896" s="519" t="s">
        <v>8074</v>
      </c>
      <c r="F2896" s="519" t="s">
        <v>9986</v>
      </c>
      <c r="G2896" s="519" t="s">
        <v>9987</v>
      </c>
      <c r="H2896" s="519" t="s">
        <v>7575</v>
      </c>
      <c r="I2896" s="519" t="s">
        <v>7783</v>
      </c>
      <c r="L2896" s="518" t="s">
        <v>1233</v>
      </c>
      <c r="M2896" s="520">
        <v>12.7</v>
      </c>
      <c r="N2896" s="518" t="s">
        <v>1233</v>
      </c>
    </row>
    <row r="2897" spans="1:14" s="518" customFormat="1" x14ac:dyDescent="0.25">
      <c r="A2897" s="518" t="s">
        <v>7058</v>
      </c>
      <c r="B2897" s="518" t="s">
        <v>7059</v>
      </c>
      <c r="C2897" s="519" t="s">
        <v>7762</v>
      </c>
      <c r="D2897" s="519" t="s">
        <v>9985</v>
      </c>
      <c r="E2897" s="519" t="s">
        <v>8074</v>
      </c>
      <c r="F2897" s="519" t="s">
        <v>9986</v>
      </c>
      <c r="G2897" s="519" t="s">
        <v>9987</v>
      </c>
      <c r="H2897" s="519" t="s">
        <v>148</v>
      </c>
      <c r="I2897" s="519"/>
      <c r="L2897" s="518" t="s">
        <v>1233</v>
      </c>
      <c r="M2897" s="520">
        <v>12.7</v>
      </c>
      <c r="N2897" s="518" t="s">
        <v>1233</v>
      </c>
    </row>
    <row r="2898" spans="1:14" s="518" customFormat="1" x14ac:dyDescent="0.25">
      <c r="A2898" s="518" t="s">
        <v>7060</v>
      </c>
      <c r="B2898" s="518" t="s">
        <v>7061</v>
      </c>
      <c r="C2898" s="519" t="s">
        <v>7762</v>
      </c>
      <c r="D2898" s="519" t="s">
        <v>9985</v>
      </c>
      <c r="E2898" s="519" t="s">
        <v>8074</v>
      </c>
      <c r="F2898" s="519" t="s">
        <v>9986</v>
      </c>
      <c r="G2898" s="519" t="s">
        <v>9987</v>
      </c>
      <c r="H2898" s="519" t="s">
        <v>7786</v>
      </c>
      <c r="I2898" s="519"/>
      <c r="L2898" s="518" t="s">
        <v>1233</v>
      </c>
      <c r="M2898" s="520">
        <v>12.7</v>
      </c>
      <c r="N2898" s="518" t="s">
        <v>1233</v>
      </c>
    </row>
    <row r="2899" spans="1:14" s="518" customFormat="1" x14ac:dyDescent="0.25">
      <c r="A2899" s="518" t="s">
        <v>7062</v>
      </c>
      <c r="B2899" s="518" t="s">
        <v>7063</v>
      </c>
      <c r="C2899" s="519" t="s">
        <v>7762</v>
      </c>
      <c r="D2899" s="519" t="s">
        <v>9985</v>
      </c>
      <c r="E2899" s="519" t="s">
        <v>8074</v>
      </c>
      <c r="F2899" s="519" t="s">
        <v>9986</v>
      </c>
      <c r="G2899" s="519" t="s">
        <v>9987</v>
      </c>
      <c r="H2899" s="519" t="s">
        <v>144</v>
      </c>
      <c r="I2899" s="519"/>
      <c r="L2899" s="518" t="s">
        <v>1233</v>
      </c>
      <c r="M2899" s="520">
        <v>12.7</v>
      </c>
      <c r="N2899" s="518" t="s">
        <v>1233</v>
      </c>
    </row>
    <row r="2900" spans="1:14" s="518" customFormat="1" x14ac:dyDescent="0.25">
      <c r="A2900" s="518" t="s">
        <v>7064</v>
      </c>
      <c r="B2900" s="518" t="s">
        <v>7065</v>
      </c>
      <c r="C2900" s="519" t="s">
        <v>7762</v>
      </c>
      <c r="D2900" s="519" t="s">
        <v>9985</v>
      </c>
      <c r="E2900" s="519" t="s">
        <v>8074</v>
      </c>
      <c r="F2900" s="519" t="s">
        <v>9986</v>
      </c>
      <c r="G2900" s="519" t="s">
        <v>9987</v>
      </c>
      <c r="H2900" s="519" t="s">
        <v>143</v>
      </c>
      <c r="I2900" s="519"/>
      <c r="L2900" s="518" t="s">
        <v>1233</v>
      </c>
      <c r="M2900" s="520">
        <v>12.7</v>
      </c>
      <c r="N2900" s="518" t="s">
        <v>1233</v>
      </c>
    </row>
    <row r="2901" spans="1:14" s="518" customFormat="1" x14ac:dyDescent="0.25">
      <c r="A2901" s="518" t="s">
        <v>7066</v>
      </c>
      <c r="B2901" s="518" t="s">
        <v>7067</v>
      </c>
      <c r="C2901" s="519" t="s">
        <v>7762</v>
      </c>
      <c r="D2901" s="519" t="s">
        <v>9985</v>
      </c>
      <c r="E2901" s="519" t="s">
        <v>8074</v>
      </c>
      <c r="F2901" s="519" t="s">
        <v>9986</v>
      </c>
      <c r="G2901" s="519" t="s">
        <v>9987</v>
      </c>
      <c r="H2901" s="519" t="s">
        <v>477</v>
      </c>
      <c r="I2901" s="519"/>
      <c r="L2901" s="518" t="s">
        <v>1233</v>
      </c>
      <c r="M2901" s="520">
        <v>12.7</v>
      </c>
      <c r="N2901" s="518" t="s">
        <v>1233</v>
      </c>
    </row>
    <row r="2902" spans="1:14" s="518" customFormat="1" x14ac:dyDescent="0.25">
      <c r="A2902" s="518" t="s">
        <v>7068</v>
      </c>
      <c r="B2902" s="518" t="s">
        <v>7069</v>
      </c>
      <c r="C2902" s="519" t="s">
        <v>7762</v>
      </c>
      <c r="D2902" s="519" t="s">
        <v>9985</v>
      </c>
      <c r="E2902" s="519" t="s">
        <v>8074</v>
      </c>
      <c r="F2902" s="519" t="s">
        <v>9986</v>
      </c>
      <c r="G2902" s="519" t="s">
        <v>9987</v>
      </c>
      <c r="H2902" s="519" t="s">
        <v>7787</v>
      </c>
      <c r="I2902" s="519"/>
      <c r="L2902" s="518" t="s">
        <v>1233</v>
      </c>
      <c r="M2902" s="520">
        <v>12.7</v>
      </c>
      <c r="N2902" s="518" t="s">
        <v>1233</v>
      </c>
    </row>
    <row r="2903" spans="1:14" s="518" customFormat="1" x14ac:dyDescent="0.25">
      <c r="A2903" s="518" t="s">
        <v>7070</v>
      </c>
      <c r="B2903" s="518" t="s">
        <v>7071</v>
      </c>
      <c r="C2903" s="519" t="s">
        <v>7762</v>
      </c>
      <c r="D2903" s="519" t="s">
        <v>9985</v>
      </c>
      <c r="E2903" s="519" t="s">
        <v>8074</v>
      </c>
      <c r="F2903" s="519" t="s">
        <v>9986</v>
      </c>
      <c r="G2903" s="519" t="s">
        <v>9987</v>
      </c>
      <c r="H2903" s="519" t="s">
        <v>7788</v>
      </c>
      <c r="I2903" s="519" t="s">
        <v>7783</v>
      </c>
      <c r="L2903" s="518" t="s">
        <v>1233</v>
      </c>
      <c r="M2903" s="520">
        <v>12.7</v>
      </c>
      <c r="N2903" s="518" t="s">
        <v>1233</v>
      </c>
    </row>
    <row r="2904" spans="1:14" s="518" customFormat="1" x14ac:dyDescent="0.25">
      <c r="A2904" s="518" t="s">
        <v>7072</v>
      </c>
      <c r="B2904" s="518" t="s">
        <v>7073</v>
      </c>
      <c r="C2904" s="519" t="s">
        <v>7762</v>
      </c>
      <c r="D2904" s="519" t="s">
        <v>9985</v>
      </c>
      <c r="E2904" s="519" t="s">
        <v>8074</v>
      </c>
      <c r="F2904" s="519" t="s">
        <v>9986</v>
      </c>
      <c r="G2904" s="519" t="s">
        <v>9987</v>
      </c>
      <c r="H2904" s="519" t="s">
        <v>7789</v>
      </c>
      <c r="I2904" s="519"/>
      <c r="L2904" s="518" t="s">
        <v>1233</v>
      </c>
      <c r="M2904" s="520">
        <v>12.7</v>
      </c>
      <c r="N2904" s="518" t="s">
        <v>1233</v>
      </c>
    </row>
    <row r="2905" spans="1:14" s="518" customFormat="1" x14ac:dyDescent="0.25">
      <c r="A2905" s="518" t="s">
        <v>7074</v>
      </c>
      <c r="B2905" s="518" t="s">
        <v>7075</v>
      </c>
      <c r="C2905" s="519" t="s">
        <v>7762</v>
      </c>
      <c r="D2905" s="519" t="s">
        <v>9985</v>
      </c>
      <c r="E2905" s="519" t="s">
        <v>8074</v>
      </c>
      <c r="F2905" s="519" t="s">
        <v>9986</v>
      </c>
      <c r="G2905" s="519" t="s">
        <v>9987</v>
      </c>
      <c r="H2905" s="519" t="s">
        <v>7790</v>
      </c>
      <c r="I2905" s="519"/>
      <c r="L2905" s="518" t="s">
        <v>1233</v>
      </c>
      <c r="M2905" s="520">
        <v>12.7</v>
      </c>
      <c r="N2905" s="518" t="s">
        <v>1233</v>
      </c>
    </row>
    <row r="2906" spans="1:14" s="518" customFormat="1" x14ac:dyDescent="0.25">
      <c r="A2906" s="518" t="s">
        <v>7076</v>
      </c>
      <c r="B2906" s="518" t="s">
        <v>7077</v>
      </c>
      <c r="C2906" s="519" t="s">
        <v>7762</v>
      </c>
      <c r="D2906" s="519" t="s">
        <v>9985</v>
      </c>
      <c r="E2906" s="519" t="s">
        <v>8074</v>
      </c>
      <c r="F2906" s="519" t="s">
        <v>9986</v>
      </c>
      <c r="G2906" s="519" t="s">
        <v>9987</v>
      </c>
      <c r="H2906" s="519" t="s">
        <v>524</v>
      </c>
      <c r="I2906" s="519"/>
      <c r="L2906" s="518" t="s">
        <v>1233</v>
      </c>
      <c r="M2906" s="520">
        <v>12.7</v>
      </c>
      <c r="N2906" s="518" t="s">
        <v>1233</v>
      </c>
    </row>
    <row r="2907" spans="1:14" s="518" customFormat="1" x14ac:dyDescent="0.25">
      <c r="A2907" s="518" t="s">
        <v>7078</v>
      </c>
      <c r="B2907" s="518" t="s">
        <v>7079</v>
      </c>
      <c r="C2907" s="519" t="s">
        <v>7762</v>
      </c>
      <c r="D2907" s="519" t="s">
        <v>9985</v>
      </c>
      <c r="E2907" s="519" t="s">
        <v>8074</v>
      </c>
      <c r="F2907" s="519" t="s">
        <v>9986</v>
      </c>
      <c r="G2907" s="519" t="s">
        <v>9987</v>
      </c>
      <c r="H2907" s="519" t="s">
        <v>363</v>
      </c>
      <c r="I2907" s="519"/>
      <c r="L2907" s="518" t="s">
        <v>1233</v>
      </c>
      <c r="M2907" s="520">
        <v>12.7</v>
      </c>
      <c r="N2907" s="518" t="s">
        <v>1233</v>
      </c>
    </row>
    <row r="2908" spans="1:14" s="518" customFormat="1" x14ac:dyDescent="0.25">
      <c r="A2908" s="518" t="s">
        <v>7080</v>
      </c>
      <c r="B2908" s="518" t="s">
        <v>7081</v>
      </c>
      <c r="C2908" s="519" t="s">
        <v>7762</v>
      </c>
      <c r="D2908" s="519" t="s">
        <v>9985</v>
      </c>
      <c r="E2908" s="519" t="s">
        <v>8074</v>
      </c>
      <c r="F2908" s="519" t="s">
        <v>9986</v>
      </c>
      <c r="G2908" s="519" t="s">
        <v>9987</v>
      </c>
      <c r="H2908" s="519" t="s">
        <v>7791</v>
      </c>
      <c r="I2908" s="519" t="s">
        <v>7775</v>
      </c>
      <c r="L2908" s="518" t="s">
        <v>1233</v>
      </c>
      <c r="M2908" s="520">
        <v>12.7</v>
      </c>
      <c r="N2908" s="518" t="s">
        <v>1233</v>
      </c>
    </row>
    <row r="2909" spans="1:14" s="518" customFormat="1" x14ac:dyDescent="0.25">
      <c r="A2909" s="518" t="s">
        <v>7082</v>
      </c>
      <c r="B2909" s="518" t="s">
        <v>7083</v>
      </c>
      <c r="C2909" s="519" t="s">
        <v>7762</v>
      </c>
      <c r="D2909" s="519" t="s">
        <v>9985</v>
      </c>
      <c r="E2909" s="519" t="s">
        <v>8074</v>
      </c>
      <c r="F2909" s="519" t="s">
        <v>9986</v>
      </c>
      <c r="G2909" s="519" t="s">
        <v>9987</v>
      </c>
      <c r="H2909" s="519" t="s">
        <v>7792</v>
      </c>
      <c r="I2909" s="519"/>
      <c r="L2909" s="518" t="s">
        <v>1233</v>
      </c>
      <c r="M2909" s="520">
        <v>12.7</v>
      </c>
      <c r="N2909" s="518" t="s">
        <v>1233</v>
      </c>
    </row>
    <row r="2910" spans="1:14" s="518" customFormat="1" x14ac:dyDescent="0.25">
      <c r="A2910" s="518" t="s">
        <v>7084</v>
      </c>
      <c r="B2910" s="518" t="s">
        <v>7085</v>
      </c>
      <c r="C2910" s="519" t="s">
        <v>7762</v>
      </c>
      <c r="D2910" s="519" t="s">
        <v>9985</v>
      </c>
      <c r="E2910" s="519" t="s">
        <v>8074</v>
      </c>
      <c r="F2910" s="519" t="s">
        <v>9986</v>
      </c>
      <c r="G2910" s="519" t="s">
        <v>9987</v>
      </c>
      <c r="H2910" s="519" t="s">
        <v>133</v>
      </c>
      <c r="I2910" s="519"/>
      <c r="L2910" s="518" t="s">
        <v>1233</v>
      </c>
      <c r="M2910" s="520">
        <v>12.7</v>
      </c>
      <c r="N2910" s="518" t="s">
        <v>1233</v>
      </c>
    </row>
    <row r="2911" spans="1:14" s="518" customFormat="1" x14ac:dyDescent="0.25">
      <c r="A2911" s="518" t="s">
        <v>7086</v>
      </c>
      <c r="B2911" s="518" t="s">
        <v>7087</v>
      </c>
      <c r="C2911" s="519" t="s">
        <v>7762</v>
      </c>
      <c r="D2911" s="519" t="s">
        <v>9985</v>
      </c>
      <c r="E2911" s="519" t="s">
        <v>8074</v>
      </c>
      <c r="F2911" s="519" t="s">
        <v>9986</v>
      </c>
      <c r="G2911" s="519" t="s">
        <v>9987</v>
      </c>
      <c r="H2911" s="519" t="s">
        <v>7777</v>
      </c>
      <c r="I2911" s="519" t="s">
        <v>477</v>
      </c>
      <c r="L2911" s="518" t="s">
        <v>1233</v>
      </c>
      <c r="M2911" s="520">
        <v>12.7</v>
      </c>
      <c r="N2911" s="518" t="s">
        <v>1233</v>
      </c>
    </row>
    <row r="2912" spans="1:14" s="518" customFormat="1" x14ac:dyDescent="0.25">
      <c r="A2912" s="518" t="s">
        <v>7088</v>
      </c>
      <c r="B2912" s="518" t="s">
        <v>7089</v>
      </c>
      <c r="C2912" s="519" t="s">
        <v>7762</v>
      </c>
      <c r="D2912" s="519" t="s">
        <v>9985</v>
      </c>
      <c r="E2912" s="519" t="s">
        <v>8074</v>
      </c>
      <c r="F2912" s="519" t="s">
        <v>9986</v>
      </c>
      <c r="G2912" s="519" t="s">
        <v>9987</v>
      </c>
      <c r="H2912" s="519" t="s">
        <v>510</v>
      </c>
      <c r="I2912" s="519"/>
      <c r="L2912" s="518" t="s">
        <v>1233</v>
      </c>
      <c r="M2912" s="520">
        <v>12.7</v>
      </c>
      <c r="N2912" s="518" t="s">
        <v>1233</v>
      </c>
    </row>
    <row r="2913" spans="1:14" s="518" customFormat="1" x14ac:dyDescent="0.25">
      <c r="A2913" s="518" t="s">
        <v>7090</v>
      </c>
      <c r="B2913" s="518" t="s">
        <v>7091</v>
      </c>
      <c r="C2913" s="519" t="s">
        <v>7762</v>
      </c>
      <c r="D2913" s="519" t="s">
        <v>9985</v>
      </c>
      <c r="E2913" s="519" t="s">
        <v>8074</v>
      </c>
      <c r="F2913" s="519" t="s">
        <v>9986</v>
      </c>
      <c r="G2913" s="519" t="s">
        <v>9987</v>
      </c>
      <c r="H2913" s="519" t="s">
        <v>9988</v>
      </c>
      <c r="I2913" s="519"/>
      <c r="L2913" s="518" t="s">
        <v>1233</v>
      </c>
      <c r="M2913" s="520">
        <v>12.7</v>
      </c>
      <c r="N2913" s="518" t="s">
        <v>1233</v>
      </c>
    </row>
    <row r="2914" spans="1:14" s="518" customFormat="1" x14ac:dyDescent="0.25">
      <c r="A2914" s="518" t="s">
        <v>7092</v>
      </c>
      <c r="B2914" s="518" t="s">
        <v>7093</v>
      </c>
      <c r="C2914" s="519" t="s">
        <v>7762</v>
      </c>
      <c r="D2914" s="519" t="s">
        <v>9985</v>
      </c>
      <c r="E2914" s="519" t="s">
        <v>8074</v>
      </c>
      <c r="F2914" s="519" t="s">
        <v>9986</v>
      </c>
      <c r="G2914" s="519" t="s">
        <v>9987</v>
      </c>
      <c r="H2914" s="519" t="s">
        <v>511</v>
      </c>
      <c r="I2914" s="519"/>
      <c r="L2914" s="518" t="s">
        <v>1233</v>
      </c>
      <c r="M2914" s="520">
        <v>12.7</v>
      </c>
      <c r="N2914" s="518" t="s">
        <v>1233</v>
      </c>
    </row>
    <row r="2915" spans="1:14" s="518" customFormat="1" x14ac:dyDescent="0.25">
      <c r="A2915" s="518" t="s">
        <v>7094</v>
      </c>
      <c r="B2915" s="518" t="s">
        <v>7095</v>
      </c>
      <c r="C2915" s="519" t="s">
        <v>7762</v>
      </c>
      <c r="D2915" s="519" t="s">
        <v>9985</v>
      </c>
      <c r="E2915" s="519" t="s">
        <v>8074</v>
      </c>
      <c r="F2915" s="519" t="s">
        <v>9986</v>
      </c>
      <c r="G2915" s="519" t="s">
        <v>9987</v>
      </c>
      <c r="H2915" s="519" t="s">
        <v>137</v>
      </c>
      <c r="I2915" s="519"/>
      <c r="L2915" s="518" t="s">
        <v>1233</v>
      </c>
      <c r="M2915" s="520">
        <v>12.7</v>
      </c>
      <c r="N2915" s="518" t="s">
        <v>1233</v>
      </c>
    </row>
    <row r="2916" spans="1:14" x14ac:dyDescent="0.25">
      <c r="A2916" s="505" t="s">
        <v>7096</v>
      </c>
      <c r="B2916" s="505" t="s">
        <v>7097</v>
      </c>
      <c r="C2916" s="512" t="s">
        <v>7796</v>
      </c>
      <c r="D2916" s="512" t="s">
        <v>8463</v>
      </c>
      <c r="E2916" s="512" t="s">
        <v>8072</v>
      </c>
      <c r="F2916" s="512" t="s">
        <v>9989</v>
      </c>
      <c r="G2916" s="512" t="s">
        <v>9987</v>
      </c>
      <c r="H2916" s="512" t="s">
        <v>9697</v>
      </c>
      <c r="L2916" s="505" t="s">
        <v>1233</v>
      </c>
      <c r="M2916" s="516">
        <v>0.42</v>
      </c>
      <c r="N2916" s="505" t="s">
        <v>1233</v>
      </c>
    </row>
    <row r="2917" spans="1:14" x14ac:dyDescent="0.25">
      <c r="A2917" s="505" t="s">
        <v>7098</v>
      </c>
      <c r="B2917" s="505" t="s">
        <v>7099</v>
      </c>
      <c r="C2917" s="512" t="s">
        <v>7796</v>
      </c>
      <c r="D2917" s="512" t="s">
        <v>8463</v>
      </c>
      <c r="E2917" s="512" t="s">
        <v>8072</v>
      </c>
      <c r="F2917" s="512" t="s">
        <v>9989</v>
      </c>
      <c r="G2917" s="512" t="s">
        <v>9987</v>
      </c>
      <c r="H2917" s="512" t="s">
        <v>7436</v>
      </c>
      <c r="L2917" s="505" t="s">
        <v>1233</v>
      </c>
      <c r="M2917" s="516">
        <v>0.42</v>
      </c>
      <c r="N2917" s="505" t="s">
        <v>1233</v>
      </c>
    </row>
    <row r="2918" spans="1:14" x14ac:dyDescent="0.25">
      <c r="A2918" s="505" t="s">
        <v>7100</v>
      </c>
      <c r="B2918" s="505" t="s">
        <v>7101</v>
      </c>
      <c r="C2918" s="512" t="s">
        <v>7796</v>
      </c>
      <c r="D2918" s="512" t="s">
        <v>8463</v>
      </c>
      <c r="E2918" s="512" t="s">
        <v>8072</v>
      </c>
      <c r="F2918" s="512" t="s">
        <v>9989</v>
      </c>
      <c r="G2918" s="512" t="s">
        <v>9987</v>
      </c>
      <c r="H2918" s="512" t="s">
        <v>7800</v>
      </c>
      <c r="L2918" s="505" t="s">
        <v>1233</v>
      </c>
      <c r="M2918" s="516">
        <v>0.42</v>
      </c>
      <c r="N2918" s="505" t="s">
        <v>1233</v>
      </c>
    </row>
    <row r="2919" spans="1:14" x14ac:dyDescent="0.25">
      <c r="A2919" s="505" t="s">
        <v>7102</v>
      </c>
      <c r="B2919" s="505" t="s">
        <v>7103</v>
      </c>
      <c r="C2919" s="512" t="s">
        <v>7796</v>
      </c>
      <c r="D2919" s="512" t="s">
        <v>8463</v>
      </c>
      <c r="E2919" s="512" t="s">
        <v>8072</v>
      </c>
      <c r="F2919" s="512" t="s">
        <v>9989</v>
      </c>
      <c r="G2919" s="512" t="s">
        <v>9987</v>
      </c>
      <c r="H2919" s="512" t="s">
        <v>7881</v>
      </c>
      <c r="L2919" s="505" t="s">
        <v>1233</v>
      </c>
      <c r="M2919" s="516">
        <v>0.42</v>
      </c>
      <c r="N2919" s="505" t="s">
        <v>1233</v>
      </c>
    </row>
    <row r="2920" spans="1:14" x14ac:dyDescent="0.25">
      <c r="A2920" s="505" t="s">
        <v>7104</v>
      </c>
      <c r="B2920" s="505" t="s">
        <v>7105</v>
      </c>
      <c r="C2920" s="512" t="s">
        <v>7796</v>
      </c>
      <c r="D2920" s="512" t="s">
        <v>8463</v>
      </c>
      <c r="E2920" s="512" t="s">
        <v>8072</v>
      </c>
      <c r="F2920" s="512" t="s">
        <v>9989</v>
      </c>
      <c r="G2920" s="512" t="s">
        <v>9987</v>
      </c>
      <c r="H2920" s="512" t="s">
        <v>7433</v>
      </c>
      <c r="L2920" s="505" t="s">
        <v>1233</v>
      </c>
      <c r="M2920" s="516">
        <v>0.42</v>
      </c>
      <c r="N2920" s="505" t="s">
        <v>1233</v>
      </c>
    </row>
    <row r="2921" spans="1:14" x14ac:dyDescent="0.25">
      <c r="A2921" s="505" t="s">
        <v>7106</v>
      </c>
      <c r="B2921" s="505" t="s">
        <v>7107</v>
      </c>
      <c r="C2921" s="512" t="s">
        <v>7796</v>
      </c>
      <c r="D2921" s="512" t="s">
        <v>8463</v>
      </c>
      <c r="E2921" s="512" t="s">
        <v>8072</v>
      </c>
      <c r="F2921" s="512" t="s">
        <v>9989</v>
      </c>
      <c r="G2921" s="512" t="s">
        <v>9987</v>
      </c>
      <c r="H2921" s="512" t="s">
        <v>7803</v>
      </c>
      <c r="L2921" s="505" t="s">
        <v>1233</v>
      </c>
      <c r="M2921" s="516">
        <v>0.42</v>
      </c>
      <c r="N2921" s="505" t="s">
        <v>1233</v>
      </c>
    </row>
    <row r="2922" spans="1:14" x14ac:dyDescent="0.25">
      <c r="A2922" s="505" t="s">
        <v>7108</v>
      </c>
      <c r="B2922" s="505" t="s">
        <v>7109</v>
      </c>
      <c r="C2922" s="512" t="s">
        <v>9990</v>
      </c>
      <c r="D2922" s="512" t="s">
        <v>8590</v>
      </c>
      <c r="E2922" s="512" t="s">
        <v>7797</v>
      </c>
      <c r="F2922" s="512" t="s">
        <v>7986</v>
      </c>
      <c r="G2922" s="512" t="s">
        <v>9991</v>
      </c>
      <c r="L2922" s="505" t="s">
        <v>1233</v>
      </c>
      <c r="M2922" s="516">
        <v>28.92</v>
      </c>
      <c r="N2922" s="505" t="s">
        <v>1233</v>
      </c>
    </row>
    <row r="2923" spans="1:14" x14ac:dyDescent="0.25">
      <c r="A2923" s="505" t="s">
        <v>7110</v>
      </c>
      <c r="B2923" s="505" t="s">
        <v>7111</v>
      </c>
      <c r="C2923" s="512" t="s">
        <v>9990</v>
      </c>
      <c r="D2923" s="512" t="s">
        <v>9992</v>
      </c>
      <c r="E2923" s="512" t="s">
        <v>7797</v>
      </c>
      <c r="F2923" s="512" t="s">
        <v>7986</v>
      </c>
      <c r="G2923" s="512" t="s">
        <v>9993</v>
      </c>
      <c r="L2923" s="505" t="s">
        <v>1233</v>
      </c>
      <c r="M2923" s="516">
        <v>28.92</v>
      </c>
      <c r="N2923" s="505" t="s">
        <v>1233</v>
      </c>
    </row>
    <row r="2924" spans="1:14" x14ac:dyDescent="0.25">
      <c r="A2924" s="505" t="s">
        <v>7112</v>
      </c>
      <c r="B2924" s="505" t="s">
        <v>7113</v>
      </c>
      <c r="C2924" s="512" t="s">
        <v>9990</v>
      </c>
      <c r="D2924" s="512" t="s">
        <v>7893</v>
      </c>
      <c r="E2924" s="512" t="s">
        <v>8904</v>
      </c>
      <c r="F2924" s="512" t="s">
        <v>7986</v>
      </c>
      <c r="G2924" s="512" t="s">
        <v>9994</v>
      </c>
      <c r="L2924" s="505" t="s">
        <v>1233</v>
      </c>
      <c r="M2924" s="516">
        <v>32.049999999999997</v>
      </c>
      <c r="N2924" s="505" t="s">
        <v>1233</v>
      </c>
    </row>
    <row r="2925" spans="1:14" s="530" customFormat="1" x14ac:dyDescent="0.25">
      <c r="A2925" s="530" t="s">
        <v>7114</v>
      </c>
      <c r="B2925" s="530" t="s">
        <v>7115</v>
      </c>
      <c r="C2925" s="531" t="s">
        <v>9814</v>
      </c>
      <c r="D2925" s="531" t="s">
        <v>9995</v>
      </c>
      <c r="E2925" s="531" t="s">
        <v>7625</v>
      </c>
      <c r="F2925" s="531" t="s">
        <v>395</v>
      </c>
      <c r="G2925" s="531" t="s">
        <v>7738</v>
      </c>
      <c r="H2925" s="531" t="s">
        <v>7740</v>
      </c>
      <c r="I2925" s="531"/>
      <c r="L2925" s="530" t="s">
        <v>1178</v>
      </c>
      <c r="M2925" s="532">
        <v>0</v>
      </c>
      <c r="N2925" s="530" t="s">
        <v>1544</v>
      </c>
    </row>
    <row r="2926" spans="1:14" x14ac:dyDescent="0.25">
      <c r="A2926" s="505" t="s">
        <v>7116</v>
      </c>
      <c r="B2926" s="505" t="s">
        <v>7117</v>
      </c>
      <c r="C2926" s="512" t="s">
        <v>9814</v>
      </c>
      <c r="D2926" s="512" t="s">
        <v>9996</v>
      </c>
      <c r="E2926" s="512" t="s">
        <v>7625</v>
      </c>
      <c r="F2926" s="512" t="s">
        <v>395</v>
      </c>
      <c r="G2926" s="512" t="s">
        <v>9997</v>
      </c>
      <c r="H2926" s="512" t="s">
        <v>8432</v>
      </c>
      <c r="L2926" s="505" t="s">
        <v>1178</v>
      </c>
      <c r="M2926" s="516">
        <v>395</v>
      </c>
      <c r="N2926" s="505" t="s">
        <v>1178</v>
      </c>
    </row>
    <row r="2927" spans="1:14" x14ac:dyDescent="0.25">
      <c r="A2927" s="505" t="s">
        <v>7118</v>
      </c>
      <c r="B2927" s="505" t="s">
        <v>7119</v>
      </c>
      <c r="C2927" s="512" t="s">
        <v>9814</v>
      </c>
      <c r="D2927" s="512" t="s">
        <v>8043</v>
      </c>
      <c r="E2927" s="512" t="s">
        <v>9998</v>
      </c>
      <c r="F2927" s="512" t="s">
        <v>148</v>
      </c>
      <c r="L2927" s="505" t="s">
        <v>1178</v>
      </c>
      <c r="M2927" s="516">
        <v>145</v>
      </c>
      <c r="N2927" s="505" t="s">
        <v>1178</v>
      </c>
    </row>
    <row r="2928" spans="1:14" x14ac:dyDescent="0.25">
      <c r="A2928" s="505" t="s">
        <v>7120</v>
      </c>
      <c r="B2928" s="505" t="s">
        <v>7121</v>
      </c>
      <c r="C2928" s="512" t="s">
        <v>9999</v>
      </c>
      <c r="D2928" s="512" t="s">
        <v>10000</v>
      </c>
      <c r="E2928" s="512" t="s">
        <v>8034</v>
      </c>
      <c r="F2928" s="512" t="s">
        <v>10001</v>
      </c>
      <c r="G2928" s="512" t="s">
        <v>10002</v>
      </c>
      <c r="L2928" s="505" t="s">
        <v>1233</v>
      </c>
      <c r="M2928" s="516">
        <v>3.98</v>
      </c>
      <c r="N2928" s="505" t="s">
        <v>1233</v>
      </c>
    </row>
    <row r="2929" spans="1:14" x14ac:dyDescent="0.25">
      <c r="A2929" s="505" t="s">
        <v>7122</v>
      </c>
      <c r="B2929" s="505" t="s">
        <v>7123</v>
      </c>
      <c r="C2929" s="512" t="s">
        <v>9999</v>
      </c>
      <c r="D2929" s="512" t="s">
        <v>10000</v>
      </c>
      <c r="E2929" s="512" t="s">
        <v>8034</v>
      </c>
      <c r="F2929" s="512" t="s">
        <v>152</v>
      </c>
      <c r="G2929" s="512" t="s">
        <v>10003</v>
      </c>
      <c r="H2929" s="512" t="s">
        <v>10004</v>
      </c>
      <c r="L2929" s="505" t="s">
        <v>1233</v>
      </c>
      <c r="M2929" s="516">
        <v>18.25</v>
      </c>
      <c r="N2929" s="505" t="s">
        <v>1233</v>
      </c>
    </row>
    <row r="2930" spans="1:14" x14ac:dyDescent="0.25">
      <c r="A2930" s="505" t="s">
        <v>7124</v>
      </c>
      <c r="B2930" s="505" t="s">
        <v>7125</v>
      </c>
      <c r="C2930" s="512" t="s">
        <v>9999</v>
      </c>
      <c r="D2930" s="512" t="s">
        <v>8034</v>
      </c>
      <c r="E2930" s="512" t="s">
        <v>10005</v>
      </c>
      <c r="F2930" s="512" t="s">
        <v>10006</v>
      </c>
      <c r="G2930" s="512" t="s">
        <v>10007</v>
      </c>
      <c r="H2930" s="512" t="s">
        <v>10008</v>
      </c>
      <c r="I2930" s="512" t="s">
        <v>10009</v>
      </c>
      <c r="L2930" s="505" t="s">
        <v>1233</v>
      </c>
      <c r="M2930" s="516">
        <v>19.100000000000001</v>
      </c>
      <c r="N2930" s="505" t="s">
        <v>1233</v>
      </c>
    </row>
    <row r="2931" spans="1:14" x14ac:dyDescent="0.25">
      <c r="A2931" s="505" t="s">
        <v>7126</v>
      </c>
      <c r="B2931" s="505" t="s">
        <v>7127</v>
      </c>
      <c r="C2931" s="512" t="s">
        <v>9999</v>
      </c>
      <c r="D2931" s="512" t="s">
        <v>10000</v>
      </c>
      <c r="E2931" s="512" t="s">
        <v>8034</v>
      </c>
      <c r="F2931" s="512" t="s">
        <v>8813</v>
      </c>
      <c r="G2931" s="512" t="s">
        <v>10010</v>
      </c>
      <c r="L2931" s="505" t="s">
        <v>1233</v>
      </c>
      <c r="M2931" s="516">
        <v>3.98</v>
      </c>
      <c r="N2931" s="505" t="s">
        <v>1233</v>
      </c>
    </row>
    <row r="2932" spans="1:14" x14ac:dyDescent="0.25">
      <c r="A2932" s="505" t="s">
        <v>7128</v>
      </c>
      <c r="B2932" s="505" t="s">
        <v>7129</v>
      </c>
      <c r="C2932" s="512" t="s">
        <v>9746</v>
      </c>
      <c r="D2932" s="512" t="s">
        <v>8034</v>
      </c>
      <c r="E2932" s="512" t="s">
        <v>10011</v>
      </c>
      <c r="F2932" s="512" t="s">
        <v>7606</v>
      </c>
      <c r="G2932" s="512" t="s">
        <v>10012</v>
      </c>
      <c r="H2932" s="512" t="s">
        <v>7437</v>
      </c>
      <c r="L2932" s="505" t="s">
        <v>1233</v>
      </c>
      <c r="M2932" s="516">
        <v>5.6</v>
      </c>
      <c r="N2932" s="505" t="s">
        <v>1233</v>
      </c>
    </row>
    <row r="2933" spans="1:14" x14ac:dyDescent="0.25">
      <c r="A2933" s="505" t="s">
        <v>7130</v>
      </c>
      <c r="B2933" s="505" t="s">
        <v>7131</v>
      </c>
      <c r="C2933" s="512" t="s">
        <v>9746</v>
      </c>
      <c r="D2933" s="512" t="s">
        <v>8034</v>
      </c>
      <c r="E2933" s="512" t="s">
        <v>10011</v>
      </c>
      <c r="F2933" s="512" t="s">
        <v>7606</v>
      </c>
      <c r="G2933" s="512" t="s">
        <v>10012</v>
      </c>
      <c r="H2933" s="512" t="s">
        <v>7721</v>
      </c>
      <c r="L2933" s="505" t="s">
        <v>1233</v>
      </c>
      <c r="M2933" s="516">
        <v>5.6</v>
      </c>
      <c r="N2933" s="505" t="s">
        <v>1233</v>
      </c>
    </row>
    <row r="2934" spans="1:14" x14ac:dyDescent="0.25">
      <c r="A2934" s="505" t="s">
        <v>7132</v>
      </c>
      <c r="B2934" s="505" t="s">
        <v>7133</v>
      </c>
      <c r="C2934" s="512" t="s">
        <v>9746</v>
      </c>
      <c r="D2934" s="512" t="s">
        <v>8034</v>
      </c>
      <c r="E2934" s="512" t="s">
        <v>9555</v>
      </c>
      <c r="F2934" s="512" t="s">
        <v>7606</v>
      </c>
      <c r="G2934" s="512" t="s">
        <v>10012</v>
      </c>
      <c r="H2934" s="512" t="s">
        <v>7437</v>
      </c>
      <c r="L2934" s="505" t="s">
        <v>1233</v>
      </c>
      <c r="M2934" s="516">
        <v>5.6</v>
      </c>
      <c r="N2934" s="505" t="s">
        <v>1233</v>
      </c>
    </row>
    <row r="2935" spans="1:14" x14ac:dyDescent="0.25">
      <c r="A2935" s="505" t="s">
        <v>7134</v>
      </c>
      <c r="B2935" s="505" t="s">
        <v>7135</v>
      </c>
      <c r="C2935" s="512" t="s">
        <v>9746</v>
      </c>
      <c r="D2935" s="512" t="s">
        <v>8034</v>
      </c>
      <c r="E2935" s="512" t="s">
        <v>9555</v>
      </c>
      <c r="F2935" s="512" t="s">
        <v>7606</v>
      </c>
      <c r="G2935" s="512" t="s">
        <v>10012</v>
      </c>
      <c r="H2935" s="512" t="s">
        <v>7721</v>
      </c>
      <c r="L2935" s="505" t="s">
        <v>1233</v>
      </c>
      <c r="M2935" s="516">
        <v>5.6</v>
      </c>
      <c r="N2935" s="505" t="s">
        <v>1233</v>
      </c>
    </row>
    <row r="2936" spans="1:14" s="518" customFormat="1" x14ac:dyDescent="0.25">
      <c r="A2936" s="518" t="s">
        <v>7136</v>
      </c>
      <c r="B2936" s="518" t="s">
        <v>7137</v>
      </c>
      <c r="C2936" s="519" t="s">
        <v>9748</v>
      </c>
      <c r="D2936" s="519" t="s">
        <v>9972</v>
      </c>
      <c r="E2936" s="519" t="s">
        <v>10013</v>
      </c>
      <c r="F2936" s="519" t="s">
        <v>10014</v>
      </c>
      <c r="G2936" s="519" t="s">
        <v>7749</v>
      </c>
      <c r="H2936" s="519"/>
      <c r="I2936" s="519"/>
      <c r="L2936" s="518" t="s">
        <v>1233</v>
      </c>
      <c r="M2936" s="520">
        <v>0.42</v>
      </c>
      <c r="N2936" s="518" t="s">
        <v>1233</v>
      </c>
    </row>
    <row r="2937" spans="1:14" x14ac:dyDescent="0.25">
      <c r="A2937" s="505" t="s">
        <v>7138</v>
      </c>
      <c r="B2937" s="505" t="s">
        <v>7139</v>
      </c>
      <c r="C2937" s="512" t="s">
        <v>10015</v>
      </c>
      <c r="D2937" s="512" t="s">
        <v>8034</v>
      </c>
      <c r="E2937" s="512" t="s">
        <v>10016</v>
      </c>
      <c r="F2937" s="512" t="s">
        <v>7732</v>
      </c>
      <c r="L2937" s="505" t="s">
        <v>1233</v>
      </c>
      <c r="M2937" s="516">
        <v>0.21</v>
      </c>
      <c r="N2937" s="505" t="s">
        <v>1233</v>
      </c>
    </row>
    <row r="2938" spans="1:14" s="530" customFormat="1" x14ac:dyDescent="0.25">
      <c r="A2938" s="530" t="s">
        <v>7140</v>
      </c>
      <c r="B2938" s="530" t="s">
        <v>7141</v>
      </c>
      <c r="C2938" s="531" t="s">
        <v>10015</v>
      </c>
      <c r="D2938" s="531" t="s">
        <v>8034</v>
      </c>
      <c r="E2938" s="531" t="s">
        <v>10016</v>
      </c>
      <c r="F2938" s="531" t="s">
        <v>7755</v>
      </c>
      <c r="G2938" s="531"/>
      <c r="H2938" s="531"/>
      <c r="I2938" s="531"/>
      <c r="L2938" s="530" t="s">
        <v>1233</v>
      </c>
      <c r="M2938" s="532">
        <v>0</v>
      </c>
      <c r="N2938" s="530" t="s">
        <v>1544</v>
      </c>
    </row>
    <row r="2939" spans="1:14" s="518" customFormat="1" x14ac:dyDescent="0.25">
      <c r="A2939" s="518" t="s">
        <v>7142</v>
      </c>
      <c r="B2939" s="518" t="s">
        <v>7143</v>
      </c>
      <c r="C2939" s="519" t="s">
        <v>7762</v>
      </c>
      <c r="D2939" s="519" t="s">
        <v>8034</v>
      </c>
      <c r="E2939" s="519" t="s">
        <v>10017</v>
      </c>
      <c r="F2939" s="519" t="s">
        <v>9942</v>
      </c>
      <c r="G2939" s="519" t="s">
        <v>7918</v>
      </c>
      <c r="H2939" s="519" t="s">
        <v>7575</v>
      </c>
      <c r="I2939" s="519" t="s">
        <v>7766</v>
      </c>
      <c r="J2939" s="518" t="s">
        <v>10018</v>
      </c>
      <c r="L2939" s="518" t="s">
        <v>1233</v>
      </c>
      <c r="M2939" s="520">
        <v>0.68</v>
      </c>
      <c r="N2939" s="518" t="s">
        <v>1233</v>
      </c>
    </row>
    <row r="2940" spans="1:14" s="518" customFormat="1" x14ac:dyDescent="0.25">
      <c r="A2940" s="518" t="s">
        <v>7144</v>
      </c>
      <c r="B2940" s="518" t="s">
        <v>7145</v>
      </c>
      <c r="C2940" s="519" t="s">
        <v>7762</v>
      </c>
      <c r="D2940" s="519" t="s">
        <v>8034</v>
      </c>
      <c r="E2940" s="519" t="s">
        <v>8677</v>
      </c>
      <c r="F2940" s="519" t="s">
        <v>9852</v>
      </c>
      <c r="G2940" s="519" t="s">
        <v>8029</v>
      </c>
      <c r="H2940" s="519" t="s">
        <v>7437</v>
      </c>
      <c r="I2940" s="519" t="s">
        <v>10018</v>
      </c>
      <c r="L2940" s="518" t="s">
        <v>1233</v>
      </c>
      <c r="M2940" s="520">
        <v>0.68</v>
      </c>
      <c r="N2940" s="518" t="s">
        <v>1233</v>
      </c>
    </row>
    <row r="2941" spans="1:14" s="518" customFormat="1" x14ac:dyDescent="0.25">
      <c r="A2941" s="518" t="s">
        <v>7146</v>
      </c>
      <c r="B2941" s="518" t="s">
        <v>7147</v>
      </c>
      <c r="C2941" s="519" t="s">
        <v>7762</v>
      </c>
      <c r="D2941" s="519" t="s">
        <v>8034</v>
      </c>
      <c r="E2941" s="519" t="s">
        <v>8677</v>
      </c>
      <c r="F2941" s="519" t="s">
        <v>9852</v>
      </c>
      <c r="G2941" s="519" t="s">
        <v>8029</v>
      </c>
      <c r="H2941" s="519" t="s">
        <v>8975</v>
      </c>
      <c r="I2941" s="519" t="s">
        <v>10018</v>
      </c>
      <c r="L2941" s="518" t="s">
        <v>1233</v>
      </c>
      <c r="M2941" s="520">
        <v>0.68</v>
      </c>
      <c r="N2941" s="518" t="s">
        <v>1233</v>
      </c>
    </row>
    <row r="2942" spans="1:14" s="518" customFormat="1" x14ac:dyDescent="0.25">
      <c r="A2942" s="518" t="s">
        <v>7148</v>
      </c>
      <c r="B2942" s="518" t="s">
        <v>7149</v>
      </c>
      <c r="C2942" s="519" t="s">
        <v>7762</v>
      </c>
      <c r="D2942" s="519" t="s">
        <v>8034</v>
      </c>
      <c r="E2942" s="519" t="s">
        <v>8677</v>
      </c>
      <c r="F2942" s="519" t="s">
        <v>9852</v>
      </c>
      <c r="G2942" s="519" t="s">
        <v>8029</v>
      </c>
      <c r="H2942" s="519" t="s">
        <v>7800</v>
      </c>
      <c r="I2942" s="519" t="s">
        <v>10018</v>
      </c>
      <c r="L2942" s="518" t="s">
        <v>1233</v>
      </c>
      <c r="M2942" s="520">
        <v>0.68</v>
      </c>
      <c r="N2942" s="518" t="s">
        <v>1233</v>
      </c>
    </row>
    <row r="2943" spans="1:14" s="518" customFormat="1" x14ac:dyDescent="0.25">
      <c r="A2943" s="518" t="s">
        <v>7150</v>
      </c>
      <c r="B2943" s="518" t="s">
        <v>7151</v>
      </c>
      <c r="C2943" s="519" t="s">
        <v>7762</v>
      </c>
      <c r="D2943" s="519" t="s">
        <v>8034</v>
      </c>
      <c r="E2943" s="519" t="s">
        <v>8677</v>
      </c>
      <c r="F2943" s="519" t="s">
        <v>9852</v>
      </c>
      <c r="G2943" s="519" t="s">
        <v>8029</v>
      </c>
      <c r="H2943" s="519" t="s">
        <v>8976</v>
      </c>
      <c r="I2943" s="519" t="s">
        <v>10018</v>
      </c>
      <c r="L2943" s="518" t="s">
        <v>1233</v>
      </c>
      <c r="M2943" s="520">
        <v>0.68</v>
      </c>
      <c r="N2943" s="518" t="s">
        <v>1233</v>
      </c>
    </row>
    <row r="2944" spans="1:14" s="518" customFormat="1" x14ac:dyDescent="0.25">
      <c r="A2944" s="518" t="s">
        <v>7152</v>
      </c>
      <c r="B2944" s="518" t="s">
        <v>7153</v>
      </c>
      <c r="C2944" s="519" t="s">
        <v>7762</v>
      </c>
      <c r="D2944" s="519" t="s">
        <v>8034</v>
      </c>
      <c r="E2944" s="519" t="s">
        <v>8677</v>
      </c>
      <c r="F2944" s="519" t="s">
        <v>9852</v>
      </c>
      <c r="G2944" s="519" t="s">
        <v>8029</v>
      </c>
      <c r="H2944" s="519" t="s">
        <v>7881</v>
      </c>
      <c r="I2944" s="519" t="s">
        <v>10018</v>
      </c>
      <c r="L2944" s="518" t="s">
        <v>1233</v>
      </c>
      <c r="M2944" s="520">
        <v>0.68</v>
      </c>
      <c r="N2944" s="518" t="s">
        <v>1233</v>
      </c>
    </row>
    <row r="2945" spans="1:14" s="518" customFormat="1" x14ac:dyDescent="0.25">
      <c r="A2945" s="518" t="s">
        <v>7154</v>
      </c>
      <c r="B2945" s="518" t="s">
        <v>7155</v>
      </c>
      <c r="C2945" s="519" t="s">
        <v>7762</v>
      </c>
      <c r="D2945" s="519" t="s">
        <v>8034</v>
      </c>
      <c r="E2945" s="519" t="s">
        <v>8677</v>
      </c>
      <c r="F2945" s="519" t="s">
        <v>9852</v>
      </c>
      <c r="G2945" s="519" t="s">
        <v>8029</v>
      </c>
      <c r="H2945" s="519" t="s">
        <v>8977</v>
      </c>
      <c r="I2945" s="519" t="s">
        <v>10018</v>
      </c>
      <c r="L2945" s="518" t="s">
        <v>1233</v>
      </c>
      <c r="M2945" s="520">
        <v>0.68</v>
      </c>
      <c r="N2945" s="518" t="s">
        <v>1233</v>
      </c>
    </row>
    <row r="2946" spans="1:14" s="518" customFormat="1" x14ac:dyDescent="0.25">
      <c r="A2946" s="518" t="s">
        <v>7156</v>
      </c>
      <c r="B2946" s="518" t="s">
        <v>7157</v>
      </c>
      <c r="C2946" s="519" t="s">
        <v>7762</v>
      </c>
      <c r="D2946" s="519" t="s">
        <v>8034</v>
      </c>
      <c r="E2946" s="519" t="s">
        <v>8677</v>
      </c>
      <c r="F2946" s="519" t="s">
        <v>9852</v>
      </c>
      <c r="G2946" s="519" t="s">
        <v>8029</v>
      </c>
      <c r="H2946" s="519" t="s">
        <v>7883</v>
      </c>
      <c r="I2946" s="519" t="s">
        <v>7999</v>
      </c>
      <c r="J2946" s="518" t="s">
        <v>10018</v>
      </c>
      <c r="L2946" s="518" t="s">
        <v>1233</v>
      </c>
      <c r="M2946" s="520">
        <v>0.68</v>
      </c>
      <c r="N2946" s="518" t="s">
        <v>1233</v>
      </c>
    </row>
    <row r="2947" spans="1:14" s="518" customFormat="1" x14ac:dyDescent="0.25">
      <c r="A2947" s="518" t="s">
        <v>7158</v>
      </c>
      <c r="B2947" s="518" t="s">
        <v>7159</v>
      </c>
      <c r="C2947" s="519" t="s">
        <v>7762</v>
      </c>
      <c r="D2947" s="519" t="s">
        <v>8034</v>
      </c>
      <c r="E2947" s="519" t="s">
        <v>8677</v>
      </c>
      <c r="F2947" s="519" t="s">
        <v>9852</v>
      </c>
      <c r="G2947" s="519" t="s">
        <v>8029</v>
      </c>
      <c r="H2947" s="519" t="s">
        <v>9763</v>
      </c>
      <c r="I2947" s="519" t="s">
        <v>10018</v>
      </c>
      <c r="L2947" s="518" t="s">
        <v>1233</v>
      </c>
      <c r="M2947" s="520">
        <v>0.68</v>
      </c>
      <c r="N2947" s="518" t="s">
        <v>1233</v>
      </c>
    </row>
    <row r="2948" spans="1:14" s="518" customFormat="1" x14ac:dyDescent="0.25">
      <c r="A2948" s="518" t="s">
        <v>7160</v>
      </c>
      <c r="B2948" s="518" t="s">
        <v>7161</v>
      </c>
      <c r="C2948" s="519" t="s">
        <v>7762</v>
      </c>
      <c r="D2948" s="519" t="s">
        <v>8034</v>
      </c>
      <c r="E2948" s="519" t="s">
        <v>8677</v>
      </c>
      <c r="F2948" s="519" t="s">
        <v>9852</v>
      </c>
      <c r="G2948" s="519" t="s">
        <v>8029</v>
      </c>
      <c r="H2948" s="519" t="s">
        <v>8385</v>
      </c>
      <c r="I2948" s="519" t="s">
        <v>10018</v>
      </c>
      <c r="L2948" s="518" t="s">
        <v>1233</v>
      </c>
      <c r="M2948" s="520">
        <v>0.68</v>
      </c>
      <c r="N2948" s="518" t="s">
        <v>1233</v>
      </c>
    </row>
    <row r="2949" spans="1:14" s="518" customFormat="1" x14ac:dyDescent="0.25">
      <c r="A2949" s="518" t="s">
        <v>7162</v>
      </c>
      <c r="B2949" s="518" t="s">
        <v>7163</v>
      </c>
      <c r="C2949" s="519" t="s">
        <v>7762</v>
      </c>
      <c r="D2949" s="519" t="s">
        <v>8034</v>
      </c>
      <c r="E2949" s="519" t="s">
        <v>8677</v>
      </c>
      <c r="F2949" s="519" t="s">
        <v>9852</v>
      </c>
      <c r="G2949" s="519" t="s">
        <v>8029</v>
      </c>
      <c r="H2949" s="519" t="s">
        <v>7454</v>
      </c>
      <c r="I2949" s="519" t="s">
        <v>10018</v>
      </c>
      <c r="L2949" s="518" t="s">
        <v>1233</v>
      </c>
      <c r="M2949" s="520">
        <v>0.68</v>
      </c>
      <c r="N2949" s="518" t="s">
        <v>1233</v>
      </c>
    </row>
    <row r="2950" spans="1:14" s="518" customFormat="1" x14ac:dyDescent="0.25">
      <c r="A2950" s="518" t="s">
        <v>7164</v>
      </c>
      <c r="B2950" s="518" t="s">
        <v>7165</v>
      </c>
      <c r="C2950" s="519" t="s">
        <v>7762</v>
      </c>
      <c r="D2950" s="519" t="s">
        <v>8034</v>
      </c>
      <c r="E2950" s="519" t="s">
        <v>8677</v>
      </c>
      <c r="F2950" s="519" t="s">
        <v>9852</v>
      </c>
      <c r="G2950" s="519" t="s">
        <v>8029</v>
      </c>
      <c r="H2950" s="519" t="s">
        <v>7433</v>
      </c>
      <c r="I2950" s="519" t="s">
        <v>10018</v>
      </c>
      <c r="L2950" s="518" t="s">
        <v>1233</v>
      </c>
      <c r="M2950" s="520">
        <v>0.68</v>
      </c>
      <c r="N2950" s="518" t="s">
        <v>1233</v>
      </c>
    </row>
    <row r="2951" spans="1:14" s="518" customFormat="1" x14ac:dyDescent="0.25">
      <c r="A2951" s="518" t="s">
        <v>7166</v>
      </c>
      <c r="B2951" s="518" t="s">
        <v>7167</v>
      </c>
      <c r="C2951" s="519" t="s">
        <v>7762</v>
      </c>
      <c r="D2951" s="519" t="s">
        <v>8034</v>
      </c>
      <c r="E2951" s="519" t="s">
        <v>8677</v>
      </c>
      <c r="F2951" s="519" t="s">
        <v>9852</v>
      </c>
      <c r="G2951" s="519" t="s">
        <v>8029</v>
      </c>
      <c r="H2951" s="519" t="s">
        <v>8713</v>
      </c>
      <c r="I2951" s="519" t="s">
        <v>7887</v>
      </c>
      <c r="J2951" s="518" t="s">
        <v>10018</v>
      </c>
      <c r="L2951" s="518" t="s">
        <v>1233</v>
      </c>
      <c r="M2951" s="520">
        <v>0.68</v>
      </c>
      <c r="N2951" s="518" t="s">
        <v>1233</v>
      </c>
    </row>
    <row r="2952" spans="1:14" s="518" customFormat="1" x14ac:dyDescent="0.25">
      <c r="A2952" s="518" t="s">
        <v>7168</v>
      </c>
      <c r="B2952" s="518" t="s">
        <v>7169</v>
      </c>
      <c r="C2952" s="519" t="s">
        <v>7762</v>
      </c>
      <c r="D2952" s="519" t="s">
        <v>8034</v>
      </c>
      <c r="E2952" s="519" t="s">
        <v>8677</v>
      </c>
      <c r="F2952" s="519" t="s">
        <v>9852</v>
      </c>
      <c r="G2952" s="519" t="s">
        <v>8029</v>
      </c>
      <c r="H2952" s="519" t="s">
        <v>8143</v>
      </c>
      <c r="I2952" s="519" t="s">
        <v>10018</v>
      </c>
      <c r="L2952" s="518" t="s">
        <v>1233</v>
      </c>
      <c r="M2952" s="520">
        <v>0.68</v>
      </c>
      <c r="N2952" s="518" t="s">
        <v>1233</v>
      </c>
    </row>
    <row r="2953" spans="1:14" s="518" customFormat="1" x14ac:dyDescent="0.25">
      <c r="A2953" s="518" t="s">
        <v>7170</v>
      </c>
      <c r="B2953" s="518" t="s">
        <v>7171</v>
      </c>
      <c r="C2953" s="519" t="s">
        <v>7762</v>
      </c>
      <c r="D2953" s="519" t="s">
        <v>8034</v>
      </c>
      <c r="E2953" s="519" t="s">
        <v>8677</v>
      </c>
      <c r="F2953" s="519" t="s">
        <v>9852</v>
      </c>
      <c r="G2953" s="519" t="s">
        <v>8029</v>
      </c>
      <c r="H2953" s="519" t="s">
        <v>9278</v>
      </c>
      <c r="I2953" s="519" t="s">
        <v>10018</v>
      </c>
      <c r="L2953" s="518" t="s">
        <v>1233</v>
      </c>
      <c r="M2953" s="520">
        <v>0.68</v>
      </c>
      <c r="N2953" s="518" t="s">
        <v>1233</v>
      </c>
    </row>
    <row r="2954" spans="1:14" s="518" customFormat="1" x14ac:dyDescent="0.25">
      <c r="A2954" s="518" t="s">
        <v>7172</v>
      </c>
      <c r="B2954" s="518" t="s">
        <v>7173</v>
      </c>
      <c r="C2954" s="519" t="s">
        <v>7762</v>
      </c>
      <c r="D2954" s="519" t="s">
        <v>8034</v>
      </c>
      <c r="E2954" s="519" t="s">
        <v>8677</v>
      </c>
      <c r="F2954" s="519" t="s">
        <v>9852</v>
      </c>
      <c r="G2954" s="519" t="s">
        <v>8029</v>
      </c>
      <c r="H2954" s="519" t="s">
        <v>7889</v>
      </c>
      <c r="I2954" s="519" t="s">
        <v>10018</v>
      </c>
      <c r="L2954" s="518" t="s">
        <v>1233</v>
      </c>
      <c r="M2954" s="520">
        <v>0.68</v>
      </c>
      <c r="N2954" s="518" t="s">
        <v>1233</v>
      </c>
    </row>
    <row r="2955" spans="1:14" s="518" customFormat="1" x14ac:dyDescent="0.25">
      <c r="A2955" s="518" t="s">
        <v>7174</v>
      </c>
      <c r="B2955" s="518" t="s">
        <v>7175</v>
      </c>
      <c r="C2955" s="519" t="s">
        <v>7762</v>
      </c>
      <c r="D2955" s="519" t="s">
        <v>8034</v>
      </c>
      <c r="E2955" s="519" t="s">
        <v>8677</v>
      </c>
      <c r="F2955" s="519" t="s">
        <v>9852</v>
      </c>
      <c r="G2955" s="519" t="s">
        <v>8029</v>
      </c>
      <c r="H2955" s="519" t="s">
        <v>7890</v>
      </c>
      <c r="I2955" s="519" t="s">
        <v>8817</v>
      </c>
      <c r="J2955" s="518" t="s">
        <v>10018</v>
      </c>
      <c r="L2955" s="518" t="s">
        <v>1233</v>
      </c>
      <c r="M2955" s="520">
        <v>0.68</v>
      </c>
      <c r="N2955" s="518" t="s">
        <v>1233</v>
      </c>
    </row>
    <row r="2956" spans="1:14" s="518" customFormat="1" x14ac:dyDescent="0.25">
      <c r="A2956" s="518" t="s">
        <v>7176</v>
      </c>
      <c r="B2956" s="518" t="s">
        <v>7177</v>
      </c>
      <c r="C2956" s="519" t="s">
        <v>7762</v>
      </c>
      <c r="D2956" s="519" t="s">
        <v>8034</v>
      </c>
      <c r="E2956" s="519" t="s">
        <v>8677</v>
      </c>
      <c r="F2956" s="519" t="s">
        <v>9852</v>
      </c>
      <c r="G2956" s="519" t="s">
        <v>8029</v>
      </c>
      <c r="H2956" s="519" t="s">
        <v>7803</v>
      </c>
      <c r="I2956" s="519" t="s">
        <v>10018</v>
      </c>
      <c r="L2956" s="518" t="s">
        <v>1233</v>
      </c>
      <c r="M2956" s="520">
        <v>0.68</v>
      </c>
      <c r="N2956" s="518" t="s">
        <v>1233</v>
      </c>
    </row>
    <row r="2957" spans="1:14" s="518" customFormat="1" x14ac:dyDescent="0.25">
      <c r="A2957" s="518" t="s">
        <v>7178</v>
      </c>
      <c r="B2957" s="518" t="s">
        <v>7179</v>
      </c>
      <c r="C2957" s="519" t="s">
        <v>7762</v>
      </c>
      <c r="D2957" s="519" t="s">
        <v>8034</v>
      </c>
      <c r="E2957" s="519" t="s">
        <v>10017</v>
      </c>
      <c r="F2957" s="519" t="s">
        <v>9942</v>
      </c>
      <c r="G2957" s="519" t="s">
        <v>7918</v>
      </c>
      <c r="H2957" s="519" t="s">
        <v>9000</v>
      </c>
      <c r="I2957" s="519" t="s">
        <v>7766</v>
      </c>
      <c r="J2957" s="518" t="s">
        <v>10018</v>
      </c>
      <c r="L2957" s="518" t="s">
        <v>1233</v>
      </c>
      <c r="M2957" s="520">
        <v>0.68</v>
      </c>
      <c r="N2957" s="518" t="s">
        <v>1233</v>
      </c>
    </row>
    <row r="2958" spans="1:14" s="518" customFormat="1" x14ac:dyDescent="0.25">
      <c r="A2958" s="518" t="s">
        <v>7180</v>
      </c>
      <c r="B2958" s="518" t="s">
        <v>7181</v>
      </c>
      <c r="C2958" s="519" t="s">
        <v>7762</v>
      </c>
      <c r="D2958" s="519" t="s">
        <v>8034</v>
      </c>
      <c r="E2958" s="519" t="s">
        <v>8677</v>
      </c>
      <c r="F2958" s="519" t="s">
        <v>9852</v>
      </c>
      <c r="G2958" s="519" t="s">
        <v>8029</v>
      </c>
      <c r="H2958" s="519" t="s">
        <v>7721</v>
      </c>
      <c r="I2958" s="519" t="s">
        <v>10018</v>
      </c>
      <c r="L2958" s="518" t="s">
        <v>1233</v>
      </c>
      <c r="M2958" s="520">
        <v>0.68</v>
      </c>
      <c r="N2958" s="518" t="s">
        <v>1233</v>
      </c>
    </row>
    <row r="2959" spans="1:14" s="518" customFormat="1" x14ac:dyDescent="0.25">
      <c r="A2959" s="518" t="s">
        <v>7182</v>
      </c>
      <c r="B2959" s="518" t="s">
        <v>7183</v>
      </c>
      <c r="C2959" s="519" t="s">
        <v>7762</v>
      </c>
      <c r="D2959" s="519" t="s">
        <v>8034</v>
      </c>
      <c r="E2959" s="519" t="s">
        <v>8677</v>
      </c>
      <c r="F2959" s="519" t="s">
        <v>9852</v>
      </c>
      <c r="G2959" s="519" t="s">
        <v>8029</v>
      </c>
      <c r="H2959" s="519" t="s">
        <v>7804</v>
      </c>
      <c r="I2959" s="519" t="s">
        <v>10018</v>
      </c>
      <c r="L2959" s="518" t="s">
        <v>1233</v>
      </c>
      <c r="M2959" s="520">
        <v>0.68</v>
      </c>
      <c r="N2959" s="518" t="s">
        <v>1233</v>
      </c>
    </row>
    <row r="2960" spans="1:14" s="518" customFormat="1" x14ac:dyDescent="0.25">
      <c r="A2960" s="518" t="s">
        <v>7184</v>
      </c>
      <c r="B2960" s="518" t="s">
        <v>7185</v>
      </c>
      <c r="C2960" s="519" t="s">
        <v>7762</v>
      </c>
      <c r="D2960" s="519" t="s">
        <v>8034</v>
      </c>
      <c r="E2960" s="519" t="s">
        <v>10019</v>
      </c>
      <c r="F2960" s="519" t="s">
        <v>9942</v>
      </c>
      <c r="G2960" s="519" t="s">
        <v>7918</v>
      </c>
      <c r="H2960" s="519" t="s">
        <v>7575</v>
      </c>
      <c r="I2960" s="519" t="s">
        <v>7766</v>
      </c>
      <c r="J2960" s="518" t="s">
        <v>10018</v>
      </c>
      <c r="L2960" s="518" t="s">
        <v>1233</v>
      </c>
      <c r="M2960" s="520">
        <v>0.68</v>
      </c>
      <c r="N2960" s="518" t="s">
        <v>1233</v>
      </c>
    </row>
    <row r="2961" spans="1:14" s="518" customFormat="1" x14ac:dyDescent="0.25">
      <c r="A2961" s="518" t="s">
        <v>7186</v>
      </c>
      <c r="B2961" s="518" t="s">
        <v>7187</v>
      </c>
      <c r="C2961" s="519" t="s">
        <v>7762</v>
      </c>
      <c r="D2961" s="519" t="s">
        <v>8034</v>
      </c>
      <c r="E2961" s="519" t="s">
        <v>10019</v>
      </c>
      <c r="F2961" s="519" t="s">
        <v>9942</v>
      </c>
      <c r="G2961" s="519" t="s">
        <v>7918</v>
      </c>
      <c r="H2961" s="519" t="s">
        <v>148</v>
      </c>
      <c r="I2961" s="519" t="s">
        <v>10018</v>
      </c>
      <c r="L2961" s="518" t="s">
        <v>1233</v>
      </c>
      <c r="M2961" s="520">
        <v>0.68</v>
      </c>
      <c r="N2961" s="518" t="s">
        <v>1233</v>
      </c>
    </row>
    <row r="2962" spans="1:14" s="518" customFormat="1" x14ac:dyDescent="0.25">
      <c r="A2962" s="518" t="s">
        <v>7188</v>
      </c>
      <c r="B2962" s="518" t="s">
        <v>7189</v>
      </c>
      <c r="C2962" s="519" t="s">
        <v>7762</v>
      </c>
      <c r="D2962" s="519" t="s">
        <v>8034</v>
      </c>
      <c r="E2962" s="519" t="s">
        <v>10019</v>
      </c>
      <c r="F2962" s="519" t="s">
        <v>9942</v>
      </c>
      <c r="G2962" s="519" t="s">
        <v>7918</v>
      </c>
      <c r="H2962" s="519" t="s">
        <v>7768</v>
      </c>
      <c r="I2962" s="519" t="s">
        <v>10018</v>
      </c>
      <c r="L2962" s="518" t="s">
        <v>1233</v>
      </c>
      <c r="M2962" s="520">
        <v>0.68</v>
      </c>
      <c r="N2962" s="518" t="s">
        <v>1233</v>
      </c>
    </row>
    <row r="2963" spans="1:14" s="518" customFormat="1" x14ac:dyDescent="0.25">
      <c r="A2963" s="518" t="s">
        <v>7190</v>
      </c>
      <c r="B2963" s="518" t="s">
        <v>7191</v>
      </c>
      <c r="C2963" s="519" t="s">
        <v>7762</v>
      </c>
      <c r="D2963" s="519" t="s">
        <v>8034</v>
      </c>
      <c r="E2963" s="519" t="s">
        <v>10019</v>
      </c>
      <c r="F2963" s="519" t="s">
        <v>9942</v>
      </c>
      <c r="G2963" s="519" t="s">
        <v>7918</v>
      </c>
      <c r="H2963" s="519" t="s">
        <v>144</v>
      </c>
      <c r="I2963" s="519" t="s">
        <v>10018</v>
      </c>
      <c r="L2963" s="518" t="s">
        <v>1233</v>
      </c>
      <c r="M2963" s="520">
        <v>0.68</v>
      </c>
      <c r="N2963" s="518" t="s">
        <v>1233</v>
      </c>
    </row>
    <row r="2964" spans="1:14" s="518" customFormat="1" x14ac:dyDescent="0.25">
      <c r="A2964" s="518" t="s">
        <v>7192</v>
      </c>
      <c r="B2964" s="518" t="s">
        <v>7193</v>
      </c>
      <c r="C2964" s="519" t="s">
        <v>7762</v>
      </c>
      <c r="D2964" s="519" t="s">
        <v>8034</v>
      </c>
      <c r="E2964" s="519" t="s">
        <v>10019</v>
      </c>
      <c r="F2964" s="519" t="s">
        <v>9942</v>
      </c>
      <c r="G2964" s="519" t="s">
        <v>7918</v>
      </c>
      <c r="H2964" s="519" t="s">
        <v>7769</v>
      </c>
      <c r="I2964" s="519" t="s">
        <v>10018</v>
      </c>
      <c r="L2964" s="518" t="s">
        <v>1233</v>
      </c>
      <c r="M2964" s="520">
        <v>0.68</v>
      </c>
      <c r="N2964" s="518" t="s">
        <v>1233</v>
      </c>
    </row>
    <row r="2965" spans="1:14" s="518" customFormat="1" x14ac:dyDescent="0.25">
      <c r="A2965" s="518" t="s">
        <v>7194</v>
      </c>
      <c r="B2965" s="518" t="s">
        <v>7195</v>
      </c>
      <c r="C2965" s="519" t="s">
        <v>7762</v>
      </c>
      <c r="D2965" s="519" t="s">
        <v>8034</v>
      </c>
      <c r="E2965" s="519" t="s">
        <v>10019</v>
      </c>
      <c r="F2965" s="519" t="s">
        <v>9942</v>
      </c>
      <c r="G2965" s="519" t="s">
        <v>7918</v>
      </c>
      <c r="H2965" s="519" t="s">
        <v>477</v>
      </c>
      <c r="I2965" s="519" t="s">
        <v>10018</v>
      </c>
      <c r="L2965" s="518" t="s">
        <v>1233</v>
      </c>
      <c r="M2965" s="520">
        <v>0.68</v>
      </c>
      <c r="N2965" s="518" t="s">
        <v>1233</v>
      </c>
    </row>
    <row r="2966" spans="1:14" s="518" customFormat="1" x14ac:dyDescent="0.25">
      <c r="A2966" s="518" t="s">
        <v>7196</v>
      </c>
      <c r="B2966" s="518" t="s">
        <v>7197</v>
      </c>
      <c r="C2966" s="519" t="s">
        <v>7762</v>
      </c>
      <c r="D2966" s="519" t="s">
        <v>8034</v>
      </c>
      <c r="E2966" s="519" t="s">
        <v>10019</v>
      </c>
      <c r="F2966" s="519" t="s">
        <v>9942</v>
      </c>
      <c r="G2966" s="519" t="s">
        <v>7918</v>
      </c>
      <c r="H2966" s="519" t="s">
        <v>7770</v>
      </c>
      <c r="I2966" s="519" t="s">
        <v>10018</v>
      </c>
      <c r="L2966" s="518" t="s">
        <v>1233</v>
      </c>
      <c r="M2966" s="520">
        <v>0.68</v>
      </c>
      <c r="N2966" s="518" t="s">
        <v>1233</v>
      </c>
    </row>
    <row r="2967" spans="1:14" s="518" customFormat="1" x14ac:dyDescent="0.25">
      <c r="A2967" s="518" t="s">
        <v>7198</v>
      </c>
      <c r="B2967" s="518" t="s">
        <v>7199</v>
      </c>
      <c r="C2967" s="519" t="s">
        <v>7762</v>
      </c>
      <c r="D2967" s="519" t="s">
        <v>8034</v>
      </c>
      <c r="E2967" s="519" t="s">
        <v>10019</v>
      </c>
      <c r="F2967" s="519" t="s">
        <v>9942</v>
      </c>
      <c r="G2967" s="519" t="s">
        <v>7918</v>
      </c>
      <c r="H2967" s="519" t="s">
        <v>7788</v>
      </c>
      <c r="I2967" s="519" t="s">
        <v>7766</v>
      </c>
      <c r="J2967" s="518" t="s">
        <v>10018</v>
      </c>
      <c r="L2967" s="518" t="s">
        <v>1233</v>
      </c>
      <c r="M2967" s="520">
        <v>0.68</v>
      </c>
      <c r="N2967" s="518" t="s">
        <v>1233</v>
      </c>
    </row>
    <row r="2968" spans="1:14" s="518" customFormat="1" x14ac:dyDescent="0.25">
      <c r="A2968" s="518" t="s">
        <v>7200</v>
      </c>
      <c r="B2968" s="518" t="s">
        <v>7201</v>
      </c>
      <c r="C2968" s="519" t="s">
        <v>7762</v>
      </c>
      <c r="D2968" s="519" t="s">
        <v>8034</v>
      </c>
      <c r="E2968" s="519" t="s">
        <v>10019</v>
      </c>
      <c r="F2968" s="519" t="s">
        <v>9942</v>
      </c>
      <c r="G2968" s="519" t="s">
        <v>7918</v>
      </c>
      <c r="H2968" s="519" t="s">
        <v>7772</v>
      </c>
      <c r="I2968" s="519" t="s">
        <v>10018</v>
      </c>
      <c r="L2968" s="518" t="s">
        <v>1233</v>
      </c>
      <c r="M2968" s="520">
        <v>5.9</v>
      </c>
      <c r="N2968" s="518" t="s">
        <v>1233</v>
      </c>
    </row>
    <row r="2969" spans="1:14" s="518" customFormat="1" x14ac:dyDescent="0.25">
      <c r="A2969" s="518" t="s">
        <v>7202</v>
      </c>
      <c r="B2969" s="518" t="s">
        <v>7203</v>
      </c>
      <c r="C2969" s="519" t="s">
        <v>7762</v>
      </c>
      <c r="D2969" s="519" t="s">
        <v>8034</v>
      </c>
      <c r="E2969" s="519" t="s">
        <v>10019</v>
      </c>
      <c r="F2969" s="519" t="s">
        <v>9942</v>
      </c>
      <c r="G2969" s="519" t="s">
        <v>7918</v>
      </c>
      <c r="H2969" s="519" t="s">
        <v>7773</v>
      </c>
      <c r="I2969" s="519" t="s">
        <v>10018</v>
      </c>
      <c r="L2969" s="518" t="s">
        <v>1233</v>
      </c>
      <c r="M2969" s="520">
        <v>0.68</v>
      </c>
      <c r="N2969" s="518" t="s">
        <v>1233</v>
      </c>
    </row>
    <row r="2970" spans="1:14" s="518" customFormat="1" x14ac:dyDescent="0.25">
      <c r="A2970" s="518" t="s">
        <v>7204</v>
      </c>
      <c r="B2970" s="518" t="s">
        <v>7205</v>
      </c>
      <c r="C2970" s="519" t="s">
        <v>7762</v>
      </c>
      <c r="D2970" s="519" t="s">
        <v>8034</v>
      </c>
      <c r="E2970" s="519" t="s">
        <v>10019</v>
      </c>
      <c r="F2970" s="519" t="s">
        <v>9942</v>
      </c>
      <c r="G2970" s="519" t="s">
        <v>7918</v>
      </c>
      <c r="H2970" s="519" t="s">
        <v>524</v>
      </c>
      <c r="I2970" s="519" t="s">
        <v>10018</v>
      </c>
      <c r="L2970" s="518" t="s">
        <v>1233</v>
      </c>
      <c r="M2970" s="520">
        <v>0.68</v>
      </c>
      <c r="N2970" s="518" t="s">
        <v>1233</v>
      </c>
    </row>
    <row r="2971" spans="1:14" s="518" customFormat="1" x14ac:dyDescent="0.25">
      <c r="A2971" s="518" t="s">
        <v>7206</v>
      </c>
      <c r="B2971" s="518" t="s">
        <v>7207</v>
      </c>
      <c r="C2971" s="519" t="s">
        <v>7762</v>
      </c>
      <c r="D2971" s="519" t="s">
        <v>8034</v>
      </c>
      <c r="E2971" s="519" t="s">
        <v>10019</v>
      </c>
      <c r="F2971" s="519" t="s">
        <v>9942</v>
      </c>
      <c r="G2971" s="519" t="s">
        <v>7918</v>
      </c>
      <c r="H2971" s="519" t="s">
        <v>363</v>
      </c>
      <c r="I2971" s="519" t="s">
        <v>10018</v>
      </c>
      <c r="L2971" s="518" t="s">
        <v>1233</v>
      </c>
      <c r="M2971" s="520">
        <v>0.68</v>
      </c>
      <c r="N2971" s="518" t="s">
        <v>1233</v>
      </c>
    </row>
    <row r="2972" spans="1:14" s="518" customFormat="1" x14ac:dyDescent="0.25">
      <c r="A2972" s="518" t="s">
        <v>7208</v>
      </c>
      <c r="B2972" s="518" t="s">
        <v>7209</v>
      </c>
      <c r="C2972" s="519" t="s">
        <v>7762</v>
      </c>
      <c r="D2972" s="519" t="s">
        <v>8034</v>
      </c>
      <c r="E2972" s="519" t="s">
        <v>10019</v>
      </c>
      <c r="F2972" s="519" t="s">
        <v>9942</v>
      </c>
      <c r="G2972" s="519" t="s">
        <v>7918</v>
      </c>
      <c r="H2972" s="519" t="s">
        <v>7774</v>
      </c>
      <c r="I2972" s="519" t="s">
        <v>7775</v>
      </c>
      <c r="J2972" s="518" t="s">
        <v>10018</v>
      </c>
      <c r="L2972" s="518" t="s">
        <v>1233</v>
      </c>
      <c r="M2972" s="520">
        <v>0.68</v>
      </c>
      <c r="N2972" s="518" t="s">
        <v>1233</v>
      </c>
    </row>
    <row r="2973" spans="1:14" s="518" customFormat="1" x14ac:dyDescent="0.25">
      <c r="A2973" s="518" t="s">
        <v>7210</v>
      </c>
      <c r="B2973" s="518" t="s">
        <v>7211</v>
      </c>
      <c r="C2973" s="519" t="s">
        <v>7762</v>
      </c>
      <c r="D2973" s="519" t="s">
        <v>8034</v>
      </c>
      <c r="E2973" s="519" t="s">
        <v>10019</v>
      </c>
      <c r="F2973" s="519" t="s">
        <v>9942</v>
      </c>
      <c r="G2973" s="519" t="s">
        <v>7918</v>
      </c>
      <c r="H2973" s="519" t="s">
        <v>7776</v>
      </c>
      <c r="I2973" s="519" t="s">
        <v>10018</v>
      </c>
      <c r="L2973" s="518" t="s">
        <v>1233</v>
      </c>
      <c r="M2973" s="520">
        <v>0.68</v>
      </c>
      <c r="N2973" s="518" t="s">
        <v>1233</v>
      </c>
    </row>
    <row r="2974" spans="1:14" s="518" customFormat="1" x14ac:dyDescent="0.25">
      <c r="A2974" s="518" t="s">
        <v>7212</v>
      </c>
      <c r="B2974" s="518" t="s">
        <v>7213</v>
      </c>
      <c r="C2974" s="519" t="s">
        <v>7762</v>
      </c>
      <c r="D2974" s="519" t="s">
        <v>8034</v>
      </c>
      <c r="E2974" s="519" t="s">
        <v>10019</v>
      </c>
      <c r="F2974" s="519" t="s">
        <v>9942</v>
      </c>
      <c r="G2974" s="519" t="s">
        <v>7918</v>
      </c>
      <c r="H2974" s="519" t="s">
        <v>134</v>
      </c>
      <c r="I2974" s="519" t="s">
        <v>10018</v>
      </c>
      <c r="L2974" s="518" t="s">
        <v>1233</v>
      </c>
      <c r="M2974" s="520">
        <v>0.68</v>
      </c>
      <c r="N2974" s="518" t="s">
        <v>1233</v>
      </c>
    </row>
    <row r="2975" spans="1:14" s="518" customFormat="1" x14ac:dyDescent="0.25">
      <c r="A2975" s="518" t="s">
        <v>7214</v>
      </c>
      <c r="B2975" s="518" t="s">
        <v>7215</v>
      </c>
      <c r="C2975" s="519" t="s">
        <v>7762</v>
      </c>
      <c r="D2975" s="519" t="s">
        <v>8034</v>
      </c>
      <c r="E2975" s="519" t="s">
        <v>10019</v>
      </c>
      <c r="F2975" s="519" t="s">
        <v>9942</v>
      </c>
      <c r="G2975" s="519" t="s">
        <v>7918</v>
      </c>
      <c r="H2975" s="519" t="s">
        <v>133</v>
      </c>
      <c r="I2975" s="519" t="s">
        <v>10018</v>
      </c>
      <c r="L2975" s="518" t="s">
        <v>1233</v>
      </c>
      <c r="M2975" s="520">
        <v>0.68</v>
      </c>
      <c r="N2975" s="518" t="s">
        <v>1233</v>
      </c>
    </row>
    <row r="2976" spans="1:14" s="518" customFormat="1" x14ac:dyDescent="0.25">
      <c r="A2976" s="518" t="s">
        <v>7216</v>
      </c>
      <c r="B2976" s="518" t="s">
        <v>7217</v>
      </c>
      <c r="C2976" s="519" t="s">
        <v>7762</v>
      </c>
      <c r="D2976" s="519" t="s">
        <v>8034</v>
      </c>
      <c r="E2976" s="519" t="s">
        <v>10019</v>
      </c>
      <c r="F2976" s="519" t="s">
        <v>9942</v>
      </c>
      <c r="G2976" s="519" t="s">
        <v>7918</v>
      </c>
      <c r="H2976" s="519" t="s">
        <v>7777</v>
      </c>
      <c r="I2976" s="519" t="s">
        <v>7778</v>
      </c>
      <c r="J2976" s="518" t="s">
        <v>10018</v>
      </c>
      <c r="L2976" s="518" t="s">
        <v>1233</v>
      </c>
      <c r="M2976" s="520">
        <v>0.68</v>
      </c>
      <c r="N2976" s="518" t="s">
        <v>1233</v>
      </c>
    </row>
    <row r="2977" spans="1:14" s="518" customFormat="1" x14ac:dyDescent="0.25">
      <c r="A2977" s="518" t="s">
        <v>7218</v>
      </c>
      <c r="B2977" s="518" t="s">
        <v>7219</v>
      </c>
      <c r="C2977" s="519" t="s">
        <v>7762</v>
      </c>
      <c r="D2977" s="519" t="s">
        <v>8034</v>
      </c>
      <c r="E2977" s="519" t="s">
        <v>10019</v>
      </c>
      <c r="F2977" s="519" t="s">
        <v>9942</v>
      </c>
      <c r="G2977" s="519" t="s">
        <v>7918</v>
      </c>
      <c r="H2977" s="519" t="s">
        <v>510</v>
      </c>
      <c r="I2977" s="519" t="s">
        <v>10018</v>
      </c>
      <c r="L2977" s="518" t="s">
        <v>1233</v>
      </c>
      <c r="M2977" s="520">
        <v>0.68</v>
      </c>
      <c r="N2977" s="518" t="s">
        <v>1233</v>
      </c>
    </row>
    <row r="2978" spans="1:14" s="518" customFormat="1" x14ac:dyDescent="0.25">
      <c r="A2978" s="518" t="s">
        <v>7220</v>
      </c>
      <c r="B2978" s="518" t="s">
        <v>7221</v>
      </c>
      <c r="C2978" s="519" t="s">
        <v>7762</v>
      </c>
      <c r="D2978" s="519" t="s">
        <v>8034</v>
      </c>
      <c r="E2978" s="519" t="s">
        <v>10019</v>
      </c>
      <c r="F2978" s="519" t="s">
        <v>9942</v>
      </c>
      <c r="G2978" s="519" t="s">
        <v>7918</v>
      </c>
      <c r="H2978" s="519" t="s">
        <v>9000</v>
      </c>
      <c r="I2978" s="519" t="s">
        <v>7766</v>
      </c>
      <c r="J2978" s="518" t="s">
        <v>10018</v>
      </c>
      <c r="L2978" s="518" t="s">
        <v>1233</v>
      </c>
      <c r="M2978" s="520">
        <v>0.68</v>
      </c>
      <c r="N2978" s="518" t="s">
        <v>1233</v>
      </c>
    </row>
    <row r="2979" spans="1:14" s="518" customFormat="1" x14ac:dyDescent="0.25">
      <c r="A2979" s="518" t="s">
        <v>7222</v>
      </c>
      <c r="B2979" s="518" t="s">
        <v>7223</v>
      </c>
      <c r="C2979" s="519" t="s">
        <v>7762</v>
      </c>
      <c r="D2979" s="519" t="s">
        <v>8034</v>
      </c>
      <c r="E2979" s="519" t="s">
        <v>10019</v>
      </c>
      <c r="F2979" s="519" t="s">
        <v>9942</v>
      </c>
      <c r="G2979" s="519" t="s">
        <v>7918</v>
      </c>
      <c r="H2979" s="519" t="s">
        <v>511</v>
      </c>
      <c r="I2979" s="519" t="s">
        <v>10018</v>
      </c>
      <c r="L2979" s="518" t="s">
        <v>1233</v>
      </c>
      <c r="M2979" s="520">
        <v>0.68</v>
      </c>
      <c r="N2979" s="518" t="s">
        <v>1233</v>
      </c>
    </row>
    <row r="2980" spans="1:14" s="518" customFormat="1" x14ac:dyDescent="0.25">
      <c r="A2980" s="518" t="s">
        <v>7224</v>
      </c>
      <c r="B2980" s="518" t="s">
        <v>7225</v>
      </c>
      <c r="C2980" s="519" t="s">
        <v>7762</v>
      </c>
      <c r="D2980" s="519" t="s">
        <v>8034</v>
      </c>
      <c r="E2980" s="519" t="s">
        <v>10019</v>
      </c>
      <c r="F2980" s="519" t="s">
        <v>9942</v>
      </c>
      <c r="G2980" s="519" t="s">
        <v>7918</v>
      </c>
      <c r="H2980" s="519" t="s">
        <v>137</v>
      </c>
      <c r="I2980" s="519" t="s">
        <v>10018</v>
      </c>
      <c r="L2980" s="518" t="s">
        <v>1233</v>
      </c>
      <c r="M2980" s="520">
        <v>0.68</v>
      </c>
      <c r="N2980" s="518" t="s">
        <v>1233</v>
      </c>
    </row>
    <row r="2981" spans="1:14" s="518" customFormat="1" x14ac:dyDescent="0.25">
      <c r="A2981" s="518" t="s">
        <v>7226</v>
      </c>
      <c r="B2981" s="518" t="s">
        <v>7227</v>
      </c>
      <c r="C2981" s="519" t="s">
        <v>7762</v>
      </c>
      <c r="D2981" s="519" t="s">
        <v>8463</v>
      </c>
      <c r="E2981" s="519" t="s">
        <v>8072</v>
      </c>
      <c r="F2981" s="519" t="s">
        <v>10020</v>
      </c>
      <c r="G2981" s="519" t="s">
        <v>9987</v>
      </c>
      <c r="H2981" s="519" t="s">
        <v>10021</v>
      </c>
      <c r="I2981" s="519" t="s">
        <v>7876</v>
      </c>
      <c r="J2981" s="518" t="s">
        <v>7799</v>
      </c>
      <c r="L2981" s="518" t="s">
        <v>1233</v>
      </c>
      <c r="M2981" s="520">
        <v>1.53</v>
      </c>
      <c r="N2981" s="518" t="s">
        <v>1233</v>
      </c>
    </row>
    <row r="2982" spans="1:14" s="518" customFormat="1" x14ac:dyDescent="0.25">
      <c r="A2982" s="518" t="s">
        <v>7228</v>
      </c>
      <c r="B2982" s="518" t="s">
        <v>7229</v>
      </c>
      <c r="C2982" s="519" t="s">
        <v>7762</v>
      </c>
      <c r="D2982" s="519" t="s">
        <v>8463</v>
      </c>
      <c r="E2982" s="519" t="s">
        <v>8072</v>
      </c>
      <c r="F2982" s="519" t="s">
        <v>10020</v>
      </c>
      <c r="G2982" s="519" t="s">
        <v>9987</v>
      </c>
      <c r="H2982" s="519" t="s">
        <v>10021</v>
      </c>
      <c r="I2982" s="519" t="s">
        <v>7437</v>
      </c>
      <c r="L2982" s="518" t="s">
        <v>1233</v>
      </c>
      <c r="M2982" s="520">
        <v>1.53</v>
      </c>
      <c r="N2982" s="518" t="s">
        <v>1233</v>
      </c>
    </row>
    <row r="2983" spans="1:14" s="518" customFormat="1" x14ac:dyDescent="0.25">
      <c r="A2983" s="518" t="s">
        <v>7230</v>
      </c>
      <c r="B2983" s="518" t="s">
        <v>7231</v>
      </c>
      <c r="C2983" s="519" t="s">
        <v>7762</v>
      </c>
      <c r="D2983" s="519" t="s">
        <v>8463</v>
      </c>
      <c r="E2983" s="519" t="s">
        <v>8072</v>
      </c>
      <c r="F2983" s="519" t="s">
        <v>10020</v>
      </c>
      <c r="G2983" s="519" t="s">
        <v>9987</v>
      </c>
      <c r="H2983" s="519" t="s">
        <v>10021</v>
      </c>
      <c r="I2983" s="519" t="s">
        <v>7899</v>
      </c>
      <c r="L2983" s="518" t="s">
        <v>1233</v>
      </c>
      <c r="M2983" s="520">
        <v>1.53</v>
      </c>
      <c r="N2983" s="518" t="s">
        <v>1233</v>
      </c>
    </row>
    <row r="2984" spans="1:14" s="518" customFormat="1" x14ac:dyDescent="0.25">
      <c r="A2984" s="518" t="s">
        <v>7232</v>
      </c>
      <c r="B2984" s="518" t="s">
        <v>7233</v>
      </c>
      <c r="C2984" s="519" t="s">
        <v>7762</v>
      </c>
      <c r="D2984" s="519" t="s">
        <v>8463</v>
      </c>
      <c r="E2984" s="519" t="s">
        <v>8072</v>
      </c>
      <c r="F2984" s="519" t="s">
        <v>10020</v>
      </c>
      <c r="G2984" s="519" t="s">
        <v>9987</v>
      </c>
      <c r="H2984" s="519" t="s">
        <v>10021</v>
      </c>
      <c r="I2984" s="519" t="s">
        <v>7882</v>
      </c>
      <c r="L2984" s="518" t="s">
        <v>1233</v>
      </c>
      <c r="M2984" s="520">
        <v>0</v>
      </c>
      <c r="N2984" s="518" t="s">
        <v>1544</v>
      </c>
    </row>
    <row r="2985" spans="1:14" s="518" customFormat="1" x14ac:dyDescent="0.25">
      <c r="A2985" s="518" t="s">
        <v>7234</v>
      </c>
      <c r="B2985" s="518" t="s">
        <v>7235</v>
      </c>
      <c r="C2985" s="519" t="s">
        <v>7762</v>
      </c>
      <c r="D2985" s="519" t="s">
        <v>8463</v>
      </c>
      <c r="E2985" s="519" t="s">
        <v>8072</v>
      </c>
      <c r="F2985" s="519" t="s">
        <v>10020</v>
      </c>
      <c r="G2985" s="519" t="s">
        <v>9987</v>
      </c>
      <c r="H2985" s="519" t="s">
        <v>10021</v>
      </c>
      <c r="I2985" s="519" t="s">
        <v>7432</v>
      </c>
      <c r="L2985" s="518" t="s">
        <v>1233</v>
      </c>
      <c r="M2985" s="520">
        <v>1.53</v>
      </c>
      <c r="N2985" s="518" t="s">
        <v>1233</v>
      </c>
    </row>
    <row r="2986" spans="1:14" s="518" customFormat="1" x14ac:dyDescent="0.25">
      <c r="A2986" s="518" t="s">
        <v>7236</v>
      </c>
      <c r="B2986" s="518" t="s">
        <v>7237</v>
      </c>
      <c r="C2986" s="519" t="s">
        <v>7762</v>
      </c>
      <c r="D2986" s="519" t="s">
        <v>8463</v>
      </c>
      <c r="E2986" s="519" t="s">
        <v>8072</v>
      </c>
      <c r="F2986" s="519" t="s">
        <v>10020</v>
      </c>
      <c r="G2986" s="519" t="s">
        <v>9987</v>
      </c>
      <c r="H2986" s="519" t="s">
        <v>10021</v>
      </c>
      <c r="I2986" s="519" t="s">
        <v>7881</v>
      </c>
      <c r="L2986" s="518" t="s">
        <v>1233</v>
      </c>
      <c r="M2986" s="520">
        <v>1.53</v>
      </c>
      <c r="N2986" s="518" t="s">
        <v>1233</v>
      </c>
    </row>
    <row r="2987" spans="1:14" s="518" customFormat="1" x14ac:dyDescent="0.25">
      <c r="A2987" s="518" t="s">
        <v>7238</v>
      </c>
      <c r="B2987" s="518" t="s">
        <v>7239</v>
      </c>
      <c r="C2987" s="519" t="s">
        <v>7762</v>
      </c>
      <c r="D2987" s="519" t="s">
        <v>8463</v>
      </c>
      <c r="E2987" s="519" t="s">
        <v>8072</v>
      </c>
      <c r="F2987" s="519" t="s">
        <v>10020</v>
      </c>
      <c r="G2987" s="519" t="s">
        <v>9987</v>
      </c>
      <c r="H2987" s="519" t="s">
        <v>10021</v>
      </c>
      <c r="I2987" s="519" t="s">
        <v>7903</v>
      </c>
      <c r="L2987" s="518" t="s">
        <v>1233</v>
      </c>
      <c r="M2987" s="520">
        <v>1.53</v>
      </c>
      <c r="N2987" s="518" t="s">
        <v>1233</v>
      </c>
    </row>
    <row r="2988" spans="1:14" s="518" customFormat="1" x14ac:dyDescent="0.25">
      <c r="A2988" s="518" t="s">
        <v>7240</v>
      </c>
      <c r="B2988" s="518" t="s">
        <v>7241</v>
      </c>
      <c r="C2988" s="519" t="s">
        <v>7762</v>
      </c>
      <c r="D2988" s="519" t="s">
        <v>8463</v>
      </c>
      <c r="E2988" s="519" t="s">
        <v>8072</v>
      </c>
      <c r="F2988" s="519" t="s">
        <v>10020</v>
      </c>
      <c r="G2988" s="519" t="s">
        <v>9987</v>
      </c>
      <c r="H2988" s="519" t="s">
        <v>10021</v>
      </c>
      <c r="I2988" s="519" t="s">
        <v>7904</v>
      </c>
      <c r="L2988" s="518" t="s">
        <v>1233</v>
      </c>
      <c r="M2988" s="520">
        <v>1.53</v>
      </c>
      <c r="N2988" s="518" t="s">
        <v>1233</v>
      </c>
    </row>
    <row r="2989" spans="1:14" s="518" customFormat="1" x14ac:dyDescent="0.25">
      <c r="A2989" s="518" t="s">
        <v>7242</v>
      </c>
      <c r="B2989" s="518" t="s">
        <v>7243</v>
      </c>
      <c r="C2989" s="519" t="s">
        <v>7762</v>
      </c>
      <c r="D2989" s="519" t="s">
        <v>8463</v>
      </c>
      <c r="E2989" s="519" t="s">
        <v>8072</v>
      </c>
      <c r="F2989" s="519" t="s">
        <v>10020</v>
      </c>
      <c r="G2989" s="519" t="s">
        <v>9987</v>
      </c>
      <c r="H2989" s="519" t="s">
        <v>10021</v>
      </c>
      <c r="I2989" s="519" t="s">
        <v>7454</v>
      </c>
      <c r="L2989" s="518" t="s">
        <v>1233</v>
      </c>
      <c r="M2989" s="520">
        <v>1.53</v>
      </c>
      <c r="N2989" s="518" t="s">
        <v>1233</v>
      </c>
    </row>
    <row r="2990" spans="1:14" s="518" customFormat="1" x14ac:dyDescent="0.25">
      <c r="A2990" s="518" t="s">
        <v>7244</v>
      </c>
      <c r="B2990" s="518" t="s">
        <v>7245</v>
      </c>
      <c r="C2990" s="519" t="s">
        <v>7762</v>
      </c>
      <c r="D2990" s="519" t="s">
        <v>8463</v>
      </c>
      <c r="E2990" s="519" t="s">
        <v>8072</v>
      </c>
      <c r="F2990" s="519" t="s">
        <v>10020</v>
      </c>
      <c r="G2990" s="519" t="s">
        <v>9987</v>
      </c>
      <c r="H2990" s="519" t="s">
        <v>10021</v>
      </c>
      <c r="I2990" s="519" t="s">
        <v>7433</v>
      </c>
      <c r="L2990" s="518" t="s">
        <v>1233</v>
      </c>
      <c r="M2990" s="520">
        <v>1.53</v>
      </c>
      <c r="N2990" s="518" t="s">
        <v>1233</v>
      </c>
    </row>
    <row r="2991" spans="1:14" s="518" customFormat="1" x14ac:dyDescent="0.25">
      <c r="A2991" s="518" t="s">
        <v>7246</v>
      </c>
      <c r="B2991" s="518" t="s">
        <v>7247</v>
      </c>
      <c r="C2991" s="519" t="s">
        <v>7762</v>
      </c>
      <c r="D2991" s="519" t="s">
        <v>8463</v>
      </c>
      <c r="E2991" s="519" t="s">
        <v>8072</v>
      </c>
      <c r="F2991" s="519" t="s">
        <v>10020</v>
      </c>
      <c r="G2991" s="519" t="s">
        <v>9987</v>
      </c>
      <c r="H2991" s="519" t="s">
        <v>10021</v>
      </c>
      <c r="I2991" s="519" t="s">
        <v>7905</v>
      </c>
      <c r="J2991" s="518" t="s">
        <v>7887</v>
      </c>
      <c r="L2991" s="518" t="s">
        <v>1233</v>
      </c>
      <c r="M2991" s="520">
        <v>1.53</v>
      </c>
      <c r="N2991" s="518" t="s">
        <v>1233</v>
      </c>
    </row>
    <row r="2992" spans="1:14" s="518" customFormat="1" x14ac:dyDescent="0.25">
      <c r="A2992" s="518" t="s">
        <v>7248</v>
      </c>
      <c r="B2992" s="518" t="s">
        <v>7249</v>
      </c>
      <c r="C2992" s="519" t="s">
        <v>7762</v>
      </c>
      <c r="D2992" s="519" t="s">
        <v>8463</v>
      </c>
      <c r="E2992" s="519" t="s">
        <v>8072</v>
      </c>
      <c r="F2992" s="519" t="s">
        <v>10020</v>
      </c>
      <c r="G2992" s="519" t="s">
        <v>9987</v>
      </c>
      <c r="H2992" s="519" t="s">
        <v>10021</v>
      </c>
      <c r="I2992" s="519" t="s">
        <v>7906</v>
      </c>
      <c r="L2992" s="518" t="s">
        <v>1233</v>
      </c>
      <c r="M2992" s="520">
        <v>1.53</v>
      </c>
      <c r="N2992" s="518" t="s">
        <v>1233</v>
      </c>
    </row>
    <row r="2993" spans="1:14" s="518" customFormat="1" x14ac:dyDescent="0.25">
      <c r="A2993" s="518" t="s">
        <v>7250</v>
      </c>
      <c r="B2993" s="518" t="s">
        <v>7251</v>
      </c>
      <c r="C2993" s="519" t="s">
        <v>7762</v>
      </c>
      <c r="D2993" s="519" t="s">
        <v>8463</v>
      </c>
      <c r="E2993" s="519" t="s">
        <v>8072</v>
      </c>
      <c r="F2993" s="519" t="s">
        <v>10020</v>
      </c>
      <c r="G2993" s="519" t="s">
        <v>9987</v>
      </c>
      <c r="H2993" s="519" t="s">
        <v>10021</v>
      </c>
      <c r="I2993" s="519" t="s">
        <v>9278</v>
      </c>
      <c r="L2993" s="518" t="s">
        <v>1233</v>
      </c>
      <c r="M2993" s="520">
        <v>1.53</v>
      </c>
      <c r="N2993" s="518" t="s">
        <v>1233</v>
      </c>
    </row>
    <row r="2994" spans="1:14" s="518" customFormat="1" x14ac:dyDescent="0.25">
      <c r="A2994" s="518" t="s">
        <v>7252</v>
      </c>
      <c r="B2994" s="518" t="s">
        <v>7253</v>
      </c>
      <c r="C2994" s="519" t="s">
        <v>7762</v>
      </c>
      <c r="D2994" s="519" t="s">
        <v>8463</v>
      </c>
      <c r="E2994" s="519" t="s">
        <v>8072</v>
      </c>
      <c r="F2994" s="519" t="s">
        <v>10020</v>
      </c>
      <c r="G2994" s="519" t="s">
        <v>9987</v>
      </c>
      <c r="H2994" s="519" t="s">
        <v>10021</v>
      </c>
      <c r="I2994" s="519" t="s">
        <v>7889</v>
      </c>
      <c r="L2994" s="518" t="s">
        <v>1233</v>
      </c>
      <c r="M2994" s="520">
        <v>1.53</v>
      </c>
      <c r="N2994" s="518" t="s">
        <v>1233</v>
      </c>
    </row>
    <row r="2995" spans="1:14" s="518" customFormat="1" x14ac:dyDescent="0.25">
      <c r="A2995" s="518" t="s">
        <v>7254</v>
      </c>
      <c r="B2995" s="518" t="s">
        <v>7255</v>
      </c>
      <c r="C2995" s="519" t="s">
        <v>7762</v>
      </c>
      <c r="D2995" s="519" t="s">
        <v>8463</v>
      </c>
      <c r="E2995" s="519" t="s">
        <v>8072</v>
      </c>
      <c r="F2995" s="519" t="s">
        <v>10020</v>
      </c>
      <c r="G2995" s="519" t="s">
        <v>9987</v>
      </c>
      <c r="H2995" s="519" t="s">
        <v>10021</v>
      </c>
      <c r="I2995" s="519" t="s">
        <v>7890</v>
      </c>
      <c r="J2995" s="518" t="s">
        <v>7881</v>
      </c>
      <c r="L2995" s="518" t="s">
        <v>1233</v>
      </c>
      <c r="M2995" s="520">
        <v>1.53</v>
      </c>
      <c r="N2995" s="518" t="s">
        <v>1233</v>
      </c>
    </row>
    <row r="2996" spans="1:14" s="518" customFormat="1" x14ac:dyDescent="0.25">
      <c r="A2996" s="518" t="s">
        <v>7256</v>
      </c>
      <c r="B2996" s="518" t="s">
        <v>7257</v>
      </c>
      <c r="C2996" s="519" t="s">
        <v>7762</v>
      </c>
      <c r="D2996" s="519" t="s">
        <v>8463</v>
      </c>
      <c r="E2996" s="519" t="s">
        <v>8072</v>
      </c>
      <c r="F2996" s="519" t="s">
        <v>10020</v>
      </c>
      <c r="G2996" s="519" t="s">
        <v>9987</v>
      </c>
      <c r="H2996" s="519" t="s">
        <v>10021</v>
      </c>
      <c r="I2996" s="519" t="s">
        <v>7803</v>
      </c>
      <c r="L2996" s="518" t="s">
        <v>1233</v>
      </c>
      <c r="M2996" s="520">
        <v>1.53</v>
      </c>
      <c r="N2996" s="518" t="s">
        <v>1233</v>
      </c>
    </row>
    <row r="2997" spans="1:14" s="518" customFormat="1" x14ac:dyDescent="0.25">
      <c r="A2997" s="518" t="s">
        <v>7258</v>
      </c>
      <c r="B2997" s="518" t="s">
        <v>7259</v>
      </c>
      <c r="C2997" s="519" t="s">
        <v>7762</v>
      </c>
      <c r="D2997" s="519" t="s">
        <v>8463</v>
      </c>
      <c r="E2997" s="519" t="s">
        <v>8072</v>
      </c>
      <c r="F2997" s="519" t="s">
        <v>10020</v>
      </c>
      <c r="G2997" s="519" t="s">
        <v>9987</v>
      </c>
      <c r="H2997" s="519" t="s">
        <v>10021</v>
      </c>
      <c r="I2997" s="519" t="s">
        <v>10022</v>
      </c>
      <c r="L2997" s="518" t="s">
        <v>1233</v>
      </c>
      <c r="M2997" s="520">
        <v>1.53</v>
      </c>
      <c r="N2997" s="518" t="s">
        <v>1233</v>
      </c>
    </row>
    <row r="2998" spans="1:14" s="518" customFormat="1" x14ac:dyDescent="0.25">
      <c r="A2998" s="518" t="s">
        <v>7260</v>
      </c>
      <c r="B2998" s="518" t="s">
        <v>7261</v>
      </c>
      <c r="C2998" s="519" t="s">
        <v>7762</v>
      </c>
      <c r="D2998" s="519" t="s">
        <v>8463</v>
      </c>
      <c r="E2998" s="519" t="s">
        <v>8072</v>
      </c>
      <c r="F2998" s="519" t="s">
        <v>10020</v>
      </c>
      <c r="G2998" s="519" t="s">
        <v>9987</v>
      </c>
      <c r="H2998" s="519" t="s">
        <v>10021</v>
      </c>
      <c r="I2998" s="519" t="s">
        <v>7721</v>
      </c>
      <c r="L2998" s="518" t="s">
        <v>1233</v>
      </c>
      <c r="M2998" s="520">
        <v>1.53</v>
      </c>
      <c r="N2998" s="518" t="s">
        <v>1233</v>
      </c>
    </row>
    <row r="2999" spans="1:14" s="518" customFormat="1" x14ac:dyDescent="0.25">
      <c r="A2999" s="518" t="s">
        <v>7262</v>
      </c>
      <c r="B2999" s="518" t="s">
        <v>7263</v>
      </c>
      <c r="C2999" s="519" t="s">
        <v>7762</v>
      </c>
      <c r="D2999" s="519" t="s">
        <v>8463</v>
      </c>
      <c r="E2999" s="519" t="s">
        <v>8072</v>
      </c>
      <c r="F2999" s="519" t="s">
        <v>10020</v>
      </c>
      <c r="G2999" s="519" t="s">
        <v>9987</v>
      </c>
      <c r="H2999" s="519" t="s">
        <v>10021</v>
      </c>
      <c r="I2999" s="519" t="s">
        <v>7804</v>
      </c>
      <c r="L2999" s="518" t="s">
        <v>1233</v>
      </c>
      <c r="M2999" s="520">
        <v>1.53</v>
      </c>
      <c r="N2999" s="518" t="s">
        <v>1233</v>
      </c>
    </row>
    <row r="3000" spans="1:14" s="518" customFormat="1" x14ac:dyDescent="0.25">
      <c r="A3000" s="518" t="s">
        <v>7264</v>
      </c>
      <c r="B3000" s="518" t="s">
        <v>7265</v>
      </c>
      <c r="C3000" s="519" t="s">
        <v>7762</v>
      </c>
      <c r="D3000" s="519" t="s">
        <v>9985</v>
      </c>
      <c r="E3000" s="519" t="s">
        <v>8074</v>
      </c>
      <c r="F3000" s="519" t="s">
        <v>1152</v>
      </c>
      <c r="G3000" s="519" t="s">
        <v>9987</v>
      </c>
      <c r="H3000" s="519" t="s">
        <v>7575</v>
      </c>
      <c r="I3000" s="519" t="s">
        <v>361</v>
      </c>
      <c r="L3000" s="518" t="s">
        <v>1233</v>
      </c>
      <c r="M3000" s="520">
        <v>1.53</v>
      </c>
      <c r="N3000" s="518" t="s">
        <v>1233</v>
      </c>
    </row>
    <row r="3001" spans="1:14" s="518" customFormat="1" x14ac:dyDescent="0.25">
      <c r="A3001" s="518" t="s">
        <v>7266</v>
      </c>
      <c r="B3001" s="518" t="s">
        <v>7267</v>
      </c>
      <c r="C3001" s="519" t="s">
        <v>7762</v>
      </c>
      <c r="D3001" s="519" t="s">
        <v>9985</v>
      </c>
      <c r="E3001" s="519" t="s">
        <v>8074</v>
      </c>
      <c r="F3001" s="519" t="s">
        <v>1152</v>
      </c>
      <c r="G3001" s="519" t="s">
        <v>9987</v>
      </c>
      <c r="H3001" s="519" t="s">
        <v>148</v>
      </c>
      <c r="I3001" s="519"/>
      <c r="L3001" s="518" t="s">
        <v>1233</v>
      </c>
      <c r="M3001" s="520">
        <v>1.53</v>
      </c>
      <c r="N3001" s="518" t="s">
        <v>1233</v>
      </c>
    </row>
    <row r="3002" spans="1:14" s="518" customFormat="1" x14ac:dyDescent="0.25">
      <c r="A3002" s="518" t="s">
        <v>7268</v>
      </c>
      <c r="B3002" s="518" t="s">
        <v>7269</v>
      </c>
      <c r="C3002" s="519" t="s">
        <v>7762</v>
      </c>
      <c r="D3002" s="519" t="s">
        <v>9985</v>
      </c>
      <c r="E3002" s="519" t="s">
        <v>8074</v>
      </c>
      <c r="F3002" s="519" t="s">
        <v>1152</v>
      </c>
      <c r="G3002" s="519" t="s">
        <v>9987</v>
      </c>
      <c r="H3002" s="519" t="s">
        <v>9011</v>
      </c>
      <c r="I3002" s="519"/>
      <c r="L3002" s="518" t="s">
        <v>1233</v>
      </c>
      <c r="M3002" s="520">
        <v>1.53</v>
      </c>
      <c r="N3002" s="518" t="s">
        <v>1233</v>
      </c>
    </row>
    <row r="3003" spans="1:14" s="518" customFormat="1" x14ac:dyDescent="0.25">
      <c r="A3003" s="518" t="s">
        <v>7270</v>
      </c>
      <c r="B3003" s="518" t="s">
        <v>7271</v>
      </c>
      <c r="C3003" s="519" t="s">
        <v>7762</v>
      </c>
      <c r="D3003" s="519" t="s">
        <v>9985</v>
      </c>
      <c r="E3003" s="519" t="s">
        <v>8074</v>
      </c>
      <c r="F3003" s="519" t="s">
        <v>1152</v>
      </c>
      <c r="G3003" s="519" t="s">
        <v>9987</v>
      </c>
      <c r="H3003" s="519" t="s">
        <v>144</v>
      </c>
      <c r="I3003" s="519"/>
      <c r="L3003" s="518" t="s">
        <v>1233</v>
      </c>
      <c r="M3003" s="520">
        <v>1.53</v>
      </c>
      <c r="N3003" s="518" t="s">
        <v>1233</v>
      </c>
    </row>
    <row r="3004" spans="1:14" s="518" customFormat="1" x14ac:dyDescent="0.25">
      <c r="A3004" s="518" t="s">
        <v>7272</v>
      </c>
      <c r="B3004" s="518" t="s">
        <v>7273</v>
      </c>
      <c r="C3004" s="519" t="s">
        <v>7762</v>
      </c>
      <c r="D3004" s="519" t="s">
        <v>9985</v>
      </c>
      <c r="E3004" s="519" t="s">
        <v>8074</v>
      </c>
      <c r="F3004" s="519" t="s">
        <v>1152</v>
      </c>
      <c r="G3004" s="519" t="s">
        <v>9987</v>
      </c>
      <c r="H3004" s="519" t="s">
        <v>143</v>
      </c>
      <c r="I3004" s="519"/>
      <c r="L3004" s="518" t="s">
        <v>1233</v>
      </c>
      <c r="M3004" s="520">
        <v>1.53</v>
      </c>
      <c r="N3004" s="518" t="s">
        <v>1233</v>
      </c>
    </row>
    <row r="3005" spans="1:14" s="518" customFormat="1" x14ac:dyDescent="0.25">
      <c r="A3005" s="518" t="s">
        <v>7274</v>
      </c>
      <c r="B3005" s="518" t="s">
        <v>7275</v>
      </c>
      <c r="C3005" s="519" t="s">
        <v>7762</v>
      </c>
      <c r="D3005" s="519" t="s">
        <v>9985</v>
      </c>
      <c r="E3005" s="519" t="s">
        <v>8074</v>
      </c>
      <c r="F3005" s="519" t="s">
        <v>1152</v>
      </c>
      <c r="G3005" s="519" t="s">
        <v>9987</v>
      </c>
      <c r="H3005" s="519" t="s">
        <v>477</v>
      </c>
      <c r="I3005" s="519"/>
      <c r="L3005" s="518" t="s">
        <v>1233</v>
      </c>
      <c r="M3005" s="520">
        <v>1.53</v>
      </c>
      <c r="N3005" s="518" t="s">
        <v>1233</v>
      </c>
    </row>
    <row r="3006" spans="1:14" s="518" customFormat="1" x14ac:dyDescent="0.25">
      <c r="A3006" s="518" t="s">
        <v>7276</v>
      </c>
      <c r="B3006" s="518" t="s">
        <v>7277</v>
      </c>
      <c r="C3006" s="519" t="s">
        <v>7762</v>
      </c>
      <c r="D3006" s="519" t="s">
        <v>9985</v>
      </c>
      <c r="E3006" s="519" t="s">
        <v>8074</v>
      </c>
      <c r="F3006" s="519" t="s">
        <v>1152</v>
      </c>
      <c r="G3006" s="519" t="s">
        <v>9987</v>
      </c>
      <c r="H3006" s="519" t="s">
        <v>7787</v>
      </c>
      <c r="I3006" s="519"/>
      <c r="L3006" s="518" t="s">
        <v>1233</v>
      </c>
      <c r="M3006" s="520">
        <v>1.53</v>
      </c>
      <c r="N3006" s="518" t="s">
        <v>1233</v>
      </c>
    </row>
    <row r="3007" spans="1:14" s="518" customFormat="1" x14ac:dyDescent="0.25">
      <c r="A3007" s="518" t="s">
        <v>7278</v>
      </c>
      <c r="B3007" s="518" t="s">
        <v>7279</v>
      </c>
      <c r="C3007" s="519" t="s">
        <v>7762</v>
      </c>
      <c r="D3007" s="519" t="s">
        <v>9985</v>
      </c>
      <c r="E3007" s="519" t="s">
        <v>8074</v>
      </c>
      <c r="F3007" s="519" t="s">
        <v>1152</v>
      </c>
      <c r="G3007" s="519" t="s">
        <v>9987</v>
      </c>
      <c r="H3007" s="519" t="s">
        <v>7788</v>
      </c>
      <c r="I3007" s="519" t="s">
        <v>361</v>
      </c>
      <c r="L3007" s="518" t="s">
        <v>1233</v>
      </c>
      <c r="M3007" s="520">
        <v>1.53</v>
      </c>
      <c r="N3007" s="518" t="s">
        <v>1233</v>
      </c>
    </row>
    <row r="3008" spans="1:14" s="518" customFormat="1" x14ac:dyDescent="0.25">
      <c r="A3008" s="518" t="s">
        <v>7280</v>
      </c>
      <c r="B3008" s="518" t="s">
        <v>7281</v>
      </c>
      <c r="C3008" s="519" t="s">
        <v>7762</v>
      </c>
      <c r="D3008" s="519" t="s">
        <v>9985</v>
      </c>
      <c r="E3008" s="519" t="s">
        <v>8074</v>
      </c>
      <c r="F3008" s="519" t="s">
        <v>1152</v>
      </c>
      <c r="G3008" s="519" t="s">
        <v>9987</v>
      </c>
      <c r="H3008" s="519" t="s">
        <v>141</v>
      </c>
      <c r="I3008" s="519"/>
      <c r="L3008" s="518" t="s">
        <v>1233</v>
      </c>
      <c r="M3008" s="520">
        <v>1.53</v>
      </c>
      <c r="N3008" s="518" t="s">
        <v>1233</v>
      </c>
    </row>
    <row r="3009" spans="1:14" s="518" customFormat="1" x14ac:dyDescent="0.25">
      <c r="A3009" s="518" t="s">
        <v>7282</v>
      </c>
      <c r="B3009" s="518" t="s">
        <v>7283</v>
      </c>
      <c r="C3009" s="519" t="s">
        <v>7762</v>
      </c>
      <c r="D3009" s="519" t="s">
        <v>9985</v>
      </c>
      <c r="E3009" s="519" t="s">
        <v>8074</v>
      </c>
      <c r="F3009" s="519" t="s">
        <v>1152</v>
      </c>
      <c r="G3009" s="519" t="s">
        <v>9987</v>
      </c>
      <c r="H3009" s="519" t="s">
        <v>8993</v>
      </c>
      <c r="I3009" s="519"/>
      <c r="L3009" s="518" t="s">
        <v>1233</v>
      </c>
      <c r="M3009" s="520">
        <v>1.53</v>
      </c>
      <c r="N3009" s="518" t="s">
        <v>1233</v>
      </c>
    </row>
    <row r="3010" spans="1:14" s="518" customFormat="1" x14ac:dyDescent="0.25">
      <c r="A3010" s="518" t="s">
        <v>7284</v>
      </c>
      <c r="B3010" s="518" t="s">
        <v>7285</v>
      </c>
      <c r="C3010" s="519" t="s">
        <v>7762</v>
      </c>
      <c r="D3010" s="519" t="s">
        <v>9985</v>
      </c>
      <c r="E3010" s="519" t="s">
        <v>8074</v>
      </c>
      <c r="F3010" s="519" t="s">
        <v>1152</v>
      </c>
      <c r="G3010" s="519" t="s">
        <v>9987</v>
      </c>
      <c r="H3010" s="519" t="s">
        <v>524</v>
      </c>
      <c r="I3010" s="519"/>
      <c r="L3010" s="518" t="s">
        <v>1233</v>
      </c>
      <c r="M3010" s="520">
        <v>1.53</v>
      </c>
      <c r="N3010" s="518" t="s">
        <v>1233</v>
      </c>
    </row>
    <row r="3011" spans="1:14" s="518" customFormat="1" x14ac:dyDescent="0.25">
      <c r="A3011" s="518" t="s">
        <v>7286</v>
      </c>
      <c r="B3011" s="518" t="s">
        <v>7287</v>
      </c>
      <c r="C3011" s="519" t="s">
        <v>7762</v>
      </c>
      <c r="D3011" s="519" t="s">
        <v>9985</v>
      </c>
      <c r="E3011" s="519" t="s">
        <v>8074</v>
      </c>
      <c r="F3011" s="519" t="s">
        <v>1152</v>
      </c>
      <c r="G3011" s="519" t="s">
        <v>9987</v>
      </c>
      <c r="H3011" s="519" t="s">
        <v>363</v>
      </c>
      <c r="I3011" s="519"/>
      <c r="L3011" s="518" t="s">
        <v>1233</v>
      </c>
      <c r="M3011" s="520">
        <v>1.53</v>
      </c>
      <c r="N3011" s="518" t="s">
        <v>1233</v>
      </c>
    </row>
    <row r="3012" spans="1:14" s="518" customFormat="1" x14ac:dyDescent="0.25">
      <c r="A3012" s="518" t="s">
        <v>7288</v>
      </c>
      <c r="B3012" s="518" t="s">
        <v>7289</v>
      </c>
      <c r="C3012" s="519" t="s">
        <v>7762</v>
      </c>
      <c r="D3012" s="519" t="s">
        <v>9985</v>
      </c>
      <c r="E3012" s="519" t="s">
        <v>8074</v>
      </c>
      <c r="F3012" s="519" t="s">
        <v>1152</v>
      </c>
      <c r="G3012" s="519" t="s">
        <v>9987</v>
      </c>
      <c r="H3012" s="519" t="s">
        <v>10023</v>
      </c>
      <c r="I3012" s="519" t="s">
        <v>7775</v>
      </c>
      <c r="L3012" s="518" t="s">
        <v>1233</v>
      </c>
      <c r="M3012" s="520">
        <v>1.53</v>
      </c>
      <c r="N3012" s="518" t="s">
        <v>1233</v>
      </c>
    </row>
    <row r="3013" spans="1:14" s="518" customFormat="1" x14ac:dyDescent="0.25">
      <c r="A3013" s="518" t="s">
        <v>7290</v>
      </c>
      <c r="B3013" s="518" t="s">
        <v>7291</v>
      </c>
      <c r="C3013" s="519" t="s">
        <v>7762</v>
      </c>
      <c r="D3013" s="519" t="s">
        <v>9985</v>
      </c>
      <c r="E3013" s="519" t="s">
        <v>8074</v>
      </c>
      <c r="F3013" s="519" t="s">
        <v>1152</v>
      </c>
      <c r="G3013" s="519" t="s">
        <v>9987</v>
      </c>
      <c r="H3013" s="519" t="s">
        <v>526</v>
      </c>
      <c r="I3013" s="519"/>
      <c r="L3013" s="518" t="s">
        <v>1233</v>
      </c>
      <c r="M3013" s="520">
        <v>1.53</v>
      </c>
      <c r="N3013" s="518" t="s">
        <v>1233</v>
      </c>
    </row>
    <row r="3014" spans="1:14" s="518" customFormat="1" x14ac:dyDescent="0.25">
      <c r="A3014" s="518" t="s">
        <v>7292</v>
      </c>
      <c r="B3014" s="518" t="s">
        <v>7293</v>
      </c>
      <c r="C3014" s="519" t="s">
        <v>7762</v>
      </c>
      <c r="D3014" s="519" t="s">
        <v>9985</v>
      </c>
      <c r="E3014" s="519" t="s">
        <v>8074</v>
      </c>
      <c r="F3014" s="519" t="s">
        <v>1152</v>
      </c>
      <c r="G3014" s="519" t="s">
        <v>9987</v>
      </c>
      <c r="H3014" s="519" t="s">
        <v>133</v>
      </c>
      <c r="I3014" s="519"/>
      <c r="L3014" s="518" t="s">
        <v>1233</v>
      </c>
      <c r="M3014" s="520">
        <v>1.53</v>
      </c>
      <c r="N3014" s="518" t="s">
        <v>1233</v>
      </c>
    </row>
    <row r="3015" spans="1:14" s="518" customFormat="1" x14ac:dyDescent="0.25">
      <c r="A3015" s="518" t="s">
        <v>7294</v>
      </c>
      <c r="B3015" s="518" t="s">
        <v>7295</v>
      </c>
      <c r="C3015" s="519" t="s">
        <v>7762</v>
      </c>
      <c r="D3015" s="519" t="s">
        <v>9985</v>
      </c>
      <c r="E3015" s="519" t="s">
        <v>8074</v>
      </c>
      <c r="F3015" s="519" t="s">
        <v>1152</v>
      </c>
      <c r="G3015" s="519" t="s">
        <v>9987</v>
      </c>
      <c r="H3015" s="519" t="s">
        <v>7777</v>
      </c>
      <c r="I3015" s="519" t="s">
        <v>477</v>
      </c>
      <c r="L3015" s="518" t="s">
        <v>1233</v>
      </c>
      <c r="M3015" s="520">
        <v>1.53</v>
      </c>
      <c r="N3015" s="518" t="s">
        <v>1233</v>
      </c>
    </row>
    <row r="3016" spans="1:14" s="518" customFormat="1" x14ac:dyDescent="0.25">
      <c r="A3016" s="518" t="s">
        <v>7296</v>
      </c>
      <c r="B3016" s="518" t="s">
        <v>7297</v>
      </c>
      <c r="C3016" s="519" t="s">
        <v>7762</v>
      </c>
      <c r="D3016" s="519" t="s">
        <v>9985</v>
      </c>
      <c r="E3016" s="519" t="s">
        <v>8074</v>
      </c>
      <c r="F3016" s="519" t="s">
        <v>1152</v>
      </c>
      <c r="G3016" s="519" t="s">
        <v>9987</v>
      </c>
      <c r="H3016" s="519" t="s">
        <v>510</v>
      </c>
      <c r="I3016" s="519"/>
      <c r="L3016" s="518" t="s">
        <v>1233</v>
      </c>
      <c r="M3016" s="520">
        <v>1.53</v>
      </c>
      <c r="N3016" s="518" t="s">
        <v>1233</v>
      </c>
    </row>
    <row r="3017" spans="1:14" s="518" customFormat="1" x14ac:dyDescent="0.25">
      <c r="A3017" s="518" t="s">
        <v>7298</v>
      </c>
      <c r="B3017" s="518" t="s">
        <v>7299</v>
      </c>
      <c r="C3017" s="519" t="s">
        <v>7762</v>
      </c>
      <c r="D3017" s="519" t="s">
        <v>9985</v>
      </c>
      <c r="E3017" s="519" t="s">
        <v>8074</v>
      </c>
      <c r="F3017" s="519" t="s">
        <v>1152</v>
      </c>
      <c r="G3017" s="519" t="s">
        <v>9987</v>
      </c>
      <c r="H3017" s="519" t="s">
        <v>9988</v>
      </c>
      <c r="I3017" s="519"/>
      <c r="L3017" s="518" t="s">
        <v>1233</v>
      </c>
      <c r="M3017" s="520">
        <v>1.53</v>
      </c>
      <c r="N3017" s="518" t="s">
        <v>1233</v>
      </c>
    </row>
    <row r="3018" spans="1:14" s="518" customFormat="1" x14ac:dyDescent="0.25">
      <c r="A3018" s="518" t="s">
        <v>7300</v>
      </c>
      <c r="B3018" s="518" t="s">
        <v>7301</v>
      </c>
      <c r="C3018" s="519" t="s">
        <v>7762</v>
      </c>
      <c r="D3018" s="519" t="s">
        <v>9985</v>
      </c>
      <c r="E3018" s="519" t="s">
        <v>8074</v>
      </c>
      <c r="F3018" s="519" t="s">
        <v>1152</v>
      </c>
      <c r="G3018" s="519" t="s">
        <v>9987</v>
      </c>
      <c r="H3018" s="519" t="s">
        <v>511</v>
      </c>
      <c r="I3018" s="519"/>
      <c r="L3018" s="518" t="s">
        <v>1233</v>
      </c>
      <c r="M3018" s="520">
        <v>1.53</v>
      </c>
      <c r="N3018" s="518" t="s">
        <v>1233</v>
      </c>
    </row>
    <row r="3019" spans="1:14" s="518" customFormat="1" x14ac:dyDescent="0.25">
      <c r="A3019" s="518" t="s">
        <v>7302</v>
      </c>
      <c r="B3019" s="518" t="s">
        <v>7303</v>
      </c>
      <c r="C3019" s="519" t="s">
        <v>7762</v>
      </c>
      <c r="D3019" s="519" t="s">
        <v>9985</v>
      </c>
      <c r="E3019" s="519" t="s">
        <v>8074</v>
      </c>
      <c r="F3019" s="519" t="s">
        <v>1152</v>
      </c>
      <c r="G3019" s="519" t="s">
        <v>9987</v>
      </c>
      <c r="H3019" s="519" t="s">
        <v>137</v>
      </c>
      <c r="I3019" s="519"/>
      <c r="L3019" s="518" t="s">
        <v>1233</v>
      </c>
      <c r="M3019" s="520">
        <v>1.53</v>
      </c>
      <c r="N3019" s="518" t="s">
        <v>1233</v>
      </c>
    </row>
    <row r="3020" spans="1:14" s="518" customFormat="1" x14ac:dyDescent="0.25">
      <c r="A3020" s="518" t="s">
        <v>7304</v>
      </c>
      <c r="B3020" s="518" t="s">
        <v>7305</v>
      </c>
      <c r="C3020" s="519" t="s">
        <v>7762</v>
      </c>
      <c r="D3020" s="519" t="s">
        <v>10024</v>
      </c>
      <c r="E3020" s="519" t="s">
        <v>10025</v>
      </c>
      <c r="F3020" s="519" t="s">
        <v>10026</v>
      </c>
      <c r="G3020" s="519" t="s">
        <v>10027</v>
      </c>
      <c r="H3020" s="519" t="s">
        <v>10028</v>
      </c>
      <c r="I3020" s="519"/>
      <c r="L3020" s="518" t="s">
        <v>1233</v>
      </c>
      <c r="M3020" s="520">
        <v>0.89</v>
      </c>
      <c r="N3020" s="518" t="s">
        <v>1233</v>
      </c>
    </row>
    <row r="3021" spans="1:14" x14ac:dyDescent="0.25">
      <c r="A3021" s="505" t="s">
        <v>7306</v>
      </c>
      <c r="B3021" s="505" t="s">
        <v>7307</v>
      </c>
      <c r="C3021" s="512" t="s">
        <v>7762</v>
      </c>
      <c r="D3021" s="512" t="s">
        <v>9402</v>
      </c>
      <c r="E3021" s="512" t="s">
        <v>9403</v>
      </c>
      <c r="F3021" s="512" t="s">
        <v>156</v>
      </c>
      <c r="G3021" s="512" t="s">
        <v>10029</v>
      </c>
      <c r="H3021" s="512" t="s">
        <v>7529</v>
      </c>
      <c r="I3021" s="512" t="s">
        <v>7783</v>
      </c>
      <c r="L3021" s="505" t="s">
        <v>2854</v>
      </c>
      <c r="M3021" s="516">
        <v>30.73</v>
      </c>
      <c r="N3021" s="505" t="s">
        <v>2854</v>
      </c>
    </row>
    <row r="3022" spans="1:14" x14ac:dyDescent="0.25">
      <c r="A3022" s="505" t="s">
        <v>7308</v>
      </c>
      <c r="B3022" s="505" t="s">
        <v>7309</v>
      </c>
      <c r="C3022" s="512" t="s">
        <v>7762</v>
      </c>
      <c r="D3022" s="512" t="s">
        <v>9402</v>
      </c>
      <c r="E3022" s="512" t="s">
        <v>9403</v>
      </c>
      <c r="F3022" s="512" t="s">
        <v>156</v>
      </c>
      <c r="G3022" s="512" t="s">
        <v>10029</v>
      </c>
      <c r="H3022" s="512" t="s">
        <v>148</v>
      </c>
      <c r="L3022" s="505" t="s">
        <v>2854</v>
      </c>
      <c r="M3022" s="516">
        <v>30.73</v>
      </c>
      <c r="N3022" s="505" t="s">
        <v>2854</v>
      </c>
    </row>
    <row r="3023" spans="1:14" x14ac:dyDescent="0.25">
      <c r="A3023" s="505" t="s">
        <v>7310</v>
      </c>
      <c r="B3023" s="505" t="s">
        <v>7311</v>
      </c>
      <c r="C3023" s="512" t="s">
        <v>7762</v>
      </c>
      <c r="D3023" s="512" t="s">
        <v>9402</v>
      </c>
      <c r="E3023" s="512" t="s">
        <v>9403</v>
      </c>
      <c r="F3023" s="512" t="s">
        <v>156</v>
      </c>
      <c r="G3023" s="512" t="s">
        <v>10029</v>
      </c>
      <c r="H3023" s="512" t="s">
        <v>475</v>
      </c>
      <c r="L3023" s="505" t="s">
        <v>2854</v>
      </c>
      <c r="M3023" s="516">
        <v>30.73</v>
      </c>
      <c r="N3023" s="505" t="s">
        <v>2854</v>
      </c>
    </row>
    <row r="3024" spans="1:14" x14ac:dyDescent="0.25">
      <c r="A3024" s="505" t="s">
        <v>7312</v>
      </c>
      <c r="B3024" s="505" t="s">
        <v>7313</v>
      </c>
      <c r="C3024" s="512" t="s">
        <v>7762</v>
      </c>
      <c r="D3024" s="512" t="s">
        <v>9402</v>
      </c>
      <c r="E3024" s="512" t="s">
        <v>9403</v>
      </c>
      <c r="F3024" s="512" t="s">
        <v>156</v>
      </c>
      <c r="G3024" s="512" t="s">
        <v>10029</v>
      </c>
      <c r="H3024" s="512" t="s">
        <v>144</v>
      </c>
      <c r="L3024" s="505" t="s">
        <v>2854</v>
      </c>
      <c r="M3024" s="516">
        <v>30.73</v>
      </c>
      <c r="N3024" s="505" t="s">
        <v>2854</v>
      </c>
    </row>
    <row r="3025" spans="1:14" x14ac:dyDescent="0.25">
      <c r="A3025" s="505" t="s">
        <v>7314</v>
      </c>
      <c r="B3025" s="505" t="s">
        <v>7315</v>
      </c>
      <c r="C3025" s="512" t="s">
        <v>7762</v>
      </c>
      <c r="D3025" s="512" t="s">
        <v>9402</v>
      </c>
      <c r="E3025" s="512" t="s">
        <v>9403</v>
      </c>
      <c r="F3025" s="512" t="s">
        <v>156</v>
      </c>
      <c r="G3025" s="512" t="s">
        <v>10029</v>
      </c>
      <c r="H3025" s="512" t="s">
        <v>143</v>
      </c>
      <c r="L3025" s="505" t="s">
        <v>2854</v>
      </c>
      <c r="M3025" s="516">
        <v>30.73</v>
      </c>
      <c r="N3025" s="505" t="s">
        <v>2854</v>
      </c>
    </row>
    <row r="3026" spans="1:14" x14ac:dyDescent="0.25">
      <c r="A3026" s="505" t="s">
        <v>7316</v>
      </c>
      <c r="B3026" s="505" t="s">
        <v>7317</v>
      </c>
      <c r="C3026" s="512" t="s">
        <v>7762</v>
      </c>
      <c r="D3026" s="512" t="s">
        <v>9402</v>
      </c>
      <c r="E3026" s="512" t="s">
        <v>9403</v>
      </c>
      <c r="F3026" s="512" t="s">
        <v>156</v>
      </c>
      <c r="G3026" s="512" t="s">
        <v>10029</v>
      </c>
      <c r="H3026" s="512" t="s">
        <v>477</v>
      </c>
      <c r="L3026" s="505" t="s">
        <v>2854</v>
      </c>
      <c r="M3026" s="516">
        <v>30.73</v>
      </c>
      <c r="N3026" s="505" t="s">
        <v>2854</v>
      </c>
    </row>
    <row r="3027" spans="1:14" x14ac:dyDescent="0.25">
      <c r="A3027" s="505" t="s">
        <v>7318</v>
      </c>
      <c r="B3027" s="505" t="s">
        <v>7319</v>
      </c>
      <c r="C3027" s="512" t="s">
        <v>7762</v>
      </c>
      <c r="D3027" s="512" t="s">
        <v>9402</v>
      </c>
      <c r="E3027" s="512" t="s">
        <v>9403</v>
      </c>
      <c r="F3027" s="512" t="s">
        <v>156</v>
      </c>
      <c r="G3027" s="512" t="s">
        <v>10029</v>
      </c>
      <c r="H3027" s="512" t="s">
        <v>7787</v>
      </c>
      <c r="L3027" s="505" t="s">
        <v>2854</v>
      </c>
      <c r="M3027" s="516">
        <v>30.73</v>
      </c>
      <c r="N3027" s="505" t="s">
        <v>2854</v>
      </c>
    </row>
    <row r="3028" spans="1:14" x14ac:dyDescent="0.25">
      <c r="A3028" s="505" t="s">
        <v>7320</v>
      </c>
      <c r="B3028" s="505" t="s">
        <v>7321</v>
      </c>
      <c r="C3028" s="512" t="s">
        <v>7762</v>
      </c>
      <c r="D3028" s="512" t="s">
        <v>9402</v>
      </c>
      <c r="E3028" s="512" t="s">
        <v>9403</v>
      </c>
      <c r="F3028" s="512" t="s">
        <v>156</v>
      </c>
      <c r="G3028" s="512" t="s">
        <v>10029</v>
      </c>
      <c r="H3028" s="512" t="s">
        <v>7788</v>
      </c>
      <c r="I3028" s="512" t="s">
        <v>361</v>
      </c>
      <c r="L3028" s="505" t="s">
        <v>2854</v>
      </c>
      <c r="M3028" s="516">
        <v>30.73</v>
      </c>
      <c r="N3028" s="505" t="s">
        <v>2854</v>
      </c>
    </row>
    <row r="3029" spans="1:14" x14ac:dyDescent="0.25">
      <c r="A3029" s="505" t="s">
        <v>7322</v>
      </c>
      <c r="B3029" s="505" t="s">
        <v>7323</v>
      </c>
      <c r="C3029" s="512" t="s">
        <v>7762</v>
      </c>
      <c r="D3029" s="512" t="s">
        <v>9402</v>
      </c>
      <c r="E3029" s="512" t="s">
        <v>9403</v>
      </c>
      <c r="F3029" s="512" t="s">
        <v>156</v>
      </c>
      <c r="G3029" s="512" t="s">
        <v>10029</v>
      </c>
      <c r="H3029" s="512" t="s">
        <v>141</v>
      </c>
      <c r="L3029" s="505" t="s">
        <v>2854</v>
      </c>
      <c r="M3029" s="516">
        <v>30.73</v>
      </c>
      <c r="N3029" s="505" t="s">
        <v>2854</v>
      </c>
    </row>
    <row r="3030" spans="1:14" x14ac:dyDescent="0.25">
      <c r="A3030" s="505" t="s">
        <v>7324</v>
      </c>
      <c r="B3030" s="505" t="s">
        <v>7325</v>
      </c>
      <c r="C3030" s="512" t="s">
        <v>7762</v>
      </c>
      <c r="D3030" s="512" t="s">
        <v>9402</v>
      </c>
      <c r="E3030" s="512" t="s">
        <v>9403</v>
      </c>
      <c r="F3030" s="512" t="s">
        <v>156</v>
      </c>
      <c r="G3030" s="512" t="s">
        <v>10029</v>
      </c>
      <c r="H3030" s="512" t="s">
        <v>7935</v>
      </c>
      <c r="L3030" s="505" t="s">
        <v>2854</v>
      </c>
      <c r="M3030" s="516">
        <v>30.73</v>
      </c>
      <c r="N3030" s="505" t="s">
        <v>2854</v>
      </c>
    </row>
    <row r="3031" spans="1:14" x14ac:dyDescent="0.25">
      <c r="A3031" s="505" t="s">
        <v>7326</v>
      </c>
      <c r="B3031" s="505" t="s">
        <v>7327</v>
      </c>
      <c r="C3031" s="512" t="s">
        <v>7762</v>
      </c>
      <c r="D3031" s="512" t="s">
        <v>9402</v>
      </c>
      <c r="E3031" s="512" t="s">
        <v>9403</v>
      </c>
      <c r="F3031" s="512" t="s">
        <v>156</v>
      </c>
      <c r="G3031" s="512" t="s">
        <v>10029</v>
      </c>
      <c r="H3031" s="512" t="s">
        <v>524</v>
      </c>
      <c r="L3031" s="505" t="s">
        <v>2854</v>
      </c>
      <c r="M3031" s="516">
        <v>30.73</v>
      </c>
      <c r="N3031" s="505" t="s">
        <v>2854</v>
      </c>
    </row>
    <row r="3032" spans="1:14" x14ac:dyDescent="0.25">
      <c r="A3032" s="505" t="s">
        <v>7328</v>
      </c>
      <c r="B3032" s="505" t="s">
        <v>7329</v>
      </c>
      <c r="C3032" s="512" t="s">
        <v>7762</v>
      </c>
      <c r="D3032" s="512" t="s">
        <v>9402</v>
      </c>
      <c r="E3032" s="512" t="s">
        <v>9403</v>
      </c>
      <c r="F3032" s="512" t="s">
        <v>156</v>
      </c>
      <c r="G3032" s="512" t="s">
        <v>10029</v>
      </c>
      <c r="H3032" s="512" t="s">
        <v>363</v>
      </c>
      <c r="L3032" s="505" t="s">
        <v>2854</v>
      </c>
      <c r="M3032" s="516">
        <v>30.73</v>
      </c>
      <c r="N3032" s="505" t="s">
        <v>2854</v>
      </c>
    </row>
    <row r="3033" spans="1:14" x14ac:dyDescent="0.25">
      <c r="A3033" s="505" t="s">
        <v>7330</v>
      </c>
      <c r="B3033" s="505" t="s">
        <v>7331</v>
      </c>
      <c r="C3033" s="512" t="s">
        <v>7762</v>
      </c>
      <c r="D3033" s="512" t="s">
        <v>9402</v>
      </c>
      <c r="E3033" s="512" t="s">
        <v>9403</v>
      </c>
      <c r="F3033" s="512" t="s">
        <v>156</v>
      </c>
      <c r="G3033" s="512" t="s">
        <v>10029</v>
      </c>
      <c r="H3033" s="512" t="s">
        <v>7571</v>
      </c>
      <c r="I3033" s="512" t="s">
        <v>9012</v>
      </c>
      <c r="L3033" s="505" t="s">
        <v>2854</v>
      </c>
      <c r="M3033" s="516">
        <v>30.73</v>
      </c>
      <c r="N3033" s="505" t="s">
        <v>2854</v>
      </c>
    </row>
    <row r="3034" spans="1:14" x14ac:dyDescent="0.25">
      <c r="A3034" s="505" t="s">
        <v>7332</v>
      </c>
      <c r="B3034" s="505" t="s">
        <v>7333</v>
      </c>
      <c r="C3034" s="512" t="s">
        <v>7762</v>
      </c>
      <c r="D3034" s="512" t="s">
        <v>9402</v>
      </c>
      <c r="E3034" s="512" t="s">
        <v>9403</v>
      </c>
      <c r="F3034" s="512" t="s">
        <v>156</v>
      </c>
      <c r="G3034" s="512" t="s">
        <v>10029</v>
      </c>
      <c r="H3034" s="512" t="s">
        <v>526</v>
      </c>
      <c r="L3034" s="505" t="s">
        <v>2854</v>
      </c>
      <c r="M3034" s="516">
        <v>30.73</v>
      </c>
      <c r="N3034" s="505" t="s">
        <v>2854</v>
      </c>
    </row>
    <row r="3035" spans="1:14" x14ac:dyDescent="0.25">
      <c r="A3035" s="505" t="s">
        <v>7334</v>
      </c>
      <c r="B3035" s="505" t="s">
        <v>7335</v>
      </c>
      <c r="C3035" s="512" t="s">
        <v>7762</v>
      </c>
      <c r="D3035" s="512" t="s">
        <v>9402</v>
      </c>
      <c r="E3035" s="512" t="s">
        <v>9403</v>
      </c>
      <c r="F3035" s="512" t="s">
        <v>156</v>
      </c>
      <c r="G3035" s="512" t="s">
        <v>10029</v>
      </c>
      <c r="H3035" s="512" t="s">
        <v>133</v>
      </c>
      <c r="L3035" s="505" t="s">
        <v>2854</v>
      </c>
      <c r="M3035" s="516">
        <v>30.73</v>
      </c>
      <c r="N3035" s="505" t="s">
        <v>2854</v>
      </c>
    </row>
    <row r="3036" spans="1:14" x14ac:dyDescent="0.25">
      <c r="A3036" s="505" t="s">
        <v>7336</v>
      </c>
      <c r="B3036" s="505" t="s">
        <v>7337</v>
      </c>
      <c r="C3036" s="512" t="s">
        <v>7762</v>
      </c>
      <c r="D3036" s="512" t="s">
        <v>9402</v>
      </c>
      <c r="E3036" s="512" t="s">
        <v>9403</v>
      </c>
      <c r="F3036" s="512" t="s">
        <v>156</v>
      </c>
      <c r="G3036" s="512" t="s">
        <v>10029</v>
      </c>
      <c r="H3036" s="512" t="s">
        <v>543</v>
      </c>
      <c r="I3036" s="512" t="s">
        <v>477</v>
      </c>
      <c r="L3036" s="505" t="s">
        <v>2854</v>
      </c>
      <c r="M3036" s="516">
        <v>30.73</v>
      </c>
      <c r="N3036" s="505" t="s">
        <v>2854</v>
      </c>
    </row>
    <row r="3037" spans="1:14" x14ac:dyDescent="0.25">
      <c r="A3037" s="505" t="s">
        <v>7338</v>
      </c>
      <c r="B3037" s="505" t="s">
        <v>7339</v>
      </c>
      <c r="C3037" s="512" t="s">
        <v>7762</v>
      </c>
      <c r="D3037" s="512" t="s">
        <v>9402</v>
      </c>
      <c r="E3037" s="512" t="s">
        <v>9403</v>
      </c>
      <c r="F3037" s="512" t="s">
        <v>156</v>
      </c>
      <c r="G3037" s="512" t="s">
        <v>10029</v>
      </c>
      <c r="H3037" s="512" t="s">
        <v>510</v>
      </c>
      <c r="L3037" s="505" t="s">
        <v>2854</v>
      </c>
      <c r="M3037" s="516">
        <v>30.73</v>
      </c>
      <c r="N3037" s="505" t="s">
        <v>2854</v>
      </c>
    </row>
    <row r="3038" spans="1:14" x14ac:dyDescent="0.25">
      <c r="A3038" s="505" t="s">
        <v>7340</v>
      </c>
      <c r="B3038" s="505" t="s">
        <v>7341</v>
      </c>
      <c r="C3038" s="512" t="s">
        <v>7762</v>
      </c>
      <c r="D3038" s="512" t="s">
        <v>9402</v>
      </c>
      <c r="E3038" s="512" t="s">
        <v>9403</v>
      </c>
      <c r="F3038" s="512" t="s">
        <v>156</v>
      </c>
      <c r="G3038" s="512" t="s">
        <v>10029</v>
      </c>
      <c r="H3038" s="512" t="s">
        <v>9000</v>
      </c>
      <c r="I3038" s="512" t="s">
        <v>361</v>
      </c>
      <c r="L3038" s="505" t="s">
        <v>2854</v>
      </c>
      <c r="M3038" s="516">
        <v>30.73</v>
      </c>
      <c r="N3038" s="505" t="s">
        <v>2854</v>
      </c>
    </row>
    <row r="3039" spans="1:14" x14ac:dyDescent="0.25">
      <c r="A3039" s="505" t="s">
        <v>7342</v>
      </c>
      <c r="B3039" s="505" t="s">
        <v>7343</v>
      </c>
      <c r="C3039" s="512" t="s">
        <v>7762</v>
      </c>
      <c r="D3039" s="512" t="s">
        <v>9402</v>
      </c>
      <c r="E3039" s="512" t="s">
        <v>9403</v>
      </c>
      <c r="F3039" s="512" t="s">
        <v>156</v>
      </c>
      <c r="G3039" s="512" t="s">
        <v>10029</v>
      </c>
      <c r="H3039" s="512" t="s">
        <v>511</v>
      </c>
      <c r="L3039" s="505" t="s">
        <v>2854</v>
      </c>
      <c r="M3039" s="516">
        <v>30.73</v>
      </c>
      <c r="N3039" s="505" t="s">
        <v>2854</v>
      </c>
    </row>
    <row r="3040" spans="1:14" x14ac:dyDescent="0.25">
      <c r="A3040" s="505" t="s">
        <v>7344</v>
      </c>
      <c r="B3040" s="505" t="s">
        <v>7345</v>
      </c>
      <c r="C3040" s="512" t="s">
        <v>7762</v>
      </c>
      <c r="D3040" s="512" t="s">
        <v>9402</v>
      </c>
      <c r="E3040" s="512" t="s">
        <v>9403</v>
      </c>
      <c r="F3040" s="512" t="s">
        <v>156</v>
      </c>
      <c r="G3040" s="512" t="s">
        <v>10029</v>
      </c>
      <c r="H3040" s="512" t="s">
        <v>137</v>
      </c>
      <c r="L3040" s="505" t="s">
        <v>2854</v>
      </c>
      <c r="M3040" s="516">
        <v>30.73</v>
      </c>
      <c r="N3040" s="505" t="s">
        <v>2854</v>
      </c>
    </row>
    <row r="3041" spans="1:14" s="518" customFormat="1" x14ac:dyDescent="0.25">
      <c r="A3041" s="518" t="s">
        <v>7346</v>
      </c>
      <c r="B3041" s="518" t="s">
        <v>7347</v>
      </c>
      <c r="C3041" s="519" t="s">
        <v>7796</v>
      </c>
      <c r="D3041" s="519" t="s">
        <v>8463</v>
      </c>
      <c r="E3041" s="519" t="s">
        <v>8072</v>
      </c>
      <c r="F3041" s="519" t="s">
        <v>10020</v>
      </c>
      <c r="G3041" s="519" t="s">
        <v>9987</v>
      </c>
      <c r="H3041" s="519" t="s">
        <v>9275</v>
      </c>
      <c r="I3041" s="519"/>
      <c r="L3041" s="518" t="s">
        <v>1233</v>
      </c>
      <c r="M3041" s="520">
        <v>1.53</v>
      </c>
      <c r="N3041" s="518" t="s">
        <v>1233</v>
      </c>
    </row>
    <row r="3042" spans="1:14" s="518" customFormat="1" x14ac:dyDescent="0.25">
      <c r="A3042" s="518" t="s">
        <v>7348</v>
      </c>
      <c r="B3042" s="518" t="s">
        <v>7349</v>
      </c>
      <c r="C3042" s="519" t="s">
        <v>7796</v>
      </c>
      <c r="D3042" s="519" t="s">
        <v>8463</v>
      </c>
      <c r="E3042" s="519" t="s">
        <v>8072</v>
      </c>
      <c r="F3042" s="519" t="s">
        <v>10020</v>
      </c>
      <c r="G3042" s="519" t="s">
        <v>9987</v>
      </c>
      <c r="H3042" s="519" t="s">
        <v>7436</v>
      </c>
      <c r="I3042" s="519"/>
      <c r="L3042" s="518" t="s">
        <v>1233</v>
      </c>
      <c r="M3042" s="520">
        <v>1.53</v>
      </c>
      <c r="N3042" s="518" t="s">
        <v>1233</v>
      </c>
    </row>
    <row r="3043" spans="1:14" s="518" customFormat="1" x14ac:dyDescent="0.25">
      <c r="A3043" s="518" t="s">
        <v>7350</v>
      </c>
      <c r="B3043" s="518" t="s">
        <v>7351</v>
      </c>
      <c r="C3043" s="519" t="s">
        <v>7796</v>
      </c>
      <c r="D3043" s="519" t="s">
        <v>8463</v>
      </c>
      <c r="E3043" s="519" t="s">
        <v>8072</v>
      </c>
      <c r="F3043" s="519" t="s">
        <v>10020</v>
      </c>
      <c r="G3043" s="519" t="s">
        <v>9987</v>
      </c>
      <c r="H3043" s="519" t="s">
        <v>7800</v>
      </c>
      <c r="I3043" s="519"/>
      <c r="L3043" s="518" t="s">
        <v>1233</v>
      </c>
      <c r="M3043" s="520">
        <v>1.53</v>
      </c>
      <c r="N3043" s="518" t="s">
        <v>1233</v>
      </c>
    </row>
    <row r="3044" spans="1:14" s="518" customFormat="1" x14ac:dyDescent="0.25">
      <c r="A3044" s="518" t="s">
        <v>7352</v>
      </c>
      <c r="B3044" s="518" t="s">
        <v>7353</v>
      </c>
      <c r="C3044" s="519" t="s">
        <v>7796</v>
      </c>
      <c r="D3044" s="519" t="s">
        <v>8463</v>
      </c>
      <c r="E3044" s="519" t="s">
        <v>8072</v>
      </c>
      <c r="F3044" s="519" t="s">
        <v>10020</v>
      </c>
      <c r="G3044" s="519" t="s">
        <v>9987</v>
      </c>
      <c r="H3044" s="519" t="s">
        <v>7881</v>
      </c>
      <c r="I3044" s="519"/>
      <c r="L3044" s="518" t="s">
        <v>1233</v>
      </c>
      <c r="M3044" s="520">
        <v>1.53</v>
      </c>
      <c r="N3044" s="518" t="s">
        <v>1233</v>
      </c>
    </row>
    <row r="3045" spans="1:14" s="518" customFormat="1" x14ac:dyDescent="0.25">
      <c r="A3045" s="518" t="s">
        <v>7354</v>
      </c>
      <c r="B3045" s="518" t="s">
        <v>7355</v>
      </c>
      <c r="C3045" s="519" t="s">
        <v>7796</v>
      </c>
      <c r="D3045" s="519" t="s">
        <v>8463</v>
      </c>
      <c r="E3045" s="519" t="s">
        <v>8072</v>
      </c>
      <c r="F3045" s="519" t="s">
        <v>10020</v>
      </c>
      <c r="G3045" s="519" t="s">
        <v>9987</v>
      </c>
      <c r="H3045" s="519" t="s">
        <v>7433</v>
      </c>
      <c r="I3045" s="519"/>
      <c r="L3045" s="518" t="s">
        <v>1233</v>
      </c>
      <c r="M3045" s="520">
        <v>1.53</v>
      </c>
      <c r="N3045" s="518" t="s">
        <v>1233</v>
      </c>
    </row>
    <row r="3046" spans="1:14" s="518" customFormat="1" x14ac:dyDescent="0.25">
      <c r="A3046" s="518" t="s">
        <v>7356</v>
      </c>
      <c r="B3046" s="518" t="s">
        <v>7357</v>
      </c>
      <c r="C3046" s="519" t="s">
        <v>7796</v>
      </c>
      <c r="D3046" s="519" t="s">
        <v>8463</v>
      </c>
      <c r="E3046" s="519" t="s">
        <v>8072</v>
      </c>
      <c r="F3046" s="519" t="s">
        <v>10020</v>
      </c>
      <c r="G3046" s="519" t="s">
        <v>9987</v>
      </c>
      <c r="H3046" s="519" t="s">
        <v>10030</v>
      </c>
      <c r="I3046" s="519"/>
      <c r="L3046" s="518" t="s">
        <v>1233</v>
      </c>
      <c r="M3046" s="520">
        <v>1.53</v>
      </c>
      <c r="N3046" s="518" t="s">
        <v>1233</v>
      </c>
    </row>
    <row r="3047" spans="1:14" s="518" customFormat="1" x14ac:dyDescent="0.25">
      <c r="A3047" s="518" t="s">
        <v>7358</v>
      </c>
      <c r="B3047" s="518" t="s">
        <v>7359</v>
      </c>
      <c r="C3047" s="519" t="s">
        <v>7796</v>
      </c>
      <c r="D3047" s="519" t="s">
        <v>8463</v>
      </c>
      <c r="E3047" s="519" t="s">
        <v>8072</v>
      </c>
      <c r="F3047" s="519" t="s">
        <v>10020</v>
      </c>
      <c r="G3047" s="519" t="s">
        <v>9987</v>
      </c>
      <c r="H3047" s="519" t="s">
        <v>7803</v>
      </c>
      <c r="I3047" s="519"/>
      <c r="L3047" s="518" t="s">
        <v>1233</v>
      </c>
      <c r="M3047" s="520">
        <v>1.53</v>
      </c>
      <c r="N3047" s="518" t="s">
        <v>1233</v>
      </c>
    </row>
    <row r="3048" spans="1:14" x14ac:dyDescent="0.25">
      <c r="A3048" s="505" t="s">
        <v>7360</v>
      </c>
      <c r="B3048" s="505" t="s">
        <v>7361</v>
      </c>
      <c r="C3048" s="512" t="s">
        <v>7762</v>
      </c>
      <c r="D3048" s="512" t="s">
        <v>10031</v>
      </c>
      <c r="E3048" s="512" t="s">
        <v>10032</v>
      </c>
      <c r="F3048" s="512" t="s">
        <v>7506</v>
      </c>
      <c r="G3048" s="512" t="s">
        <v>7575</v>
      </c>
      <c r="H3048" s="512" t="s">
        <v>361</v>
      </c>
      <c r="L3048" s="505" t="s">
        <v>7362</v>
      </c>
      <c r="M3048" s="516">
        <v>10.4</v>
      </c>
      <c r="N3048" s="505" t="s">
        <v>7362</v>
      </c>
    </row>
    <row r="3049" spans="1:14" x14ac:dyDescent="0.25">
      <c r="A3049" s="505" t="s">
        <v>7363</v>
      </c>
      <c r="B3049" s="505" t="s">
        <v>7364</v>
      </c>
      <c r="C3049" s="512" t="s">
        <v>7762</v>
      </c>
      <c r="D3049" s="512" t="s">
        <v>10031</v>
      </c>
      <c r="E3049" s="512" t="s">
        <v>10032</v>
      </c>
      <c r="F3049" s="512" t="s">
        <v>7506</v>
      </c>
      <c r="G3049" s="512" t="s">
        <v>10033</v>
      </c>
      <c r="L3049" s="505" t="s">
        <v>7362</v>
      </c>
      <c r="M3049" s="516">
        <v>10.4</v>
      </c>
      <c r="N3049" s="505" t="s">
        <v>7362</v>
      </c>
    </row>
    <row r="3050" spans="1:14" x14ac:dyDescent="0.25">
      <c r="A3050" s="505" t="s">
        <v>7365</v>
      </c>
      <c r="B3050" s="505" t="s">
        <v>7366</v>
      </c>
      <c r="C3050" s="512" t="s">
        <v>7762</v>
      </c>
      <c r="D3050" s="512" t="s">
        <v>10031</v>
      </c>
      <c r="E3050" s="512" t="s">
        <v>10032</v>
      </c>
      <c r="F3050" s="512" t="s">
        <v>7506</v>
      </c>
      <c r="G3050" s="512" t="s">
        <v>144</v>
      </c>
      <c r="L3050" s="505" t="s">
        <v>7362</v>
      </c>
      <c r="M3050" s="516">
        <v>10.4</v>
      </c>
      <c r="N3050" s="505" t="s">
        <v>7362</v>
      </c>
    </row>
    <row r="3051" spans="1:14" x14ac:dyDescent="0.25">
      <c r="A3051" s="505" t="s">
        <v>7367</v>
      </c>
      <c r="B3051" s="505" t="s">
        <v>7368</v>
      </c>
      <c r="C3051" s="512" t="s">
        <v>7762</v>
      </c>
      <c r="D3051" s="512" t="s">
        <v>10031</v>
      </c>
      <c r="E3051" s="512" t="s">
        <v>10032</v>
      </c>
      <c r="F3051" s="512" t="s">
        <v>7506</v>
      </c>
      <c r="G3051" s="512" t="s">
        <v>477</v>
      </c>
      <c r="L3051" s="505" t="s">
        <v>7362</v>
      </c>
      <c r="M3051" s="516">
        <v>10.4</v>
      </c>
      <c r="N3051" s="505" t="s">
        <v>7362</v>
      </c>
    </row>
    <row r="3052" spans="1:14" x14ac:dyDescent="0.25">
      <c r="A3052" s="505" t="s">
        <v>7369</v>
      </c>
      <c r="B3052" s="505" t="s">
        <v>7370</v>
      </c>
      <c r="C3052" s="512" t="s">
        <v>7762</v>
      </c>
      <c r="D3052" s="512" t="s">
        <v>10031</v>
      </c>
      <c r="E3052" s="512" t="s">
        <v>10032</v>
      </c>
      <c r="F3052" s="512" t="s">
        <v>7506</v>
      </c>
      <c r="G3052" s="512" t="s">
        <v>7789</v>
      </c>
      <c r="L3052" s="505" t="s">
        <v>7362</v>
      </c>
      <c r="M3052" s="516">
        <v>10.4</v>
      </c>
      <c r="N3052" s="505" t="s">
        <v>7362</v>
      </c>
    </row>
    <row r="3053" spans="1:14" x14ac:dyDescent="0.25">
      <c r="A3053" s="505" t="s">
        <v>7371</v>
      </c>
      <c r="B3053" s="505" t="s">
        <v>7372</v>
      </c>
      <c r="C3053" s="512" t="s">
        <v>7762</v>
      </c>
      <c r="D3053" s="512" t="s">
        <v>10031</v>
      </c>
      <c r="E3053" s="512" t="s">
        <v>10032</v>
      </c>
      <c r="F3053" s="512" t="s">
        <v>7506</v>
      </c>
      <c r="G3053" s="512" t="s">
        <v>363</v>
      </c>
      <c r="L3053" s="505" t="s">
        <v>7362</v>
      </c>
      <c r="M3053" s="516">
        <v>10.4</v>
      </c>
      <c r="N3053" s="505" t="s">
        <v>7362</v>
      </c>
    </row>
    <row r="3054" spans="1:14" x14ac:dyDescent="0.25">
      <c r="A3054" s="505" t="s">
        <v>7373</v>
      </c>
      <c r="B3054" s="505" t="s">
        <v>7374</v>
      </c>
      <c r="C3054" s="512" t="s">
        <v>7762</v>
      </c>
      <c r="D3054" s="512" t="s">
        <v>10031</v>
      </c>
      <c r="E3054" s="512" t="s">
        <v>10032</v>
      </c>
      <c r="F3054" s="512" t="s">
        <v>7506</v>
      </c>
      <c r="G3054" s="512" t="s">
        <v>526</v>
      </c>
      <c r="L3054" s="505" t="s">
        <v>7362</v>
      </c>
      <c r="M3054" s="516">
        <v>10.4</v>
      </c>
      <c r="N3054" s="505" t="s">
        <v>7362</v>
      </c>
    </row>
    <row r="3055" spans="1:14" x14ac:dyDescent="0.25">
      <c r="A3055" s="505" t="s">
        <v>7375</v>
      </c>
      <c r="B3055" s="505" t="s">
        <v>7376</v>
      </c>
      <c r="C3055" s="512" t="s">
        <v>7762</v>
      </c>
      <c r="D3055" s="512" t="s">
        <v>10031</v>
      </c>
      <c r="E3055" s="512" t="s">
        <v>10032</v>
      </c>
      <c r="F3055" s="512" t="s">
        <v>7506</v>
      </c>
      <c r="G3055" s="512" t="s">
        <v>133</v>
      </c>
      <c r="L3055" s="505" t="s">
        <v>7362</v>
      </c>
      <c r="M3055" s="516">
        <v>10.4</v>
      </c>
      <c r="N3055" s="505" t="s">
        <v>7362</v>
      </c>
    </row>
    <row r="3056" spans="1:14" x14ac:dyDescent="0.25">
      <c r="A3056" s="505" t="s">
        <v>7377</v>
      </c>
      <c r="B3056" s="505" t="s">
        <v>7378</v>
      </c>
      <c r="C3056" s="512" t="s">
        <v>7762</v>
      </c>
      <c r="D3056" s="512" t="s">
        <v>10034</v>
      </c>
      <c r="E3056" s="512" t="s">
        <v>10032</v>
      </c>
      <c r="F3056" s="512" t="s">
        <v>7506</v>
      </c>
      <c r="G3056" s="512" t="s">
        <v>7575</v>
      </c>
      <c r="H3056" s="512" t="s">
        <v>361</v>
      </c>
      <c r="L3056" s="505" t="s">
        <v>7362</v>
      </c>
      <c r="M3056" s="516">
        <v>10.4</v>
      </c>
      <c r="N3056" s="505" t="s">
        <v>7362</v>
      </c>
    </row>
    <row r="3057" spans="1:14" x14ac:dyDescent="0.25">
      <c r="A3057" s="505" t="s">
        <v>7379</v>
      </c>
      <c r="B3057" s="505" t="s">
        <v>7380</v>
      </c>
      <c r="C3057" s="512" t="s">
        <v>7762</v>
      </c>
      <c r="D3057" s="512" t="s">
        <v>10034</v>
      </c>
      <c r="E3057" s="512" t="s">
        <v>10032</v>
      </c>
      <c r="F3057" s="512" t="s">
        <v>7506</v>
      </c>
      <c r="G3057" s="512" t="s">
        <v>10035</v>
      </c>
      <c r="L3057" s="505" t="s">
        <v>7362</v>
      </c>
      <c r="M3057" s="516">
        <v>10.4</v>
      </c>
      <c r="N3057" s="505" t="s">
        <v>7362</v>
      </c>
    </row>
    <row r="3058" spans="1:14" x14ac:dyDescent="0.25">
      <c r="A3058" s="505" t="s">
        <v>7381</v>
      </c>
      <c r="B3058" s="505" t="s">
        <v>7382</v>
      </c>
      <c r="C3058" s="512" t="s">
        <v>7762</v>
      </c>
      <c r="D3058" s="512" t="s">
        <v>10034</v>
      </c>
      <c r="E3058" s="512" t="s">
        <v>10032</v>
      </c>
      <c r="F3058" s="512" t="s">
        <v>7506</v>
      </c>
      <c r="G3058" s="512" t="s">
        <v>475</v>
      </c>
      <c r="L3058" s="505" t="s">
        <v>7362</v>
      </c>
      <c r="M3058" s="516">
        <v>10.4</v>
      </c>
      <c r="N3058" s="505" t="s">
        <v>7362</v>
      </c>
    </row>
    <row r="3059" spans="1:14" x14ac:dyDescent="0.25">
      <c r="A3059" s="505" t="s">
        <v>7383</v>
      </c>
      <c r="B3059" s="505" t="s">
        <v>7384</v>
      </c>
      <c r="C3059" s="512" t="s">
        <v>7762</v>
      </c>
      <c r="D3059" s="512" t="s">
        <v>10034</v>
      </c>
      <c r="E3059" s="512" t="s">
        <v>10032</v>
      </c>
      <c r="F3059" s="512" t="s">
        <v>7506</v>
      </c>
      <c r="G3059" s="512" t="s">
        <v>144</v>
      </c>
      <c r="L3059" s="505" t="s">
        <v>7362</v>
      </c>
      <c r="M3059" s="516">
        <v>10.4</v>
      </c>
      <c r="N3059" s="505" t="s">
        <v>7362</v>
      </c>
    </row>
    <row r="3060" spans="1:14" x14ac:dyDescent="0.25">
      <c r="A3060" s="505" t="s">
        <v>7385</v>
      </c>
      <c r="B3060" s="505" t="s">
        <v>7386</v>
      </c>
      <c r="C3060" s="512" t="s">
        <v>7762</v>
      </c>
      <c r="D3060" s="512" t="s">
        <v>10034</v>
      </c>
      <c r="E3060" s="512" t="s">
        <v>10032</v>
      </c>
      <c r="F3060" s="512" t="s">
        <v>7506</v>
      </c>
      <c r="G3060" s="512" t="s">
        <v>143</v>
      </c>
      <c r="L3060" s="505" t="s">
        <v>7362</v>
      </c>
      <c r="M3060" s="516">
        <v>10.4</v>
      </c>
      <c r="N3060" s="505" t="s">
        <v>7362</v>
      </c>
    </row>
    <row r="3061" spans="1:14" x14ac:dyDescent="0.25">
      <c r="A3061" s="505" t="s">
        <v>7387</v>
      </c>
      <c r="B3061" s="505" t="s">
        <v>7388</v>
      </c>
      <c r="C3061" s="512" t="s">
        <v>7762</v>
      </c>
      <c r="D3061" s="512" t="s">
        <v>10034</v>
      </c>
      <c r="E3061" s="512" t="s">
        <v>10032</v>
      </c>
      <c r="F3061" s="512" t="s">
        <v>7506</v>
      </c>
      <c r="G3061" s="512" t="s">
        <v>477</v>
      </c>
      <c r="L3061" s="505" t="s">
        <v>7362</v>
      </c>
      <c r="M3061" s="516">
        <v>10.4</v>
      </c>
      <c r="N3061" s="505" t="s">
        <v>7362</v>
      </c>
    </row>
    <row r="3062" spans="1:14" x14ac:dyDescent="0.25">
      <c r="A3062" s="505" t="s">
        <v>7389</v>
      </c>
      <c r="B3062" s="505" t="s">
        <v>7390</v>
      </c>
      <c r="C3062" s="512" t="s">
        <v>7762</v>
      </c>
      <c r="D3062" s="512" t="s">
        <v>10034</v>
      </c>
      <c r="E3062" s="512" t="s">
        <v>10032</v>
      </c>
      <c r="F3062" s="512" t="s">
        <v>7506</v>
      </c>
      <c r="G3062" s="512" t="s">
        <v>7787</v>
      </c>
      <c r="L3062" s="505" t="s">
        <v>7362</v>
      </c>
      <c r="M3062" s="516">
        <v>10.4</v>
      </c>
      <c r="N3062" s="505" t="s">
        <v>7362</v>
      </c>
    </row>
    <row r="3063" spans="1:14" x14ac:dyDescent="0.25">
      <c r="A3063" s="505" t="s">
        <v>7391</v>
      </c>
      <c r="B3063" s="505" t="s">
        <v>7392</v>
      </c>
      <c r="C3063" s="512" t="s">
        <v>7762</v>
      </c>
      <c r="D3063" s="512" t="s">
        <v>10034</v>
      </c>
      <c r="E3063" s="512" t="s">
        <v>10032</v>
      </c>
      <c r="F3063" s="512" t="s">
        <v>7506</v>
      </c>
      <c r="G3063" s="512" t="s">
        <v>141</v>
      </c>
      <c r="L3063" s="505" t="s">
        <v>7362</v>
      </c>
      <c r="M3063" s="516">
        <v>10.4</v>
      </c>
      <c r="N3063" s="505" t="s">
        <v>7362</v>
      </c>
    </row>
    <row r="3064" spans="1:14" x14ac:dyDescent="0.25">
      <c r="A3064" s="505" t="s">
        <v>7393</v>
      </c>
      <c r="B3064" s="505" t="s">
        <v>7394</v>
      </c>
      <c r="C3064" s="512" t="s">
        <v>7762</v>
      </c>
      <c r="D3064" s="512" t="s">
        <v>10034</v>
      </c>
      <c r="E3064" s="512" t="s">
        <v>10032</v>
      </c>
      <c r="F3064" s="512" t="s">
        <v>7506</v>
      </c>
      <c r="G3064" s="512" t="s">
        <v>10036</v>
      </c>
      <c r="L3064" s="505" t="s">
        <v>7362</v>
      </c>
      <c r="M3064" s="516">
        <v>10.4</v>
      </c>
      <c r="N3064" s="505" t="s">
        <v>7362</v>
      </c>
    </row>
    <row r="3065" spans="1:14" x14ac:dyDescent="0.25">
      <c r="A3065" s="505" t="s">
        <v>7395</v>
      </c>
      <c r="B3065" s="505" t="s">
        <v>7396</v>
      </c>
      <c r="C3065" s="512" t="s">
        <v>7762</v>
      </c>
      <c r="D3065" s="512" t="s">
        <v>10034</v>
      </c>
      <c r="E3065" s="512" t="s">
        <v>10032</v>
      </c>
      <c r="F3065" s="512" t="s">
        <v>7506</v>
      </c>
      <c r="G3065" s="512" t="s">
        <v>524</v>
      </c>
      <c r="L3065" s="505" t="s">
        <v>7362</v>
      </c>
      <c r="M3065" s="516">
        <v>10.4</v>
      </c>
      <c r="N3065" s="505" t="s">
        <v>7362</v>
      </c>
    </row>
    <row r="3066" spans="1:14" x14ac:dyDescent="0.25">
      <c r="A3066" s="505" t="s">
        <v>7397</v>
      </c>
      <c r="B3066" s="505" t="s">
        <v>7398</v>
      </c>
      <c r="C3066" s="512" t="s">
        <v>7762</v>
      </c>
      <c r="D3066" s="512" t="s">
        <v>10034</v>
      </c>
      <c r="E3066" s="512" t="s">
        <v>10032</v>
      </c>
      <c r="F3066" s="512" t="s">
        <v>7506</v>
      </c>
      <c r="G3066" s="512" t="s">
        <v>363</v>
      </c>
      <c r="L3066" s="505" t="s">
        <v>7362</v>
      </c>
      <c r="M3066" s="516">
        <v>10.4</v>
      </c>
      <c r="N3066" s="505" t="s">
        <v>7362</v>
      </c>
    </row>
    <row r="3067" spans="1:14" x14ac:dyDescent="0.25">
      <c r="A3067" s="505" t="s">
        <v>7399</v>
      </c>
      <c r="B3067" s="505" t="s">
        <v>7400</v>
      </c>
      <c r="C3067" s="512" t="s">
        <v>7762</v>
      </c>
      <c r="D3067" s="512" t="s">
        <v>10034</v>
      </c>
      <c r="E3067" s="512" t="s">
        <v>10032</v>
      </c>
      <c r="F3067" s="512" t="s">
        <v>7506</v>
      </c>
      <c r="G3067" s="512" t="s">
        <v>10037</v>
      </c>
      <c r="H3067" s="512" t="s">
        <v>7775</v>
      </c>
      <c r="L3067" s="505" t="s">
        <v>7362</v>
      </c>
      <c r="M3067" s="516">
        <v>10.4</v>
      </c>
      <c r="N3067" s="505" t="s">
        <v>7362</v>
      </c>
    </row>
    <row r="3068" spans="1:14" x14ac:dyDescent="0.25">
      <c r="A3068" s="505" t="s">
        <v>7401</v>
      </c>
      <c r="B3068" s="505" t="s">
        <v>7402</v>
      </c>
      <c r="C3068" s="512" t="s">
        <v>7762</v>
      </c>
      <c r="D3068" s="512" t="s">
        <v>10034</v>
      </c>
      <c r="E3068" s="512" t="s">
        <v>10032</v>
      </c>
      <c r="F3068" s="512" t="s">
        <v>7506</v>
      </c>
      <c r="G3068" s="512" t="s">
        <v>526</v>
      </c>
      <c r="L3068" s="505" t="s">
        <v>7362</v>
      </c>
      <c r="M3068" s="516">
        <v>10.4</v>
      </c>
      <c r="N3068" s="505" t="s">
        <v>7362</v>
      </c>
    </row>
    <row r="3069" spans="1:14" x14ac:dyDescent="0.25">
      <c r="A3069" s="505" t="s">
        <v>7403</v>
      </c>
      <c r="B3069" s="505" t="s">
        <v>7404</v>
      </c>
      <c r="C3069" s="512" t="s">
        <v>7762</v>
      </c>
      <c r="D3069" s="512" t="s">
        <v>10034</v>
      </c>
      <c r="E3069" s="512" t="s">
        <v>10032</v>
      </c>
      <c r="F3069" s="512" t="s">
        <v>7506</v>
      </c>
      <c r="G3069" s="512" t="s">
        <v>134</v>
      </c>
      <c r="L3069" s="505" t="s">
        <v>7362</v>
      </c>
      <c r="M3069" s="516">
        <v>10.4</v>
      </c>
      <c r="N3069" s="505" t="s">
        <v>7362</v>
      </c>
    </row>
    <row r="3070" spans="1:14" x14ac:dyDescent="0.25">
      <c r="A3070" s="505" t="s">
        <v>7405</v>
      </c>
      <c r="B3070" s="505" t="s">
        <v>7406</v>
      </c>
      <c r="C3070" s="512" t="s">
        <v>7762</v>
      </c>
      <c r="D3070" s="512" t="s">
        <v>10034</v>
      </c>
      <c r="E3070" s="512" t="s">
        <v>10032</v>
      </c>
      <c r="F3070" s="512" t="s">
        <v>7506</v>
      </c>
      <c r="G3070" s="512" t="s">
        <v>133</v>
      </c>
      <c r="L3070" s="505" t="s">
        <v>7362</v>
      </c>
      <c r="M3070" s="516">
        <v>10.4</v>
      </c>
      <c r="N3070" s="505" t="s">
        <v>7362</v>
      </c>
    </row>
    <row r="3071" spans="1:14" x14ac:dyDescent="0.25">
      <c r="A3071" s="505" t="s">
        <v>7407</v>
      </c>
      <c r="B3071" s="505" t="s">
        <v>7408</v>
      </c>
      <c r="C3071" s="512" t="s">
        <v>7762</v>
      </c>
      <c r="D3071" s="512" t="s">
        <v>10034</v>
      </c>
      <c r="E3071" s="512" t="s">
        <v>10032</v>
      </c>
      <c r="F3071" s="512" t="s">
        <v>7506</v>
      </c>
      <c r="G3071" s="512" t="s">
        <v>543</v>
      </c>
      <c r="H3071" s="512" t="s">
        <v>7778</v>
      </c>
      <c r="L3071" s="505" t="s">
        <v>7362</v>
      </c>
      <c r="M3071" s="516">
        <v>10.4</v>
      </c>
      <c r="N3071" s="505" t="s">
        <v>7362</v>
      </c>
    </row>
    <row r="3072" spans="1:14" x14ac:dyDescent="0.25">
      <c r="A3072" s="505" t="s">
        <v>7409</v>
      </c>
      <c r="B3072" s="505" t="s">
        <v>7410</v>
      </c>
      <c r="C3072" s="512" t="s">
        <v>7762</v>
      </c>
      <c r="D3072" s="512" t="s">
        <v>10034</v>
      </c>
      <c r="E3072" s="512" t="s">
        <v>10032</v>
      </c>
      <c r="F3072" s="512" t="s">
        <v>7506</v>
      </c>
      <c r="G3072" s="512" t="s">
        <v>510</v>
      </c>
      <c r="L3072" s="505" t="s">
        <v>7362</v>
      </c>
      <c r="M3072" s="516">
        <v>10.4</v>
      </c>
      <c r="N3072" s="505" t="s">
        <v>7362</v>
      </c>
    </row>
    <row r="3073" spans="1:14" x14ac:dyDescent="0.25">
      <c r="A3073" s="505" t="s">
        <v>7411</v>
      </c>
      <c r="B3073" s="505" t="s">
        <v>7412</v>
      </c>
      <c r="C3073" s="512" t="s">
        <v>7762</v>
      </c>
      <c r="D3073" s="512" t="s">
        <v>10034</v>
      </c>
      <c r="E3073" s="512" t="s">
        <v>10032</v>
      </c>
      <c r="F3073" s="512" t="s">
        <v>7506</v>
      </c>
      <c r="G3073" s="512" t="s">
        <v>7793</v>
      </c>
      <c r="H3073" s="512" t="s">
        <v>361</v>
      </c>
      <c r="L3073" s="505" t="s">
        <v>7362</v>
      </c>
      <c r="M3073" s="516">
        <v>10.4</v>
      </c>
      <c r="N3073" s="505" t="s">
        <v>7362</v>
      </c>
    </row>
    <row r="3074" spans="1:14" x14ac:dyDescent="0.25">
      <c r="A3074" s="505" t="s">
        <v>7413</v>
      </c>
      <c r="B3074" s="505" t="s">
        <v>7414</v>
      </c>
      <c r="C3074" s="512" t="s">
        <v>7762</v>
      </c>
      <c r="D3074" s="512" t="s">
        <v>10034</v>
      </c>
      <c r="E3074" s="512" t="s">
        <v>10032</v>
      </c>
      <c r="F3074" s="512" t="s">
        <v>7506</v>
      </c>
      <c r="G3074" s="512" t="s">
        <v>137</v>
      </c>
      <c r="L3074" s="505" t="s">
        <v>7362</v>
      </c>
      <c r="M3074" s="516">
        <v>10.4</v>
      </c>
      <c r="N3074" s="505" t="s">
        <v>7362</v>
      </c>
    </row>
    <row r="3075" spans="1:14" s="530" customFormat="1" x14ac:dyDescent="0.25">
      <c r="A3075" s="530" t="s">
        <v>7415</v>
      </c>
      <c r="B3075" s="530" t="s">
        <v>7416</v>
      </c>
      <c r="C3075" s="531" t="s">
        <v>10038</v>
      </c>
      <c r="D3075" s="531" t="s">
        <v>10039</v>
      </c>
      <c r="E3075" s="531" t="s">
        <v>395</v>
      </c>
      <c r="F3075" s="531" t="s">
        <v>9995</v>
      </c>
      <c r="G3075" s="531" t="s">
        <v>10040</v>
      </c>
      <c r="H3075" s="531" t="s">
        <v>10041</v>
      </c>
      <c r="I3075" s="531"/>
      <c r="L3075" s="530" t="s">
        <v>1178</v>
      </c>
      <c r="M3075" s="532">
        <v>0</v>
      </c>
      <c r="N3075" s="530" t="s">
        <v>1544</v>
      </c>
    </row>
  </sheetData>
  <phoneticPr fontId="57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8812A4-A685-4464-BA35-E094313B11E2}">
  <sheetPr codeName="Sheet18"/>
  <dimension ref="A6:E38"/>
  <sheetViews>
    <sheetView workbookViewId="0"/>
  </sheetViews>
  <sheetFormatPr defaultRowHeight="15" x14ac:dyDescent="0.25"/>
  <cols>
    <col min="1" max="1" width="4.42578125" style="443" customWidth="1"/>
    <col min="2" max="2" width="34.42578125" customWidth="1"/>
    <col min="4" max="4" width="10" customWidth="1"/>
    <col min="5" max="5" width="14.42578125" customWidth="1"/>
  </cols>
  <sheetData>
    <row r="6" spans="1:5" x14ac:dyDescent="0.25">
      <c r="B6" t="s">
        <v>860</v>
      </c>
    </row>
    <row r="7" spans="1:5" x14ac:dyDescent="0.25">
      <c r="B7" t="s">
        <v>861</v>
      </c>
    </row>
    <row r="13" spans="1:5" ht="12.95" customHeight="1" x14ac:dyDescent="0.25">
      <c r="B13" s="444" t="s">
        <v>1209</v>
      </c>
      <c r="C13" s="445" t="s">
        <v>1210</v>
      </c>
      <c r="D13" s="445" t="s">
        <v>1211</v>
      </c>
      <c r="E13" s="445" t="s">
        <v>11</v>
      </c>
    </row>
    <row r="14" spans="1:5" ht="12.95" customHeight="1" x14ac:dyDescent="0.25">
      <c r="B14" s="446" t="s">
        <v>1212</v>
      </c>
      <c r="C14" s="447"/>
      <c r="D14" s="447"/>
      <c r="E14" s="448"/>
    </row>
    <row r="15" spans="1:5" ht="12.95" customHeight="1" x14ac:dyDescent="0.25">
      <c r="A15" s="443">
        <v>1</v>
      </c>
      <c r="B15" s="449" t="s">
        <v>1213</v>
      </c>
      <c r="C15" s="450">
        <v>1</v>
      </c>
      <c r="D15" s="451">
        <v>250</v>
      </c>
      <c r="E15" s="451">
        <f>C15*D15</f>
        <v>250</v>
      </c>
    </row>
    <row r="16" spans="1:5" ht="12.95" customHeight="1" x14ac:dyDescent="0.25">
      <c r="B16" s="446"/>
      <c r="C16" s="447"/>
      <c r="D16" s="447"/>
      <c r="E16" s="448"/>
    </row>
    <row r="17" spans="1:5" ht="12.95" customHeight="1" x14ac:dyDescent="0.25">
      <c r="B17" s="446" t="s">
        <v>1214</v>
      </c>
      <c r="C17" s="447"/>
      <c r="D17" s="447"/>
      <c r="E17" s="448"/>
    </row>
    <row r="18" spans="1:5" ht="12.95" customHeight="1" x14ac:dyDescent="0.25">
      <c r="A18" s="443">
        <v>2</v>
      </c>
      <c r="B18" s="449" t="s">
        <v>1217</v>
      </c>
      <c r="C18" s="450">
        <v>1</v>
      </c>
      <c r="D18" s="452">
        <v>750</v>
      </c>
      <c r="E18" s="451">
        <f>C18*D18</f>
        <v>750</v>
      </c>
    </row>
    <row r="19" spans="1:5" ht="12.95" customHeight="1" x14ac:dyDescent="0.25">
      <c r="A19" s="443">
        <v>3</v>
      </c>
      <c r="B19" s="446"/>
      <c r="C19" s="447"/>
      <c r="D19" s="453"/>
      <c r="E19" s="448">
        <f>C19*D19</f>
        <v>0</v>
      </c>
    </row>
    <row r="20" spans="1:5" ht="12.95" customHeight="1" x14ac:dyDescent="0.25">
      <c r="A20" s="443">
        <v>4</v>
      </c>
      <c r="B20" s="449"/>
      <c r="C20" s="450"/>
      <c r="D20" s="452"/>
      <c r="E20" s="451">
        <f t="shared" ref="E20:E35" si="0">C20*D20</f>
        <v>0</v>
      </c>
    </row>
    <row r="21" spans="1:5" ht="12.95" customHeight="1" x14ac:dyDescent="0.25">
      <c r="A21" s="443">
        <v>5</v>
      </c>
      <c r="B21" s="446"/>
      <c r="C21" s="447"/>
      <c r="D21" s="453"/>
      <c r="E21" s="448">
        <f t="shared" si="0"/>
        <v>0</v>
      </c>
    </row>
    <row r="22" spans="1:5" ht="12.95" customHeight="1" x14ac:dyDescent="0.25">
      <c r="A22" s="443">
        <v>6</v>
      </c>
      <c r="B22" s="449"/>
      <c r="C22" s="450"/>
      <c r="D22" s="452"/>
      <c r="E22" s="451">
        <f t="shared" si="0"/>
        <v>0</v>
      </c>
    </row>
    <row r="23" spans="1:5" ht="12.95" customHeight="1" x14ac:dyDescent="0.25">
      <c r="A23" s="443">
        <v>7</v>
      </c>
      <c r="B23" s="446"/>
      <c r="C23" s="447"/>
      <c r="D23" s="453"/>
      <c r="E23" s="448">
        <f t="shared" si="0"/>
        <v>0</v>
      </c>
    </row>
    <row r="24" spans="1:5" ht="12.95" customHeight="1" x14ac:dyDescent="0.25">
      <c r="A24" s="443">
        <v>8</v>
      </c>
      <c r="B24" s="449"/>
      <c r="C24" s="450"/>
      <c r="D24" s="452"/>
      <c r="E24" s="451">
        <f t="shared" si="0"/>
        <v>0</v>
      </c>
    </row>
    <row r="25" spans="1:5" ht="12.95" customHeight="1" x14ac:dyDescent="0.25">
      <c r="A25" s="443">
        <v>9</v>
      </c>
      <c r="B25" s="446"/>
      <c r="C25" s="447"/>
      <c r="D25" s="453"/>
      <c r="E25" s="448">
        <f t="shared" si="0"/>
        <v>0</v>
      </c>
    </row>
    <row r="26" spans="1:5" ht="12.95" customHeight="1" x14ac:dyDescent="0.25">
      <c r="A26" s="443">
        <v>10</v>
      </c>
      <c r="B26" s="449"/>
      <c r="C26" s="450"/>
      <c r="D26" s="452"/>
      <c r="E26" s="451">
        <f t="shared" si="0"/>
        <v>0</v>
      </c>
    </row>
    <row r="27" spans="1:5" ht="12.95" customHeight="1" x14ac:dyDescent="0.25">
      <c r="A27" s="443">
        <v>11</v>
      </c>
      <c r="B27" s="446"/>
      <c r="C27" s="447"/>
      <c r="D27" s="453"/>
      <c r="E27" s="448">
        <f t="shared" si="0"/>
        <v>0</v>
      </c>
    </row>
    <row r="28" spans="1:5" ht="12.95" customHeight="1" x14ac:dyDescent="0.25">
      <c r="A28" s="443">
        <v>12</v>
      </c>
      <c r="B28" s="449"/>
      <c r="C28" s="450"/>
      <c r="D28" s="452"/>
      <c r="E28" s="451">
        <f t="shared" si="0"/>
        <v>0</v>
      </c>
    </row>
    <row r="29" spans="1:5" ht="12.95" customHeight="1" x14ac:dyDescent="0.25">
      <c r="A29" s="443">
        <v>13</v>
      </c>
      <c r="B29" s="446"/>
      <c r="C29" s="447"/>
      <c r="D29" s="453"/>
      <c r="E29" s="448">
        <f t="shared" si="0"/>
        <v>0</v>
      </c>
    </row>
    <row r="30" spans="1:5" ht="12.95" customHeight="1" x14ac:dyDescent="0.25">
      <c r="A30" s="443">
        <v>14</v>
      </c>
      <c r="B30" s="449"/>
      <c r="C30" s="450"/>
      <c r="D30" s="452"/>
      <c r="E30" s="451">
        <f t="shared" si="0"/>
        <v>0</v>
      </c>
    </row>
    <row r="31" spans="1:5" ht="12.95" customHeight="1" x14ac:dyDescent="0.25">
      <c r="A31" s="443">
        <v>15</v>
      </c>
      <c r="B31" s="446"/>
      <c r="C31" s="447"/>
      <c r="D31" s="453"/>
      <c r="E31" s="448">
        <f t="shared" si="0"/>
        <v>0</v>
      </c>
    </row>
    <row r="32" spans="1:5" ht="12.95" customHeight="1" x14ac:dyDescent="0.25">
      <c r="A32" s="443">
        <v>16</v>
      </c>
      <c r="B32" s="449"/>
      <c r="C32" s="450"/>
      <c r="D32" s="452"/>
      <c r="E32" s="451">
        <f t="shared" si="0"/>
        <v>0</v>
      </c>
    </row>
    <row r="33" spans="1:5" ht="12.95" customHeight="1" x14ac:dyDescent="0.25">
      <c r="A33" s="443">
        <v>17</v>
      </c>
      <c r="B33" s="446"/>
      <c r="C33" s="447"/>
      <c r="D33" s="453"/>
      <c r="E33" s="448">
        <f t="shared" si="0"/>
        <v>0</v>
      </c>
    </row>
    <row r="34" spans="1:5" ht="12.95" customHeight="1" x14ac:dyDescent="0.25">
      <c r="A34" s="443">
        <v>18</v>
      </c>
      <c r="B34" s="449"/>
      <c r="C34" s="450"/>
      <c r="D34" s="452"/>
      <c r="E34" s="451">
        <f t="shared" si="0"/>
        <v>0</v>
      </c>
    </row>
    <row r="35" spans="1:5" ht="12.95" customHeight="1" x14ac:dyDescent="0.25">
      <c r="A35" s="443">
        <v>19</v>
      </c>
      <c r="B35" s="446"/>
      <c r="C35" s="447"/>
      <c r="D35" s="453"/>
      <c r="E35" s="448">
        <f t="shared" si="0"/>
        <v>0</v>
      </c>
    </row>
    <row r="36" spans="1:5" ht="12.95" customHeight="1" x14ac:dyDescent="0.25">
      <c r="D36" s="444" t="s">
        <v>1216</v>
      </c>
      <c r="E36" s="448">
        <f>SUM(E15:E35)</f>
        <v>1000</v>
      </c>
    </row>
    <row r="37" spans="1:5" ht="12.95" customHeight="1" x14ac:dyDescent="0.25">
      <c r="D37" s="444" t="s">
        <v>1215</v>
      </c>
      <c r="E37" s="448">
        <f>E36*0.05</f>
        <v>50</v>
      </c>
    </row>
    <row r="38" spans="1:5" ht="12.95" customHeight="1" x14ac:dyDescent="0.25">
      <c r="D38" s="444" t="s">
        <v>11</v>
      </c>
      <c r="E38" s="448">
        <f>E36+E37</f>
        <v>1050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6B69464687A5E4E953DB6478217D29B" ma:contentTypeVersion="18" ma:contentTypeDescription="Create a new document." ma:contentTypeScope="" ma:versionID="24ee7ed5c2fc9fe8f56602aacd626698">
  <xsd:schema xmlns:xsd="http://www.w3.org/2001/XMLSchema" xmlns:xs="http://www.w3.org/2001/XMLSchema" xmlns:p="http://schemas.microsoft.com/office/2006/metadata/properties" xmlns:ns2="6a84d856-8ced-4cc3-ad1b-bed734adcdb4" xmlns:ns3="5a70e088-a3c7-473a-ac46-a4f21b3af98a" targetNamespace="http://schemas.microsoft.com/office/2006/metadata/properties" ma:root="true" ma:fieldsID="a5f6c9840f603722ee35e1d6927f33cd" ns2:_="" ns3:_="">
    <xsd:import namespace="6a84d856-8ced-4cc3-ad1b-bed734adcdb4"/>
    <xsd:import namespace="5a70e088-a3c7-473a-ac46-a4f21b3af98a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ObjectDetectorVersions" minOccurs="0"/>
                <xsd:element ref="ns2:NOTES" minOccurs="0"/>
                <xsd:element ref="ns2:MediaServiceSearchProperties" minOccurs="0"/>
                <xsd:element ref="ns2:MediaLengthInSeconds" minOccurs="0"/>
                <xsd:element ref="ns3:SharedWithUsers" minOccurs="0"/>
                <xsd:element ref="ns3:SharedWithDetail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a84d856-8ced-4cc3-ad1b-bed734adcdb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1" nillable="true" ma:taxonomy="true" ma:internalName="lcf76f155ced4ddcb4097134ff3c332f" ma:taxonomyFieldName="MediaServiceImageTags" ma:displayName="Image Tags" ma:readOnly="false" ma:fieldId="{5cf76f15-5ced-4ddc-b409-7134ff3c332f}" ma:taxonomyMulti="true" ma:sspId="709c961e-768e-4ae5-b64b-73db1a09f7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3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Location" ma:index="14" nillable="true" ma:displayName="Location" ma:indexed="true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NOTES" ma:index="19" nillable="true" ma:displayName="NOTES" ma:format="Dropdown" ma:internalName="NOTES">
      <xsd:simpleType>
        <xsd:restriction base="dms:Note">
          <xsd:maxLength value="255"/>
        </xsd:restriction>
      </xsd:simpleType>
    </xsd:element>
    <xsd:element name="MediaServiceSearchProperties" ma:index="2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LengthInSeconds" ma:index="21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4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a70e088-a3c7-473a-ac46-a4f21b3af98a" elementFormDefault="qualified">
    <xsd:import namespace="http://schemas.microsoft.com/office/2006/documentManagement/types"/>
    <xsd:import namespace="http://schemas.microsoft.com/office/infopath/2007/PartnerControls"/>
    <xsd:element name="TaxCatchAll" ma:index="12" nillable="true" ma:displayName="Taxonomy Catch All Column" ma:hidden="true" ma:list="{e3574a5e-de55-48c0-8b19-97cae120fafe}" ma:internalName="TaxCatchAll" ma:showField="CatchAllData" ma:web="5a70e088-a3c7-473a-ac46-a4f21b3af98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a84d856-8ced-4cc3-ad1b-bed734adcdb4">
      <Terms xmlns="http://schemas.microsoft.com/office/infopath/2007/PartnerControls"/>
    </lcf76f155ced4ddcb4097134ff3c332f>
    <TaxCatchAll xmlns="5a70e088-a3c7-473a-ac46-a4f21b3af98a" xsi:nil="true"/>
    <NOTES xmlns="6a84d856-8ced-4cc3-ad1b-bed734adcdb4" xsi:nil="true"/>
  </documentManagement>
</p:properties>
</file>

<file path=customXml/item8.xml>�� 
</file>

<file path=customXml/item9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10.xml>�� 
</file>

<file path=customXml/item11.xml>�� 
</file>

<file path=customXml/item12.xml>�� 
</file>

<file path=customXml/itemProps1.xml><?xml version="1.0" encoding="utf-8"?>
<ds:datastoreItem xmlns:ds="http://schemas.openxmlformats.org/officeDocument/2006/customXml" ds:itemID="{A6F7AEEA-BF38-4727-BEB2-5995C4F0311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a84d856-8ced-4cc3-ad1b-bed734adcdb4"/>
    <ds:schemaRef ds:uri="5a70e088-a3c7-473a-ac46-a4f21b3af98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5023536D-DC2C-448B-A918-6156036887AA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D86823F0-B450-4DFD-8895-6B9BF1E7DB88}">
  <ds:schemaRefs>
    <ds:schemaRef ds:uri="http://www.w3.org/2001/XMLSchema"/>
  </ds:schemaRefs>
</ds:datastoreItem>
</file>

<file path=customXml/itemProps4.xml><?xml version="1.0" encoding="utf-8"?>
<ds:datastoreItem xmlns:ds="http://schemas.openxmlformats.org/officeDocument/2006/customXml" ds:itemID="{A154346A-3554-404C-B54D-0DC2E0ABAA23}">
  <ds:schemaRefs>
    <ds:schemaRef ds:uri="http://www.w3.org/2001/XMLSchema"/>
  </ds:schemaRefs>
</ds:datastoreItem>
</file>

<file path=customXml/itemProps5.xml><?xml version="1.0" encoding="utf-8"?>
<ds:datastoreItem xmlns:ds="http://schemas.openxmlformats.org/officeDocument/2006/customXml" ds:itemID="{6F2D93B7-1415-42B4-B875-A25AA0C9DFEB}">
  <ds:schemaRefs>
    <ds:schemaRef ds:uri="http://www.w3.org/2001/XMLSchema"/>
  </ds:schemaRefs>
</ds:datastoreItem>
</file>

<file path=customXml/itemProps6.xml><?xml version="1.0" encoding="utf-8"?>
<ds:datastoreItem xmlns:ds="http://schemas.openxmlformats.org/officeDocument/2006/customXml" ds:itemID="{A9CA9800-36A3-4A1F-8C2D-A23D7AB548E2}">
  <ds:schemaRefs>
    <ds:schemaRef ds:uri="http://www.w3.org/2001/XMLSchema"/>
  </ds:schemaRefs>
</ds:datastoreItem>
</file>

<file path=customXml/itemProps7.xml><?xml version="1.0" encoding="utf-8"?>
<ds:datastoreItem xmlns:ds="http://schemas.openxmlformats.org/officeDocument/2006/customXml" ds:itemID="{FBC2DAE6-D492-4F12-B72E-3746BEC9AF3A}">
  <ds:schemaRefs>
    <ds:schemaRef ds:uri="http://schemas.microsoft.com/office/2006/metadata/properties"/>
    <ds:schemaRef ds:uri="http://schemas.microsoft.com/office/infopath/2007/PartnerControls"/>
    <ds:schemaRef ds:uri="6a84d856-8ced-4cc3-ad1b-bed734adcdb4"/>
    <ds:schemaRef ds:uri="5a70e088-a3c7-473a-ac46-a4f21b3af98a"/>
  </ds:schemaRefs>
</ds:datastoreItem>
</file>

<file path=customXml/itemProps8.xml><?xml version="1.0" encoding="utf-8"?>
<ds:datastoreItem xmlns:ds="http://schemas.openxmlformats.org/officeDocument/2006/customXml" ds:itemID="{19C54683-1E7B-4A92-B011-B57D53224EF8}">
  <ds:schemaRefs>
    <ds:schemaRef ds:uri="http://www.w3.org/2001/XMLSchema"/>
  </ds:schemaRefs>
</ds:datastoreItem>
</file>

<file path=customXml/itemProps9.xml><?xml version="1.0" encoding="utf-8"?>
<ds:datastoreItem xmlns:ds="http://schemas.openxmlformats.org/officeDocument/2006/customXml" ds:itemID="{BD8C5052-F599-42A4-9264-1FE3B07830CF}">
  <ds:schemaRefs>
    <ds:schemaRef ds:uri="http://schemas.microsoft.com/sharepoint/v3/contenttype/forms"/>
  </ds:schemaRefs>
</ds:datastoreItem>
</file>

<file path=customXml/itemProps10.xml><?xml version="1.0" encoding="utf-8"?>
<ds:datastoreItem xmlns:ds="http://schemas.openxmlformats.org/officeDocument/2006/customXml" ds:itemID="{33DFE5EA-EF0C-4BC2-9E95-1EE840B25C1C}">
  <ds:schemaRefs>
    <ds:schemaRef ds:uri="http://www.w3.org/2001/XMLSchema"/>
  </ds:schemaRefs>
</ds:datastoreItem>
</file>

<file path=customXml/itemProps11.xml><?xml version="1.0" encoding="utf-8"?>
<ds:datastoreItem xmlns:ds="http://schemas.openxmlformats.org/officeDocument/2006/customXml" ds:itemID="{60D13562-612D-489C-9231-F725F595A208}">
  <ds:schemaRefs>
    <ds:schemaRef ds:uri="http://www.w3.org/2001/XMLSchema"/>
  </ds:schemaRefs>
</ds:datastoreItem>
</file>

<file path=customXml/itemProps12.xml><?xml version="1.0" encoding="utf-8"?>
<ds:datastoreItem xmlns:ds="http://schemas.openxmlformats.org/officeDocument/2006/customXml" ds:itemID="{02287561-39C7-467C-8BDD-26D1681E0CC1}">
  <ds:schemaRefs>
    <ds:schemaRef ds:uri="http://www.w3.org/2001/XMLSchem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21</vt:i4>
      </vt:variant>
      <vt:variant>
        <vt:lpstr>Named Ranges</vt:lpstr>
      </vt:variant>
      <vt:variant>
        <vt:i4>4</vt:i4>
      </vt:variant>
    </vt:vector>
  </HeadingPairs>
  <TitlesOfParts>
    <vt:vector size="25" baseType="lpstr">
      <vt:lpstr>R Data</vt:lpstr>
      <vt:lpstr>Input</vt:lpstr>
      <vt:lpstr>B 1</vt:lpstr>
      <vt:lpstr>Roofing RFP - PO</vt:lpstr>
      <vt:lpstr>Roofing WO</vt:lpstr>
      <vt:lpstr>Hardie PO</vt:lpstr>
      <vt:lpstr>Hardie WO</vt:lpstr>
      <vt:lpstr>Vinyl PO</vt:lpstr>
      <vt:lpstr>Vinyl WO</vt:lpstr>
      <vt:lpstr>ET PO</vt:lpstr>
      <vt:lpstr>ET WO</vt:lpstr>
      <vt:lpstr>Jay's PO</vt:lpstr>
      <vt:lpstr>Lift PO</vt:lpstr>
      <vt:lpstr>Scafolding PO</vt:lpstr>
      <vt:lpstr>Painting WO</vt:lpstr>
      <vt:lpstr>Insulation WO</vt:lpstr>
      <vt:lpstr>Summary</vt:lpstr>
      <vt:lpstr>Siding Data</vt:lpstr>
      <vt:lpstr>RoofR</vt:lpstr>
      <vt:lpstr>ELLISDON</vt:lpstr>
      <vt:lpstr>To Build</vt:lpstr>
      <vt:lpstr>'B 1'!_Hlk66694005</vt:lpstr>
      <vt:lpstr>'B 1'!Print_Area</vt:lpstr>
      <vt:lpstr>'B 1'!Print_Titles</vt:lpstr>
      <vt:lpstr>Input!Print_Titles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Dwight Cameron</dc:creator>
  <cp:lastModifiedBy>peter handsor</cp:lastModifiedBy>
  <cp:lastPrinted>2026-05-13T19:53:24Z</cp:lastPrinted>
  <dcterms:created xsi:type="dcterms:W3CDTF">2016-05-25T02:16:14Z</dcterms:created>
  <dcterms:modified xsi:type="dcterms:W3CDTF">2026-08-06T21:37:33Z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PlanSwiftJobName">
    <vt:lpwstr>024</vt:lpwstr>
  </property>
  <property fmtid="{D5CDD505-2E9C-101B-9397-08002B2CF9AE}" pid="3" name="PlanSwiftJobGuid">
    <vt:lpwstr>\Storages\Local\Jobs\024</vt:lpwstr>
  </property>
  <property fmtid="{D5CDD505-2E9C-101B-9397-08002B2CF9AE}" pid="4" name="LinkedDataId">
    <vt:lpwstr>{6F2D93B7-1415-42B4-B875-A25AA0C9DFEB}</vt:lpwstr>
  </property>
  <property fmtid="{D5CDD505-2E9C-101B-9397-08002B2CF9AE}" pid="5" name="JobUniqueID">
    <vt:lpwstr>{A4456647-CAD7-451C-97D5-8DA0057CAC60}</vt:lpwstr>
  </property>
  <property fmtid="{D5CDD505-2E9C-101B-9397-08002B2CF9AE}" pid="6" name="ContentTypeId">
    <vt:lpwstr>0x01010006B69464687A5E4E953DB6478217D29B</vt:lpwstr>
  </property>
  <property fmtid="{D5CDD505-2E9C-101B-9397-08002B2CF9AE}" pid="7" name="MediaServiceImageTags">
    <vt:lpwstr/>
  </property>
</Properties>
</file>