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1"/>
  <workbookPr defaultThemeVersion="166925"/>
  <mc:AlternateContent xmlns:mc="http://schemas.openxmlformats.org/markup-compatibility/2006">
    <mc:Choice Requires="x15">
      <x15ac:absPath xmlns:x15ac="http://schemas.microsoft.com/office/spreadsheetml/2010/11/ac" url="/Users/dks/AMPBA/Term2/Optimization/"/>
    </mc:Choice>
  </mc:AlternateContent>
  <xr:revisionPtr revIDLastSave="0" documentId="13_ncr:1_{84A855B3-B231-7C44-89CF-74AD2879F192}" xr6:coauthVersionLast="46" xr6:coauthVersionMax="46" xr10:uidLastSave="{00000000-0000-0000-0000-000000000000}"/>
  <bookViews>
    <workbookView xWindow="0" yWindow="500" windowWidth="34920" windowHeight="21900" activeTab="11" xr2:uid="{5BFAA3BA-9E0C-EC47-86BA-10D4FD1B66FE}"/>
  </bookViews>
  <sheets>
    <sheet name="Tutorial-1" sheetId="7" r:id="rId1"/>
    <sheet name="Tutorial-2" sheetId="8" r:id="rId2"/>
    <sheet name="3-11 " sheetId="1" r:id="rId3"/>
    <sheet name="2-20" sheetId="2" r:id="rId4"/>
    <sheet name="3 -14" sheetId="3" r:id="rId5"/>
    <sheet name="3-18" sheetId="4" r:id="rId6"/>
    <sheet name="3-17" sheetId="13" r:id="rId7"/>
    <sheet name="3-20" sheetId="5" r:id="rId8"/>
    <sheet name="3-21" sheetId="14" r:id="rId9"/>
    <sheet name="3-24" sheetId="6" r:id="rId10"/>
    <sheet name="Sensitivity Report 1" sheetId="18" r:id="rId11"/>
    <sheet name="3-25" sheetId="15" r:id="rId12"/>
    <sheet name="3-43" sheetId="10" r:id="rId13"/>
    <sheet name="3-44" sheetId="11" r:id="rId14"/>
    <sheet name="3-45" sheetId="12" r:id="rId15"/>
  </sheets>
  <definedNames>
    <definedName name="solver_adj" localSheetId="3" hidden="1">'2-20'!$B$1:$B$2</definedName>
    <definedName name="solver_adj" localSheetId="4" hidden="1">'3 -14'!$B$9:$B$10</definedName>
    <definedName name="solver_adj" localSheetId="2" hidden="1">'3-11 '!$B$13:$D$15</definedName>
    <definedName name="solver_adj" localSheetId="6" hidden="1">'3-17'!$B$8:$B$10</definedName>
    <definedName name="solver_adj" localSheetId="5" hidden="1">'3-18'!$B$2:$B$6</definedName>
    <definedName name="solver_adj" localSheetId="7" hidden="1">'3-20'!$F$2:$H$3</definedName>
    <definedName name="solver_adj" localSheetId="8" hidden="1">'3-21'!$B$2:$F$2</definedName>
    <definedName name="solver_adj" localSheetId="9" hidden="1">'3-24'!$B$2:$B$5</definedName>
    <definedName name="solver_adj" localSheetId="11" hidden="1">'3-25'!$B$2:$B$7</definedName>
    <definedName name="solver_adj" localSheetId="12" hidden="1">'3-43'!$B$21:$B$35</definedName>
    <definedName name="solver_adj" localSheetId="13" hidden="1">'3-44'!$B$22:$B$36</definedName>
    <definedName name="solver_adj" localSheetId="14" hidden="1">'3-45'!$B$6:$K$6,'3-45'!$B$8:$K$8</definedName>
    <definedName name="solver_adj" localSheetId="0" hidden="1">'Tutorial-1'!$B$1:$B$2</definedName>
    <definedName name="solver_adj" localSheetId="1" hidden="1">'Tutorial-2'!$B$2:$B$3</definedName>
    <definedName name="solver_cvg" localSheetId="3" hidden="1">0.0001</definedName>
    <definedName name="solver_cvg" localSheetId="4" hidden="1">0.0001</definedName>
    <definedName name="solver_cvg" localSheetId="2" hidden="1">0.0001</definedName>
    <definedName name="solver_cvg" localSheetId="6" hidden="1">0.0001</definedName>
    <definedName name="solver_cvg" localSheetId="5" hidden="1">0.0001</definedName>
    <definedName name="solver_cvg" localSheetId="7" hidden="1">0.0001</definedName>
    <definedName name="solver_cvg" localSheetId="8" hidden="1">0.0001</definedName>
    <definedName name="solver_cvg" localSheetId="9" hidden="1">0.0001</definedName>
    <definedName name="solver_cvg" localSheetId="11" hidden="1">0.0001</definedName>
    <definedName name="solver_cvg" localSheetId="12" hidden="1">0.0001</definedName>
    <definedName name="solver_cvg" localSheetId="13" hidden="1">0.0001</definedName>
    <definedName name="solver_cvg" localSheetId="14" hidden="1">0.0001</definedName>
    <definedName name="solver_cvg" localSheetId="0" hidden="1">0.0001</definedName>
    <definedName name="solver_cvg" localSheetId="1" hidden="1">0.0001</definedName>
    <definedName name="solver_drv" localSheetId="3" hidden="1">1</definedName>
    <definedName name="solver_drv" localSheetId="4" hidden="1">1</definedName>
    <definedName name="solver_drv" localSheetId="2" hidden="1">1</definedName>
    <definedName name="solver_drv" localSheetId="6" hidden="1">1</definedName>
    <definedName name="solver_drv" localSheetId="5" hidden="1">1</definedName>
    <definedName name="solver_drv" localSheetId="7" hidden="1">1</definedName>
    <definedName name="solver_drv" localSheetId="8" hidden="1">2</definedName>
    <definedName name="solver_drv" localSheetId="9" hidden="1">1</definedName>
    <definedName name="solver_drv" localSheetId="11" hidden="1">1</definedName>
    <definedName name="solver_drv" localSheetId="12" hidden="1">1</definedName>
    <definedName name="solver_drv" localSheetId="13" hidden="1">1</definedName>
    <definedName name="solver_drv" localSheetId="14" hidden="1">1</definedName>
    <definedName name="solver_drv" localSheetId="0" hidden="1">1</definedName>
    <definedName name="solver_drv" localSheetId="1" hidden="1">1</definedName>
    <definedName name="solver_eng" localSheetId="3" hidden="1">2</definedName>
    <definedName name="solver_eng" localSheetId="4" hidden="1">2</definedName>
    <definedName name="solver_eng" localSheetId="2" hidden="1">2</definedName>
    <definedName name="solver_eng" localSheetId="6" hidden="1">2</definedName>
    <definedName name="solver_eng" localSheetId="5" hidden="1">2</definedName>
    <definedName name="solver_eng" localSheetId="7" hidden="1">2</definedName>
    <definedName name="solver_eng" localSheetId="8" hidden="1">2</definedName>
    <definedName name="solver_eng" localSheetId="9" hidden="1">2</definedName>
    <definedName name="solver_eng" localSheetId="11" hidden="1">2</definedName>
    <definedName name="solver_eng" localSheetId="12" hidden="1">2</definedName>
    <definedName name="solver_eng" localSheetId="13" hidden="1">2</definedName>
    <definedName name="solver_eng" localSheetId="14" hidden="1">2</definedName>
    <definedName name="solver_eng" localSheetId="0" hidden="1">2</definedName>
    <definedName name="solver_eng" localSheetId="1" hidden="1">2</definedName>
    <definedName name="solver_itr" localSheetId="3" hidden="1">2147483647</definedName>
    <definedName name="solver_itr" localSheetId="4" hidden="1">2147483647</definedName>
    <definedName name="solver_itr" localSheetId="2" hidden="1">2147483647</definedName>
    <definedName name="solver_itr" localSheetId="6" hidden="1">2147483647</definedName>
    <definedName name="solver_itr" localSheetId="5" hidden="1">2147483647</definedName>
    <definedName name="solver_itr" localSheetId="7" hidden="1">2147483647</definedName>
    <definedName name="solver_itr" localSheetId="8" hidden="1">2147483647</definedName>
    <definedName name="solver_itr" localSheetId="9" hidden="1">2147483647</definedName>
    <definedName name="solver_itr" localSheetId="11" hidden="1">2147483647</definedName>
    <definedName name="solver_itr" localSheetId="12" hidden="1">2147483647</definedName>
    <definedName name="solver_itr" localSheetId="13" hidden="1">2147483647</definedName>
    <definedName name="solver_itr" localSheetId="14" hidden="1">2147483647</definedName>
    <definedName name="solver_itr" localSheetId="0" hidden="1">2147483647</definedName>
    <definedName name="solver_itr" localSheetId="1" hidden="1">2147483647</definedName>
    <definedName name="solver_lhs1" localSheetId="3" hidden="1">'2-20'!$B$10:$B$11</definedName>
    <definedName name="solver_lhs1" localSheetId="4" hidden="1">'3 -14'!$B$11:$B$12</definedName>
    <definedName name="solver_lhs1" localSheetId="2" hidden="1">'3-11 '!$I$11:$I$13</definedName>
    <definedName name="solver_lhs1" localSheetId="6" hidden="1">'3-17'!$B$12:$B$15</definedName>
    <definedName name="solver_lhs1" localSheetId="5" hidden="1">'3-18'!$B$12</definedName>
    <definedName name="solver_lhs1" localSheetId="7" hidden="1">'3-20'!$B$11:$B$16</definedName>
    <definedName name="solver_lhs1" localSheetId="8" hidden="1">'3-21'!$B$15:$B$18</definedName>
    <definedName name="solver_lhs1" localSheetId="9" hidden="1">'3-24'!$B$11:$B$17</definedName>
    <definedName name="solver_lhs1" localSheetId="11" hidden="1">'3-25'!$B$11:$B$14</definedName>
    <definedName name="solver_lhs1" localSheetId="12" hidden="1">'3-43'!$B$41:$B$44</definedName>
    <definedName name="solver_lhs1" localSheetId="13" hidden="1">'3-44'!$B$22</definedName>
    <definedName name="solver_lhs1" localSheetId="14" hidden="1">'3-45'!$B$16:$B$47</definedName>
    <definedName name="solver_lhs1" localSheetId="0" hidden="1">'Tutorial-1'!$B$12:$B$14</definedName>
    <definedName name="solver_lhs1" localSheetId="1" hidden="1">'Tutorial-2'!$B$8</definedName>
    <definedName name="solver_lhs2" localSheetId="3" hidden="1">'2-20'!$B$9</definedName>
    <definedName name="solver_lhs2" localSheetId="4" hidden="1">'3 -14'!$B$13:$B$15</definedName>
    <definedName name="solver_lhs2" localSheetId="2" hidden="1">'3-11 '!$I$8:$I$10</definedName>
    <definedName name="solver_lhs2" localSheetId="5" hidden="1">'3-18'!$B$13:$B$16</definedName>
    <definedName name="solver_lhs2" localSheetId="7" hidden="1">'3-20'!$B$8:$B$10</definedName>
    <definedName name="solver_lhs2" localSheetId="8" hidden="1">'3-21'!$B$19:$B$24</definedName>
    <definedName name="solver_lhs2" localSheetId="9" hidden="1">'3-24'!$B$28:$B$29</definedName>
    <definedName name="solver_lhs2" localSheetId="11" hidden="1">'3-25'!$B$15:$B$21</definedName>
    <definedName name="solver_lhs2" localSheetId="12" hidden="1">'3-43'!$B$45:$B$51</definedName>
    <definedName name="solver_lhs2" localSheetId="13" hidden="1">'3-44'!$B$30</definedName>
    <definedName name="solver_lhs2" localSheetId="14" hidden="1">'3-45'!$B$48:$B$57</definedName>
    <definedName name="solver_lhs2" localSheetId="1" hidden="1">'Tutorial-2'!$C$4:$D$4</definedName>
    <definedName name="solver_lhs3" localSheetId="4" hidden="1">'3 -14'!$B$13:$B$15</definedName>
    <definedName name="solver_lhs3" localSheetId="5" hidden="1">'3-18'!$B$19:$B$23</definedName>
    <definedName name="solver_lhs3" localSheetId="9" hidden="1">'3-24'!$B$9:$B$10</definedName>
    <definedName name="solver_lhs3" localSheetId="11" hidden="1">'3-25'!$B$22:$B$25</definedName>
    <definedName name="solver_lhs3" localSheetId="13" hidden="1">'3-44'!$B$34</definedName>
    <definedName name="solver_lhs4" localSheetId="4" hidden="1">'3 -14'!$B$9</definedName>
    <definedName name="solver_lhs4" localSheetId="5" hidden="1">'3-18'!$B$27:$B$31</definedName>
    <definedName name="solver_lhs4" localSheetId="11" hidden="1">'3-25'!$B$2:$B$7</definedName>
    <definedName name="solver_lhs4" localSheetId="13" hidden="1">'3-44'!$B$36</definedName>
    <definedName name="solver_lhs5" localSheetId="13" hidden="1">'3-44'!$B$42:$B$45</definedName>
    <definedName name="solver_lhs6" localSheetId="13" hidden="1">'3-44'!$B$46:$B$52</definedName>
    <definedName name="solver_lhs7" localSheetId="13" hidden="1">'3-44'!$B$53:$B$57</definedName>
    <definedName name="solver_lin" localSheetId="3" hidden="1">1</definedName>
    <definedName name="solver_lin" localSheetId="4" hidden="1">1</definedName>
    <definedName name="solver_lin" localSheetId="2" hidden="1">1</definedName>
    <definedName name="solver_lin" localSheetId="6" hidden="1">1</definedName>
    <definedName name="solver_lin" localSheetId="5" hidden="1">1</definedName>
    <definedName name="solver_lin" localSheetId="7" hidden="1">1</definedName>
    <definedName name="solver_lin" localSheetId="8" hidden="1">1</definedName>
    <definedName name="solver_lin" localSheetId="9" hidden="1">1</definedName>
    <definedName name="solver_lin" localSheetId="11" hidden="1">1</definedName>
    <definedName name="solver_lin" localSheetId="12" hidden="1">1</definedName>
    <definedName name="solver_lin" localSheetId="13" hidden="1">1</definedName>
    <definedName name="solver_lin" localSheetId="14" hidden="1">1</definedName>
    <definedName name="solver_lin" localSheetId="0" hidden="1">1</definedName>
    <definedName name="solver_lin" localSheetId="1" hidden="1">1</definedName>
    <definedName name="solver_mip" localSheetId="3" hidden="1">2147483647</definedName>
    <definedName name="solver_mip" localSheetId="4" hidden="1">2147483647</definedName>
    <definedName name="solver_mip" localSheetId="2" hidden="1">2147483647</definedName>
    <definedName name="solver_mip" localSheetId="6" hidden="1">2147483647</definedName>
    <definedName name="solver_mip" localSheetId="5" hidden="1">2147483647</definedName>
    <definedName name="solver_mip" localSheetId="7" hidden="1">2147483647</definedName>
    <definedName name="solver_mip" localSheetId="8" hidden="1">2147483647</definedName>
    <definedName name="solver_mip" localSheetId="9" hidden="1">2147483647</definedName>
    <definedName name="solver_mip" localSheetId="11" hidden="1">2147483647</definedName>
    <definedName name="solver_mip" localSheetId="12" hidden="1">2147483647</definedName>
    <definedName name="solver_mip" localSheetId="13" hidden="1">2147483647</definedName>
    <definedName name="solver_mip" localSheetId="14" hidden="1">2147483647</definedName>
    <definedName name="solver_mip" localSheetId="0" hidden="1">2147483647</definedName>
    <definedName name="solver_mip" localSheetId="1" hidden="1">2147483647</definedName>
    <definedName name="solver_mni" localSheetId="3" hidden="1">30</definedName>
    <definedName name="solver_mni" localSheetId="4" hidden="1">30</definedName>
    <definedName name="solver_mni" localSheetId="2" hidden="1">30</definedName>
    <definedName name="solver_mni" localSheetId="6" hidden="1">30</definedName>
    <definedName name="solver_mni" localSheetId="5" hidden="1">30</definedName>
    <definedName name="solver_mni" localSheetId="7" hidden="1">30</definedName>
    <definedName name="solver_mni" localSheetId="8" hidden="1">30</definedName>
    <definedName name="solver_mni" localSheetId="9" hidden="1">30</definedName>
    <definedName name="solver_mni" localSheetId="11" hidden="1">30</definedName>
    <definedName name="solver_mni" localSheetId="12" hidden="1">30</definedName>
    <definedName name="solver_mni" localSheetId="13" hidden="1">30</definedName>
    <definedName name="solver_mni" localSheetId="14" hidden="1">30</definedName>
    <definedName name="solver_mni" localSheetId="0" hidden="1">30</definedName>
    <definedName name="solver_mni" localSheetId="1" hidden="1">30</definedName>
    <definedName name="solver_mrt" localSheetId="3" hidden="1">0.075</definedName>
    <definedName name="solver_mrt" localSheetId="4" hidden="1">0.075</definedName>
    <definedName name="solver_mrt" localSheetId="2" hidden="1">0.075</definedName>
    <definedName name="solver_mrt" localSheetId="6" hidden="1">0.075</definedName>
    <definedName name="solver_mrt" localSheetId="5" hidden="1">0.075</definedName>
    <definedName name="solver_mrt" localSheetId="7" hidden="1">0.075</definedName>
    <definedName name="solver_mrt" localSheetId="8" hidden="1">0.075</definedName>
    <definedName name="solver_mrt" localSheetId="9" hidden="1">0.075</definedName>
    <definedName name="solver_mrt" localSheetId="11" hidden="1">0.075</definedName>
    <definedName name="solver_mrt" localSheetId="12" hidden="1">0.075</definedName>
    <definedName name="solver_mrt" localSheetId="13" hidden="1">0.075</definedName>
    <definedName name="solver_mrt" localSheetId="14" hidden="1">0.075</definedName>
    <definedName name="solver_mrt" localSheetId="0" hidden="1">0.075</definedName>
    <definedName name="solver_mrt" localSheetId="1" hidden="1">0.075</definedName>
    <definedName name="solver_msl" localSheetId="3" hidden="1">2</definedName>
    <definedName name="solver_msl" localSheetId="4" hidden="1">2</definedName>
    <definedName name="solver_msl" localSheetId="2" hidden="1">2</definedName>
    <definedName name="solver_msl" localSheetId="6" hidden="1">2</definedName>
    <definedName name="solver_msl" localSheetId="5" hidden="1">2</definedName>
    <definedName name="solver_msl" localSheetId="7" hidden="1">2</definedName>
    <definedName name="solver_msl" localSheetId="8" hidden="1">2</definedName>
    <definedName name="solver_msl" localSheetId="9" hidden="1">2</definedName>
    <definedName name="solver_msl" localSheetId="11" hidden="1">2</definedName>
    <definedName name="solver_msl" localSheetId="12" hidden="1">2</definedName>
    <definedName name="solver_msl" localSheetId="13" hidden="1">2</definedName>
    <definedName name="solver_msl" localSheetId="14" hidden="1">2</definedName>
    <definedName name="solver_msl" localSheetId="0" hidden="1">2</definedName>
    <definedName name="solver_msl" localSheetId="1" hidden="1">2</definedName>
    <definedName name="solver_neg" localSheetId="3" hidden="1">1</definedName>
    <definedName name="solver_neg" localSheetId="4" hidden="1">1</definedName>
    <definedName name="solver_neg" localSheetId="2" hidden="1">1</definedName>
    <definedName name="solver_neg" localSheetId="6" hidden="1">1</definedName>
    <definedName name="solver_neg" localSheetId="5" hidden="1">1</definedName>
    <definedName name="solver_neg" localSheetId="7" hidden="1">1</definedName>
    <definedName name="solver_neg" localSheetId="8" hidden="1">1</definedName>
    <definedName name="solver_neg" localSheetId="9" hidden="1">1</definedName>
    <definedName name="solver_neg" localSheetId="11" hidden="1">1</definedName>
    <definedName name="solver_neg" localSheetId="12" hidden="1">1</definedName>
    <definedName name="solver_neg" localSheetId="13" hidden="1">1</definedName>
    <definedName name="solver_neg" localSheetId="14" hidden="1">1</definedName>
    <definedName name="solver_neg" localSheetId="0" hidden="1">1</definedName>
    <definedName name="solver_neg" localSheetId="1" hidden="1">1</definedName>
    <definedName name="solver_nod" localSheetId="3" hidden="1">2147483647</definedName>
    <definedName name="solver_nod" localSheetId="4" hidden="1">2147483647</definedName>
    <definedName name="solver_nod" localSheetId="2" hidden="1">2147483647</definedName>
    <definedName name="solver_nod" localSheetId="6" hidden="1">2147483647</definedName>
    <definedName name="solver_nod" localSheetId="5" hidden="1">2147483647</definedName>
    <definedName name="solver_nod" localSheetId="7" hidden="1">2147483647</definedName>
    <definedName name="solver_nod" localSheetId="8" hidden="1">2147483647</definedName>
    <definedName name="solver_nod" localSheetId="9" hidden="1">2147483647</definedName>
    <definedName name="solver_nod" localSheetId="11" hidden="1">2147483647</definedName>
    <definedName name="solver_nod" localSheetId="12" hidden="1">2147483647</definedName>
    <definedName name="solver_nod" localSheetId="13" hidden="1">2147483647</definedName>
    <definedName name="solver_nod" localSheetId="14" hidden="1">2147483647</definedName>
    <definedName name="solver_nod" localSheetId="0" hidden="1">2147483647</definedName>
    <definedName name="solver_nod" localSheetId="1" hidden="1">2147483647</definedName>
    <definedName name="solver_num" localSheetId="3" hidden="1">2</definedName>
    <definedName name="solver_num" localSheetId="4" hidden="1">2</definedName>
    <definedName name="solver_num" localSheetId="2" hidden="1">2</definedName>
    <definedName name="solver_num" localSheetId="6" hidden="1">1</definedName>
    <definedName name="solver_num" localSheetId="5" hidden="1">4</definedName>
    <definedName name="solver_num" localSheetId="7" hidden="1">2</definedName>
    <definedName name="solver_num" localSheetId="8" hidden="1">2</definedName>
    <definedName name="solver_num" localSheetId="9" hidden="1">3</definedName>
    <definedName name="solver_num" localSheetId="11" hidden="1">4</definedName>
    <definedName name="solver_num" localSheetId="12" hidden="1">2</definedName>
    <definedName name="solver_num" localSheetId="13" hidden="1">7</definedName>
    <definedName name="solver_num" localSheetId="14" hidden="1">2</definedName>
    <definedName name="solver_num" localSheetId="0" hidden="1">1</definedName>
    <definedName name="solver_num" localSheetId="1" hidden="1">2</definedName>
    <definedName name="solver_opt" localSheetId="3" hidden="1">'2-20'!$B$6</definedName>
    <definedName name="solver_opt" localSheetId="4" hidden="1">'3 -14'!$B$18</definedName>
    <definedName name="solver_opt" localSheetId="2" hidden="1">'3-11 '!$E$11</definedName>
    <definedName name="solver_opt" localSheetId="6" hidden="1">'3-17'!$B$11</definedName>
    <definedName name="solver_opt" localSheetId="5" hidden="1">'3-18'!$B$9</definedName>
    <definedName name="solver_opt" localSheetId="7" hidden="1">'3-20'!$B$6</definedName>
    <definedName name="solver_opt" localSheetId="8" hidden="1">'3-21'!$B$13</definedName>
    <definedName name="solver_opt" localSheetId="9" hidden="1">'3-24'!$B$7</definedName>
    <definedName name="solver_opt" localSheetId="11" hidden="1">'3-25'!$B$9</definedName>
    <definedName name="solver_opt" localSheetId="12" hidden="1">'3-43'!$B$38</definedName>
    <definedName name="solver_opt" localSheetId="13" hidden="1">'3-44'!$B$39</definedName>
    <definedName name="solver_opt" localSheetId="14" hidden="1">'3-45'!$B$13</definedName>
    <definedName name="solver_opt" localSheetId="0" hidden="1">'Tutorial-1'!$B$10</definedName>
    <definedName name="solver_opt" localSheetId="1" hidden="1">'Tutorial-2'!$E$4</definedName>
    <definedName name="solver_pre" localSheetId="3" hidden="1">0.000001</definedName>
    <definedName name="solver_pre" localSheetId="4" hidden="1">0.000001</definedName>
    <definedName name="solver_pre" localSheetId="2" hidden="1">0.000001</definedName>
    <definedName name="solver_pre" localSheetId="6" hidden="1">0.000001</definedName>
    <definedName name="solver_pre" localSheetId="5" hidden="1">0.000001</definedName>
    <definedName name="solver_pre" localSheetId="7" hidden="1">0.000001</definedName>
    <definedName name="solver_pre" localSheetId="8" hidden="1">0.000001</definedName>
    <definedName name="solver_pre" localSheetId="9" hidden="1">0.000001</definedName>
    <definedName name="solver_pre" localSheetId="11" hidden="1">0.000001</definedName>
    <definedName name="solver_pre" localSheetId="12" hidden="1">0.000001</definedName>
    <definedName name="solver_pre" localSheetId="13" hidden="1">0.000001</definedName>
    <definedName name="solver_pre" localSheetId="14" hidden="1">0.000001</definedName>
    <definedName name="solver_pre" localSheetId="0" hidden="1">0.000001</definedName>
    <definedName name="solver_pre" localSheetId="1" hidden="1">0.000001</definedName>
    <definedName name="solver_rbv" localSheetId="3" hidden="1">1</definedName>
    <definedName name="solver_rbv" localSheetId="4" hidden="1">1</definedName>
    <definedName name="solver_rbv" localSheetId="2" hidden="1">1</definedName>
    <definedName name="solver_rbv" localSheetId="6" hidden="1">1</definedName>
    <definedName name="solver_rbv" localSheetId="5" hidden="1">1</definedName>
    <definedName name="solver_rbv" localSheetId="7" hidden="1">1</definedName>
    <definedName name="solver_rbv" localSheetId="8" hidden="1">2</definedName>
    <definedName name="solver_rbv" localSheetId="9" hidden="1">1</definedName>
    <definedName name="solver_rbv" localSheetId="11" hidden="1">1</definedName>
    <definedName name="solver_rbv" localSheetId="12" hidden="1">1</definedName>
    <definedName name="solver_rbv" localSheetId="13" hidden="1">1</definedName>
    <definedName name="solver_rbv" localSheetId="14" hidden="1">1</definedName>
    <definedName name="solver_rbv" localSheetId="0" hidden="1">1</definedName>
    <definedName name="solver_rbv" localSheetId="1" hidden="1">1</definedName>
    <definedName name="solver_rel1" localSheetId="3" hidden="1">1</definedName>
    <definedName name="solver_rel1" localSheetId="4" hidden="1">3</definedName>
    <definedName name="solver_rel1" localSheetId="2" hidden="1">2</definedName>
    <definedName name="solver_rel1" localSheetId="6" hidden="1">1</definedName>
    <definedName name="solver_rel1" localSheetId="5" hidden="1">2</definedName>
    <definedName name="solver_rel1" localSheetId="7" hidden="1">1</definedName>
    <definedName name="solver_rel1" localSheetId="8" hidden="1">1</definedName>
    <definedName name="solver_rel1" localSheetId="9" hidden="1">1</definedName>
    <definedName name="solver_rel1" localSheetId="11" hidden="1">3</definedName>
    <definedName name="solver_rel1" localSheetId="12" hidden="1">3</definedName>
    <definedName name="solver_rel1" localSheetId="13" hidden="1">4</definedName>
    <definedName name="solver_rel1" localSheetId="14" hidden="1">1</definedName>
    <definedName name="solver_rel1" localSheetId="0" hidden="1">1</definedName>
    <definedName name="solver_rel1" localSheetId="1" hidden="1">1</definedName>
    <definedName name="solver_rel2" localSheetId="3" hidden="1">2</definedName>
    <definedName name="solver_rel2" localSheetId="4" hidden="1">1</definedName>
    <definedName name="solver_rel2" localSheetId="2" hidden="1">1</definedName>
    <definedName name="solver_rel2" localSheetId="5" hidden="1">3</definedName>
    <definedName name="solver_rel2" localSheetId="7" hidden="1">3</definedName>
    <definedName name="solver_rel2" localSheetId="8" hidden="1">3</definedName>
    <definedName name="solver_rel2" localSheetId="9" hidden="1">1</definedName>
    <definedName name="solver_rel2" localSheetId="11" hidden="1">1</definedName>
    <definedName name="solver_rel2" localSheetId="12" hidden="1">2</definedName>
    <definedName name="solver_rel2" localSheetId="13" hidden="1">4</definedName>
    <definedName name="solver_rel2" localSheetId="14" hidden="1">3</definedName>
    <definedName name="solver_rel2" localSheetId="1" hidden="1">3</definedName>
    <definedName name="solver_rel3" localSheetId="4" hidden="1">1</definedName>
    <definedName name="solver_rel3" localSheetId="5" hidden="1">3</definedName>
    <definedName name="solver_rel3" localSheetId="9" hidden="1">3</definedName>
    <definedName name="solver_rel3" localSheetId="11" hidden="1">3</definedName>
    <definedName name="solver_rel3" localSheetId="13" hidden="1">4</definedName>
    <definedName name="solver_rel4" localSheetId="4" hidden="1">4</definedName>
    <definedName name="solver_rel4" localSheetId="5" hidden="1">1</definedName>
    <definedName name="solver_rel4" localSheetId="11" hidden="1">4</definedName>
    <definedName name="solver_rel4" localSheetId="13" hidden="1">4</definedName>
    <definedName name="solver_rel5" localSheetId="13" hidden="1">3</definedName>
    <definedName name="solver_rel6" localSheetId="13" hidden="1">2</definedName>
    <definedName name="solver_rel7" localSheetId="13" hidden="1">1</definedName>
    <definedName name="solver_rhs1" localSheetId="3" hidden="1">'2-20'!$D$10:$D$11</definedName>
    <definedName name="solver_rhs1" localSheetId="4" hidden="1">'3 -14'!$D$11:$D$12</definedName>
    <definedName name="solver_rhs1" localSheetId="2" hidden="1">'3-11 '!$K$11:$K$13</definedName>
    <definedName name="solver_rhs1" localSheetId="6" hidden="1">'3-17'!$D$12:$D$15</definedName>
    <definedName name="solver_rhs1" localSheetId="5" hidden="1">'3-18'!$D$12</definedName>
    <definedName name="solver_rhs1" localSheetId="7" hidden="1">'3-20'!$D$11:$D$16</definedName>
    <definedName name="solver_rhs1" localSheetId="8" hidden="1">'3-21'!$D$15:$D$18</definedName>
    <definedName name="solver_rhs1" localSheetId="9" hidden="1">'3-24'!$D$11:$D$17</definedName>
    <definedName name="solver_rhs1" localSheetId="11" hidden="1">'3-25'!$D$11:$D$14</definedName>
    <definedName name="solver_rhs1" localSheetId="12" hidden="1">'3-43'!$D$41:$D$44</definedName>
    <definedName name="solver_rhs1" localSheetId="13" hidden="1">integer</definedName>
    <definedName name="solver_rhs1" localSheetId="14" hidden="1">'3-45'!$D$16:$D$47</definedName>
    <definedName name="solver_rhs1" localSheetId="0" hidden="1">'Tutorial-1'!$D$12:$D$14</definedName>
    <definedName name="solver_rhs1" localSheetId="1" hidden="1">'Tutorial-2'!$D$8</definedName>
    <definedName name="solver_rhs2" localSheetId="3" hidden="1">'2-20'!$D$9</definedName>
    <definedName name="solver_rhs2" localSheetId="4" hidden="1">'3 -14'!$D$13:$D$15</definedName>
    <definedName name="solver_rhs2" localSheetId="2" hidden="1">'3-11 '!$K$8:$K$10</definedName>
    <definedName name="solver_rhs2" localSheetId="5" hidden="1">'3-18'!$D$13:$D$16</definedName>
    <definedName name="solver_rhs2" localSheetId="7" hidden="1">'3-20'!$D$8:$D$10</definedName>
    <definedName name="solver_rhs2" localSheetId="8" hidden="1">'3-21'!$D$19:$D$24</definedName>
    <definedName name="solver_rhs2" localSheetId="9" hidden="1">'3-24'!$D$28:$D$29</definedName>
    <definedName name="solver_rhs2" localSheetId="11" hidden="1">'3-25'!$D$15:$D$21</definedName>
    <definedName name="solver_rhs2" localSheetId="12" hidden="1">'3-43'!$D$45:$D$51</definedName>
    <definedName name="solver_rhs2" localSheetId="13" hidden="1">integer</definedName>
    <definedName name="solver_rhs2" localSheetId="14" hidden="1">'3-45'!$D$48:$D$57</definedName>
    <definedName name="solver_rhs2" localSheetId="1" hidden="1">'Tutorial-2'!$C$6:$D$6</definedName>
    <definedName name="solver_rhs3" localSheetId="4" hidden="1">'3 -14'!$D$13:$D$15</definedName>
    <definedName name="solver_rhs3" localSheetId="5" hidden="1">'3-18'!$D$19:$D$23</definedName>
    <definedName name="solver_rhs3" localSheetId="9" hidden="1">'3-24'!$D$9:$D$10</definedName>
    <definedName name="solver_rhs3" localSheetId="11" hidden="1">'3-25'!$D$22:$D$25</definedName>
    <definedName name="solver_rhs3" localSheetId="13" hidden="1">integer</definedName>
    <definedName name="solver_rhs4" localSheetId="4" hidden="1">integer</definedName>
    <definedName name="solver_rhs4" localSheetId="5" hidden="1">'3-18'!$D$27:$D$31</definedName>
    <definedName name="solver_rhs4" localSheetId="11" hidden="1">integer</definedName>
    <definedName name="solver_rhs4" localSheetId="13" hidden="1">integer</definedName>
    <definedName name="solver_rhs5" localSheetId="13" hidden="1">'3-44'!$D$42:$D$45</definedName>
    <definedName name="solver_rhs6" localSheetId="13" hidden="1">'3-44'!$D$46:$D$52</definedName>
    <definedName name="solver_rhs7" localSheetId="13" hidden="1">'3-44'!$D$53:$D$57</definedName>
    <definedName name="solver_rlx" localSheetId="3" hidden="1">2</definedName>
    <definedName name="solver_rlx" localSheetId="4" hidden="1">2</definedName>
    <definedName name="solver_rlx" localSheetId="2" hidden="1">2</definedName>
    <definedName name="solver_rlx" localSheetId="6" hidden="1">2</definedName>
    <definedName name="solver_rlx" localSheetId="5" hidden="1">2</definedName>
    <definedName name="solver_rlx" localSheetId="7" hidden="1">2</definedName>
    <definedName name="solver_rlx" localSheetId="8" hidden="1">2</definedName>
    <definedName name="solver_rlx" localSheetId="9" hidden="1">1</definedName>
    <definedName name="solver_rlx" localSheetId="11" hidden="1">2</definedName>
    <definedName name="solver_rlx" localSheetId="12" hidden="1">2</definedName>
    <definedName name="solver_rlx" localSheetId="13" hidden="1">2</definedName>
    <definedName name="solver_rlx" localSheetId="14" hidden="1">2</definedName>
    <definedName name="solver_rlx" localSheetId="0" hidden="1">2</definedName>
    <definedName name="solver_rlx" localSheetId="1" hidden="1">2</definedName>
    <definedName name="solver_rsd" localSheetId="3" hidden="1">0</definedName>
    <definedName name="solver_rsd" localSheetId="4" hidden="1">0</definedName>
    <definedName name="solver_rsd" localSheetId="2" hidden="1">0</definedName>
    <definedName name="solver_rsd" localSheetId="6" hidden="1">0</definedName>
    <definedName name="solver_rsd" localSheetId="5" hidden="1">0</definedName>
    <definedName name="solver_rsd" localSheetId="7" hidden="1">0</definedName>
    <definedName name="solver_rsd" localSheetId="8" hidden="1">0</definedName>
    <definedName name="solver_rsd" localSheetId="9" hidden="1">0</definedName>
    <definedName name="solver_rsd" localSheetId="11" hidden="1">0</definedName>
    <definedName name="solver_rsd" localSheetId="12" hidden="1">0</definedName>
    <definedName name="solver_rsd" localSheetId="13" hidden="1">0</definedName>
    <definedName name="solver_rsd" localSheetId="14" hidden="1">0</definedName>
    <definedName name="solver_rsd" localSheetId="0" hidden="1">0</definedName>
    <definedName name="solver_rsd" localSheetId="1" hidden="1">0</definedName>
    <definedName name="solver_scl" localSheetId="3" hidden="1">1</definedName>
    <definedName name="solver_scl" localSheetId="4" hidden="1">1</definedName>
    <definedName name="solver_scl" localSheetId="2" hidden="1">1</definedName>
    <definedName name="solver_scl" localSheetId="6" hidden="1">1</definedName>
    <definedName name="solver_scl" localSheetId="5" hidden="1">1</definedName>
    <definedName name="solver_scl" localSheetId="7" hidden="1">1</definedName>
    <definedName name="solver_scl" localSheetId="8" hidden="1">2</definedName>
    <definedName name="solver_scl" localSheetId="9" hidden="1">2</definedName>
    <definedName name="solver_scl" localSheetId="11" hidden="1">1</definedName>
    <definedName name="solver_scl" localSheetId="12" hidden="1">1</definedName>
    <definedName name="solver_scl" localSheetId="13" hidden="1">1</definedName>
    <definedName name="solver_scl" localSheetId="14" hidden="1">1</definedName>
    <definedName name="solver_scl" localSheetId="0" hidden="1">1</definedName>
    <definedName name="solver_scl" localSheetId="1" hidden="1">1</definedName>
    <definedName name="solver_sho" localSheetId="3" hidden="1">2</definedName>
    <definedName name="solver_sho" localSheetId="4" hidden="1">2</definedName>
    <definedName name="solver_sho" localSheetId="2" hidden="1">2</definedName>
    <definedName name="solver_sho" localSheetId="6" hidden="1">2</definedName>
    <definedName name="solver_sho" localSheetId="5" hidden="1">2</definedName>
    <definedName name="solver_sho" localSheetId="7" hidden="1">2</definedName>
    <definedName name="solver_sho" localSheetId="8" hidden="1">2</definedName>
    <definedName name="solver_sho" localSheetId="9" hidden="1">2</definedName>
    <definedName name="solver_sho" localSheetId="11" hidden="1">2</definedName>
    <definedName name="solver_sho" localSheetId="12" hidden="1">2</definedName>
    <definedName name="solver_sho" localSheetId="13" hidden="1">2</definedName>
    <definedName name="solver_sho" localSheetId="14" hidden="1">2</definedName>
    <definedName name="solver_sho" localSheetId="0" hidden="1">2</definedName>
    <definedName name="solver_sho" localSheetId="1" hidden="1">2</definedName>
    <definedName name="solver_ssz" localSheetId="3" hidden="1">100</definedName>
    <definedName name="solver_ssz" localSheetId="4" hidden="1">100</definedName>
    <definedName name="solver_ssz" localSheetId="2" hidden="1">100</definedName>
    <definedName name="solver_ssz" localSheetId="6" hidden="1">100</definedName>
    <definedName name="solver_ssz" localSheetId="5" hidden="1">100</definedName>
    <definedName name="solver_ssz" localSheetId="7" hidden="1">100</definedName>
    <definedName name="solver_ssz" localSheetId="8" hidden="1">100</definedName>
    <definedName name="solver_ssz" localSheetId="9" hidden="1">100</definedName>
    <definedName name="solver_ssz" localSheetId="11" hidden="1">100</definedName>
    <definedName name="solver_ssz" localSheetId="12" hidden="1">100</definedName>
    <definedName name="solver_ssz" localSheetId="13" hidden="1">100</definedName>
    <definedName name="solver_ssz" localSheetId="14" hidden="1">100</definedName>
    <definedName name="solver_ssz" localSheetId="0" hidden="1">100</definedName>
    <definedName name="solver_ssz" localSheetId="1" hidden="1">100</definedName>
    <definedName name="solver_tim" localSheetId="3" hidden="1">2147483647</definedName>
    <definedName name="solver_tim" localSheetId="4" hidden="1">2147483647</definedName>
    <definedName name="solver_tim" localSheetId="2" hidden="1">2147483647</definedName>
    <definedName name="solver_tim" localSheetId="6" hidden="1">2147483647</definedName>
    <definedName name="solver_tim" localSheetId="5" hidden="1">2147483647</definedName>
    <definedName name="solver_tim" localSheetId="7" hidden="1">2147483647</definedName>
    <definedName name="solver_tim" localSheetId="8" hidden="1">2147483647</definedName>
    <definedName name="solver_tim" localSheetId="9" hidden="1">2147483647</definedName>
    <definedName name="solver_tim" localSheetId="11" hidden="1">2147483647</definedName>
    <definedName name="solver_tim" localSheetId="12" hidden="1">2147483647</definedName>
    <definedName name="solver_tim" localSheetId="13" hidden="1">2147483647</definedName>
    <definedName name="solver_tim" localSheetId="14" hidden="1">2147483647</definedName>
    <definedName name="solver_tim" localSheetId="0" hidden="1">2147483647</definedName>
    <definedName name="solver_tim" localSheetId="1" hidden="1">2147483647</definedName>
    <definedName name="solver_tol" localSheetId="3" hidden="1">0.01</definedName>
    <definedName name="solver_tol" localSheetId="4" hidden="1">0</definedName>
    <definedName name="solver_tol" localSheetId="2" hidden="1">0.01</definedName>
    <definedName name="solver_tol" localSheetId="6" hidden="1">0.01</definedName>
    <definedName name="solver_tol" localSheetId="5" hidden="1">0.01</definedName>
    <definedName name="solver_tol" localSheetId="7" hidden="1">0.01</definedName>
    <definedName name="solver_tol" localSheetId="8" hidden="1">0.01</definedName>
    <definedName name="solver_tol" localSheetId="9" hidden="1">0.01</definedName>
    <definedName name="solver_tol" localSheetId="11" hidden="1">0.01</definedName>
    <definedName name="solver_tol" localSheetId="12" hidden="1">0.01</definedName>
    <definedName name="solver_tol" localSheetId="13" hidden="1">0.01</definedName>
    <definedName name="solver_tol" localSheetId="14" hidden="1">0.01</definedName>
    <definedName name="solver_tol" localSheetId="0" hidden="1">0.01</definedName>
    <definedName name="solver_tol" localSheetId="1" hidden="1">0.01</definedName>
    <definedName name="solver_typ" localSheetId="3" hidden="1">1</definedName>
    <definedName name="solver_typ" localSheetId="4" hidden="1">1</definedName>
    <definedName name="solver_typ" localSheetId="2" hidden="1">2</definedName>
    <definedName name="solver_typ" localSheetId="6" hidden="1">1</definedName>
    <definedName name="solver_typ" localSheetId="5" hidden="1">2</definedName>
    <definedName name="solver_typ" localSheetId="7" hidden="1">2</definedName>
    <definedName name="solver_typ" localSheetId="8" hidden="1">1</definedName>
    <definedName name="solver_typ" localSheetId="9" hidden="1">1</definedName>
    <definedName name="solver_typ" localSheetId="11" hidden="1">1</definedName>
    <definedName name="solver_typ" localSheetId="12" hidden="1">2</definedName>
    <definedName name="solver_typ" localSheetId="13" hidden="1">2</definedName>
    <definedName name="solver_typ" localSheetId="14" hidden="1">1</definedName>
    <definedName name="solver_typ" localSheetId="0" hidden="1">1</definedName>
    <definedName name="solver_typ" localSheetId="1" hidden="1">2</definedName>
    <definedName name="solver_val" localSheetId="3" hidden="1">0</definedName>
    <definedName name="solver_val" localSheetId="4" hidden="1">0</definedName>
    <definedName name="solver_val" localSheetId="2" hidden="1">0</definedName>
    <definedName name="solver_val" localSheetId="6" hidden="1">0</definedName>
    <definedName name="solver_val" localSheetId="5" hidden="1">0</definedName>
    <definedName name="solver_val" localSheetId="7" hidden="1">0</definedName>
    <definedName name="solver_val" localSheetId="8" hidden="1">0</definedName>
    <definedName name="solver_val" localSheetId="9" hidden="1">0</definedName>
    <definedName name="solver_val" localSheetId="11" hidden="1">0</definedName>
    <definedName name="solver_val" localSheetId="12" hidden="1">0</definedName>
    <definedName name="solver_val" localSheetId="13" hidden="1">0</definedName>
    <definedName name="solver_val" localSheetId="14" hidden="1">0</definedName>
    <definedName name="solver_val" localSheetId="0" hidden="1">0</definedName>
    <definedName name="solver_val" localSheetId="1" hidden="1">0</definedName>
    <definedName name="solver_ver" localSheetId="3" hidden="1">2</definedName>
    <definedName name="solver_ver" localSheetId="4" hidden="1">2</definedName>
    <definedName name="solver_ver" localSheetId="2" hidden="1">2</definedName>
    <definedName name="solver_ver" localSheetId="6" hidden="1">2</definedName>
    <definedName name="solver_ver" localSheetId="5" hidden="1">2</definedName>
    <definedName name="solver_ver" localSheetId="7" hidden="1">2</definedName>
    <definedName name="solver_ver" localSheetId="8" hidden="1">2</definedName>
    <definedName name="solver_ver" localSheetId="9" hidden="1">2</definedName>
    <definedName name="solver_ver" localSheetId="11" hidden="1">2</definedName>
    <definedName name="solver_ver" localSheetId="12" hidden="1">2</definedName>
    <definedName name="solver_ver" localSheetId="13" hidden="1">2</definedName>
    <definedName name="solver_ver" localSheetId="14" hidden="1">2</definedName>
    <definedName name="solver_ver" localSheetId="0" hidden="1">2</definedName>
    <definedName name="solver_ver" localSheetId="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5" i="15" l="1"/>
  <c r="B24" i="15"/>
  <c r="B23" i="15"/>
  <c r="B22" i="15"/>
  <c r="B20" i="15"/>
  <c r="B19" i="15"/>
  <c r="B11" i="15"/>
  <c r="B12" i="15"/>
  <c r="B14" i="15"/>
  <c r="B13" i="15"/>
  <c r="B21" i="15"/>
  <c r="B18" i="15"/>
  <c r="B9" i="15"/>
  <c r="B16" i="15"/>
  <c r="B17" i="15"/>
  <c r="B15" i="15"/>
  <c r="B24" i="14"/>
  <c r="B23" i="14"/>
  <c r="B22" i="14"/>
  <c r="B21" i="14"/>
  <c r="B20" i="14"/>
  <c r="B19" i="14"/>
  <c r="B16" i="14"/>
  <c r="B17" i="14"/>
  <c r="B18" i="14"/>
  <c r="B15" i="14"/>
  <c r="C10" i="14"/>
  <c r="D10" i="14"/>
  <c r="E10" i="14"/>
  <c r="F10" i="14"/>
  <c r="B10" i="14"/>
  <c r="B13" i="14" s="1"/>
  <c r="B6" i="5"/>
  <c r="B16" i="5"/>
  <c r="B15" i="5"/>
  <c r="B14" i="5"/>
  <c r="B13" i="5"/>
  <c r="B12" i="5"/>
  <c r="B11" i="5"/>
  <c r="B10" i="5"/>
  <c r="B9" i="5"/>
  <c r="B8" i="5"/>
  <c r="B15" i="13"/>
  <c r="B14" i="13"/>
  <c r="B13" i="13"/>
  <c r="B12" i="13"/>
  <c r="B11" i="13"/>
  <c r="E13" i="12" l="1"/>
  <c r="D13" i="12"/>
  <c r="C13" i="12"/>
  <c r="B47" i="12"/>
  <c r="B46" i="12"/>
  <c r="B45" i="12"/>
  <c r="B44" i="12"/>
  <c r="B43" i="12"/>
  <c r="B42" i="12"/>
  <c r="B41" i="12"/>
  <c r="B40" i="12"/>
  <c r="B39" i="12"/>
  <c r="B38" i="12"/>
  <c r="B37" i="12"/>
  <c r="B36" i="12"/>
  <c r="B35" i="12"/>
  <c r="B34" i="12"/>
  <c r="B33" i="12"/>
  <c r="B32" i="12"/>
  <c r="B31" i="12"/>
  <c r="B30" i="12"/>
  <c r="B29" i="12"/>
  <c r="B28" i="12"/>
  <c r="B27" i="12"/>
  <c r="B26" i="12"/>
  <c r="C10" i="12"/>
  <c r="C12" i="12" s="1"/>
  <c r="D10" i="12"/>
  <c r="D12" i="12" s="1"/>
  <c r="E10" i="12"/>
  <c r="E12" i="12" s="1"/>
  <c r="F10" i="12"/>
  <c r="F12" i="12" s="1"/>
  <c r="G10" i="12"/>
  <c r="G12" i="12" s="1"/>
  <c r="H10" i="12"/>
  <c r="H12" i="12" s="1"/>
  <c r="I10" i="12"/>
  <c r="I12" i="12" s="1"/>
  <c r="J10" i="12"/>
  <c r="J12" i="12" s="1"/>
  <c r="K10" i="12"/>
  <c r="K12" i="12" s="1"/>
  <c r="B10" i="12"/>
  <c r="B12" i="12" s="1"/>
  <c r="B57" i="11"/>
  <c r="B56" i="11"/>
  <c r="B55" i="11"/>
  <c r="B54" i="11"/>
  <c r="B53" i="11"/>
  <c r="B52" i="11"/>
  <c r="B51" i="11"/>
  <c r="B50" i="11"/>
  <c r="B49" i="11"/>
  <c r="B48" i="11"/>
  <c r="B47" i="11"/>
  <c r="B46" i="11"/>
  <c r="B45" i="11"/>
  <c r="B44" i="11"/>
  <c r="B43" i="11"/>
  <c r="B42" i="11"/>
  <c r="B39" i="11"/>
  <c r="B49" i="10"/>
  <c r="B51" i="10"/>
  <c r="B50" i="10"/>
  <c r="B48" i="10"/>
  <c r="B47" i="10"/>
  <c r="B46" i="10"/>
  <c r="B45" i="10"/>
  <c r="B44" i="10"/>
  <c r="B42" i="10"/>
  <c r="B41" i="10"/>
  <c r="B38" i="10"/>
  <c r="B43" i="10"/>
  <c r="E3" i="6"/>
  <c r="E4" i="6"/>
  <c r="E5" i="6"/>
  <c r="E2" i="6"/>
  <c r="J2" i="6"/>
  <c r="J4" i="6"/>
  <c r="J5" i="6"/>
  <c r="J3" i="6"/>
  <c r="C14" i="6"/>
  <c r="D14" i="6"/>
  <c r="C15" i="6"/>
  <c r="D15" i="6"/>
  <c r="C16" i="6"/>
  <c r="D16" i="6"/>
  <c r="C17" i="6"/>
  <c r="D17" i="6"/>
  <c r="F12" i="6"/>
  <c r="B17" i="6" s="1"/>
  <c r="F11" i="6"/>
  <c r="B16" i="6" s="1"/>
  <c r="F10" i="6"/>
  <c r="B15" i="6" s="1"/>
  <c r="F9" i="6"/>
  <c r="B14" i="6" s="1"/>
  <c r="B26" i="6"/>
  <c r="B25" i="6"/>
  <c r="B24" i="6"/>
  <c r="B22" i="6"/>
  <c r="B21" i="6"/>
  <c r="B20" i="6"/>
  <c r="B19" i="6"/>
  <c r="B12" i="6"/>
  <c r="B11" i="6"/>
  <c r="B13" i="6"/>
  <c r="B10" i="6"/>
  <c r="B9" i="6"/>
  <c r="B8" i="8"/>
  <c r="C4" i="8"/>
  <c r="D4" i="8"/>
  <c r="E4" i="8"/>
  <c r="B14" i="7"/>
  <c r="B13" i="7"/>
  <c r="B12" i="7"/>
  <c r="B10" i="7"/>
  <c r="B12" i="4"/>
  <c r="B9" i="4"/>
  <c r="B16" i="4"/>
  <c r="B15" i="4"/>
  <c r="B14" i="4"/>
  <c r="B13" i="4"/>
  <c r="B18" i="4"/>
  <c r="B20" i="4" s="1"/>
  <c r="B26" i="4"/>
  <c r="B29" i="4" s="1"/>
  <c r="B13" i="12" l="1"/>
  <c r="B16" i="12"/>
  <c r="B48" i="12" s="1"/>
  <c r="B23" i="12"/>
  <c r="B55" i="12" s="1"/>
  <c r="B19" i="12"/>
  <c r="B51" i="12" s="1"/>
  <c r="B20" i="12"/>
  <c r="B52" i="12" s="1"/>
  <c r="B22" i="12"/>
  <c r="B54" i="12" s="1"/>
  <c r="B21" i="12"/>
  <c r="B53" i="12" s="1"/>
  <c r="B17" i="12"/>
  <c r="B49" i="12" s="1"/>
  <c r="B24" i="12"/>
  <c r="B56" i="12" s="1"/>
  <c r="B25" i="12"/>
  <c r="B57" i="12" s="1"/>
  <c r="B18" i="12"/>
  <c r="B50" i="12" s="1"/>
  <c r="B7" i="6"/>
  <c r="B29" i="6"/>
  <c r="B28" i="6"/>
  <c r="B27" i="4"/>
  <c r="B31" i="4"/>
  <c r="B30" i="4"/>
  <c r="B28" i="4"/>
  <c r="B23" i="4"/>
  <c r="B19" i="4"/>
  <c r="B22" i="4"/>
  <c r="B21" i="4"/>
  <c r="B12" i="3" l="1"/>
  <c r="B11" i="3"/>
  <c r="B15" i="3"/>
  <c r="B14" i="3"/>
  <c r="B13" i="3"/>
  <c r="B18" i="3"/>
  <c r="C5" i="3"/>
  <c r="B5" i="3"/>
  <c r="B11" i="2"/>
  <c r="B10" i="2"/>
  <c r="B9" i="2"/>
  <c r="B6" i="2"/>
  <c r="I13" i="1"/>
  <c r="I12" i="1"/>
  <c r="I11" i="1"/>
  <c r="I10" i="1"/>
  <c r="I9" i="1"/>
  <c r="I8" i="1"/>
  <c r="E10" i="1"/>
  <c r="E9" i="1"/>
  <c r="E8" i="1"/>
  <c r="E11" i="1" l="1"/>
</calcChain>
</file>

<file path=xl/sharedStrings.xml><?xml version="1.0" encoding="utf-8"?>
<sst xmlns="http://schemas.openxmlformats.org/spreadsheetml/2006/main" count="604" uniqueCount="323">
  <si>
    <t>M</t>
  </si>
  <si>
    <t>E</t>
  </si>
  <si>
    <t>C</t>
  </si>
  <si>
    <t>Ocala</t>
  </si>
  <si>
    <t>Orlando</t>
  </si>
  <si>
    <t>Leesburg</t>
  </si>
  <si>
    <t>Constraints</t>
  </si>
  <si>
    <t>M1+E1+C1&lt;=200000</t>
  </si>
  <si>
    <t>M2+E2+C2&lt;=600000</t>
  </si>
  <si>
    <t>M3+E3+C3&lt;=225000</t>
  </si>
  <si>
    <t>M1+M2+M3 &lt;=275000</t>
  </si>
  <si>
    <t>E1+E2+E3 &lt;=400000</t>
  </si>
  <si>
    <t>C1+C2+C3 &lt;=300000</t>
  </si>
  <si>
    <t>&lt;=</t>
  </si>
  <si>
    <t>=</t>
  </si>
  <si>
    <t>T</t>
  </si>
  <si>
    <t>T+M&lt;=100000</t>
  </si>
  <si>
    <t>T &lt;= 70000</t>
  </si>
  <si>
    <t>M &lt;= 50000</t>
  </si>
  <si>
    <t>R</t>
  </si>
  <si>
    <t>S</t>
  </si>
  <si>
    <t>P</t>
  </si>
  <si>
    <t>T1</t>
  </si>
  <si>
    <t>T2</t>
  </si>
  <si>
    <t>T1 &gt;= (T1+T2)/5</t>
  </si>
  <si>
    <t>Country (T1)</t>
  </si>
  <si>
    <t>Contemporary(T2)</t>
  </si>
  <si>
    <t>Time/Wk</t>
  </si>
  <si>
    <t>1.5T1 + 2T2 &lt;= 1000</t>
  </si>
  <si>
    <t>3T1 + 4.5T2 &lt;=2000</t>
  </si>
  <si>
    <t>2.5T1 + 1.5T2 &lt;=1500</t>
  </si>
  <si>
    <t>Time cost to create a Country table = T1R+T1S+T1P</t>
  </si>
  <si>
    <t>Time cost to create a Contemporary table = T2R+T2S+T2P</t>
  </si>
  <si>
    <t>Maximize: 350*T1+450*T2</t>
  </si>
  <si>
    <t>T2 &gt;= (T1+T2)*3/10</t>
  </si>
  <si>
    <t>&gt;=</t>
  </si>
  <si>
    <t>G</t>
  </si>
  <si>
    <t>A</t>
  </si>
  <si>
    <t>Cost/pound</t>
  </si>
  <si>
    <t>V</t>
  </si>
  <si>
    <t>20R+10G+10C+30P+20A &gt;= 40</t>
  </si>
  <si>
    <t>Qty in 2 Pound bag</t>
  </si>
  <si>
    <t>7R+4G+5C+9P+3A &gt;=15</t>
  </si>
  <si>
    <t>4R+2G+1C+10P+1A &gt;=10</t>
  </si>
  <si>
    <t>450R+160G+500C+300P+500A&gt;=600</t>
  </si>
  <si>
    <t>At least X Gm of nutrients in 2pound pack</t>
  </si>
  <si>
    <t>Min wieght share 5%</t>
  </si>
  <si>
    <t>R-(R+G+C+P+A)/20 &gt;=0</t>
  </si>
  <si>
    <t>G-(R+G+C+P+A)/20 &gt;=0</t>
  </si>
  <si>
    <t>C-(R+G+C+P+A)/20 &gt;=0</t>
  </si>
  <si>
    <t>P-(R+G+C+P+A)/20 &gt;=0</t>
  </si>
  <si>
    <t>A-(R+G+C+P+A)/20 &gt;=0</t>
  </si>
  <si>
    <t>Max Weight 50%</t>
  </si>
  <si>
    <t>R-(R+G+C+P+A)/2 &lt;=0</t>
  </si>
  <si>
    <t>G-(R+G+C+P+A)/2 &lt;=0</t>
  </si>
  <si>
    <t>C-(R+G+C+P+A)/2 &lt;=0</t>
  </si>
  <si>
    <t>P-(R+G+C+P+A)/2 &lt;=0</t>
  </si>
  <si>
    <t>A-(R+G+C+P+A)/2 &lt;=0</t>
  </si>
  <si>
    <t>R+G+C+P+A</t>
  </si>
  <si>
    <t>Obj Function:  Minimize(2.5R+1.5G+2C+3.5P+3A)</t>
  </si>
  <si>
    <t>Cost per 2 Pound bag = (2.5R+1.5G+2C+3.5P+3A)</t>
  </si>
  <si>
    <t>W</t>
  </si>
  <si>
    <t>H</t>
  </si>
  <si>
    <t>W &gt;= 1000</t>
  </si>
  <si>
    <t>C &gt;=400</t>
  </si>
  <si>
    <t>C &lt;=500</t>
  </si>
  <si>
    <t>H &lt;=150</t>
  </si>
  <si>
    <t>R &lt;= 200</t>
  </si>
  <si>
    <t>Qty</t>
  </si>
  <si>
    <t>Sale Price</t>
  </si>
  <si>
    <t>nuts in W = 0.6 of weight</t>
  </si>
  <si>
    <t>nuts in H  = 0.2</t>
  </si>
  <si>
    <t>nuts in R = 1</t>
  </si>
  <si>
    <t>HULL</t>
  </si>
  <si>
    <t>ROAST</t>
  </si>
  <si>
    <t>COAT</t>
  </si>
  <si>
    <t>PACK</t>
  </si>
  <si>
    <t>Var Cost</t>
  </si>
  <si>
    <t>The marketing manager for Mountain Mist soda needs to decide how many TV
spots and magazine ads to run during the next quarter. Each TV spot costs $5,000
and is expected to increase sales by 300,000 cans. Each magazine ad costs $2,000
and is expected to increase sales by 500,000 cans. A total of $100,000 may be spent
on TV and magazine ads; however, Mountain Mist wants to spend no more than
$70,000 on TV spots and no more than $50,000 on magazine ads. Mountain Mist
earns a profit of $0.05 on each can it sells.
a. Formulate an LP model for this problem.
b. Sketch the feasible region for this model.
c. Find the optimal solution to the problem using level curves.</t>
  </si>
  <si>
    <t>Total cost of  TV Ads =  5000*T</t>
  </si>
  <si>
    <t>Total cost of  Mag Ads =  2000*M</t>
  </si>
  <si>
    <t>Total Profit
300000*0.05*T + 500000*0.05*M - 5000*T-2000*M</t>
  </si>
  <si>
    <t>Qty of 27" TV</t>
  </si>
  <si>
    <t>Qty of 20" TV</t>
  </si>
  <si>
    <t>Hours taken by 27"</t>
  </si>
  <si>
    <t>Hours taken by 20"</t>
  </si>
  <si>
    <t>profit of 27"</t>
  </si>
  <si>
    <t>profit of 20"</t>
  </si>
  <si>
    <t>Total Profit= 120T1+80T2</t>
  </si>
  <si>
    <t>27" can not be more than 40</t>
  </si>
  <si>
    <t>20" can not be more than 10</t>
  </si>
  <si>
    <t>Total Work hours are 500</t>
  </si>
  <si>
    <t>Type A qty</t>
  </si>
  <si>
    <t>Type B qty</t>
  </si>
  <si>
    <t>Cal</t>
  </si>
  <si>
    <t>Vit</t>
  </si>
  <si>
    <t>Cost</t>
  </si>
  <si>
    <t>Totals</t>
  </si>
  <si>
    <t xml:space="preserve">Ingredient A can not be more than 1/3rd </t>
  </si>
  <si>
    <t>nuts in 1 C = 0.4, total nuts in C</t>
  </si>
  <si>
    <t>choc in W = 0.4 of weight</t>
  </si>
  <si>
    <t>chocs in C=0.6</t>
  </si>
  <si>
    <t>choc in H  = 0.8</t>
  </si>
  <si>
    <t>choc in R = 0</t>
  </si>
  <si>
    <t>Time Constraints</t>
  </si>
  <si>
    <t>Time in minutes for HULL machine</t>
  </si>
  <si>
    <t>Time in minutes for PACK machine</t>
  </si>
  <si>
    <t>Time in minutes for COAT machine</t>
  </si>
  <si>
    <t>Time in minutes for ROAST machine</t>
  </si>
  <si>
    <t>total nuts usage = 1100</t>
  </si>
  <si>
    <t>total chocs usage = 800</t>
  </si>
  <si>
    <t>Profit</t>
  </si>
  <si>
    <t>Objective Function 1.85W+1.4C+1.04H+1.4R</t>
  </si>
  <si>
    <t>Y1</t>
  </si>
  <si>
    <t>Y2</t>
  </si>
  <si>
    <t>Y3</t>
  </si>
  <si>
    <t>B</t>
  </si>
  <si>
    <t>D</t>
  </si>
  <si>
    <t>Y4</t>
  </si>
  <si>
    <t>B12</t>
  </si>
  <si>
    <t>B34</t>
  </si>
  <si>
    <t>A1</t>
  </si>
  <si>
    <t>A2</t>
  </si>
  <si>
    <t>A3</t>
  </si>
  <si>
    <t>A4</t>
  </si>
  <si>
    <t>E1</t>
  </si>
  <si>
    <t>E2</t>
  </si>
  <si>
    <t>E3</t>
  </si>
  <si>
    <t>Y5</t>
  </si>
  <si>
    <t>Y6</t>
  </si>
  <si>
    <t>Y7</t>
  </si>
  <si>
    <t>A5</t>
  </si>
  <si>
    <t>A6</t>
  </si>
  <si>
    <t>A7</t>
  </si>
  <si>
    <t>B56</t>
  </si>
  <si>
    <t>C123</t>
  </si>
  <si>
    <t>C456</t>
  </si>
  <si>
    <t>D - 65%</t>
  </si>
  <si>
    <t>C456 - 18%</t>
  </si>
  <si>
    <t>C123 - 18</t>
  </si>
  <si>
    <t>B56 - 14%</t>
  </si>
  <si>
    <t>B34 - 14%</t>
  </si>
  <si>
    <t>B12 - 14%</t>
  </si>
  <si>
    <t>MIN(A1+B12+C123+D)</t>
  </si>
  <si>
    <t>Decision Variables</t>
  </si>
  <si>
    <t>Objective Function</t>
  </si>
  <si>
    <t>A3+B34-1.06A2-1.14B12=0</t>
  </si>
  <si>
    <t>A4+C456-1.06A3-1.18C123=0</t>
  </si>
  <si>
    <t>A2-1.06A1=0</t>
  </si>
  <si>
    <t>A5+B56-1.06A4-1.14B34=0</t>
  </si>
  <si>
    <t>Y8</t>
  </si>
  <si>
    <t>A8</t>
  </si>
  <si>
    <t>B78 - 14%</t>
  </si>
  <si>
    <t>E4</t>
  </si>
  <si>
    <t>B78</t>
  </si>
  <si>
    <t>1.06A8+1.14B78&gt;=18000</t>
  </si>
  <si>
    <t>&gt;=0</t>
  </si>
  <si>
    <t>1.06A6+1.14B56+1.18C456-A7-B78&gt;=14000</t>
  </si>
  <si>
    <t>1.06A5-A6&gt;= 12000</t>
  </si>
  <si>
    <t>1.06A7+1.65D-A8&gt;=16000</t>
  </si>
  <si>
    <t>A6+12000-1.06A5=0</t>
  </si>
  <si>
    <t>14000+A7+B78-1.06A6-1.14B56-1.18C456=0</t>
  </si>
  <si>
    <t>A8+16000-1.06A7-D=0</t>
  </si>
  <si>
    <t>Risk</t>
  </si>
  <si>
    <t>Returns</t>
  </si>
  <si>
    <t>4D+2C123-B12-3A1&lt;=0</t>
  </si>
  <si>
    <t>A3+3*B34&lt;=4x(A3+B34) = -3A3-B34&lt;=0</t>
  </si>
  <si>
    <t>-3A4+2xC456&lt;=0</t>
  </si>
  <si>
    <t>-3A5-B56&lt;=0</t>
  </si>
  <si>
    <t>-3A7-B78&lt;=0</t>
  </si>
  <si>
    <t>BID</t>
  </si>
  <si>
    <t>ASK</t>
  </si>
  <si>
    <t>S1</t>
  </si>
  <si>
    <t>D1</t>
  </si>
  <si>
    <t>S2</t>
  </si>
  <si>
    <t>S3</t>
  </si>
  <si>
    <t>S4</t>
  </si>
  <si>
    <t>S5</t>
  </si>
  <si>
    <t>S6</t>
  </si>
  <si>
    <t>S7</t>
  </si>
  <si>
    <t>S8</t>
  </si>
  <si>
    <t>S9</t>
  </si>
  <si>
    <t>S10</t>
  </si>
  <si>
    <t>B1</t>
  </si>
  <si>
    <t>B2</t>
  </si>
  <si>
    <t>B3</t>
  </si>
  <si>
    <t>B4</t>
  </si>
  <si>
    <t>B5</t>
  </si>
  <si>
    <t>B6</t>
  </si>
  <si>
    <t>B7</t>
  </si>
  <si>
    <t>B8</t>
  </si>
  <si>
    <t>B9</t>
  </si>
  <si>
    <t>B10</t>
  </si>
  <si>
    <t>Objective Function:</t>
  </si>
  <si>
    <t>Sale Each Day</t>
  </si>
  <si>
    <t>Buy  Each Day</t>
  </si>
  <si>
    <t>Storage Cost Each Day</t>
  </si>
  <si>
    <t>C1</t>
  </si>
  <si>
    <t>Storage Per day</t>
  </si>
  <si>
    <t>D2</t>
  </si>
  <si>
    <t>D3</t>
  </si>
  <si>
    <t>D4</t>
  </si>
  <si>
    <t>D5</t>
  </si>
  <si>
    <t>D6</t>
  </si>
  <si>
    <t>D7</t>
  </si>
  <si>
    <t>D8</t>
  </si>
  <si>
    <t>D9</t>
  </si>
  <si>
    <t>D10</t>
  </si>
  <si>
    <t>Si&lt;180</t>
  </si>
  <si>
    <t>Bi &lt;= 200</t>
  </si>
  <si>
    <t>Di &lt;300</t>
  </si>
  <si>
    <t>S1&lt;=150</t>
  </si>
  <si>
    <t>B1&lt;=150</t>
  </si>
  <si>
    <t>Storage cant be less than 0</t>
  </si>
  <si>
    <t>M1</t>
  </si>
  <si>
    <t>M2</t>
  </si>
  <si>
    <t>M3</t>
  </si>
  <si>
    <t>P1</t>
  </si>
  <si>
    <t>P3</t>
  </si>
  <si>
    <t>P2</t>
  </si>
  <si>
    <t xml:space="preserve">Maximize 90P1+120P2+150P3 </t>
  </si>
  <si>
    <t>2P1+2P2+1P3 &lt;=400</t>
  </si>
  <si>
    <t>3P1+4P2+6P3&lt;=240</t>
  </si>
  <si>
    <t>4P1+6P2+5P3 &lt;=320</t>
  </si>
  <si>
    <t>total hours available is 665</t>
  </si>
  <si>
    <t>Atlanta</t>
  </si>
  <si>
    <t>Phoenix</t>
  </si>
  <si>
    <t>Max</t>
  </si>
  <si>
    <t>Inventory Cost</t>
  </si>
  <si>
    <t>Objective function</t>
  </si>
  <si>
    <t>M1 Demand</t>
  </si>
  <si>
    <t>M2 Demand</t>
  </si>
  <si>
    <t>M3 Demand</t>
  </si>
  <si>
    <t>each plant can produce 300 max</t>
  </si>
  <si>
    <t>PCB</t>
  </si>
  <si>
    <t>MC</t>
  </si>
  <si>
    <t>AL</t>
  </si>
  <si>
    <t>HL</t>
  </si>
  <si>
    <t>FL</t>
  </si>
  <si>
    <t>SL</t>
  </si>
  <si>
    <t>ML</t>
  </si>
  <si>
    <t>EL</t>
  </si>
  <si>
    <t>WSP</t>
  </si>
  <si>
    <t>Mfr Cost</t>
  </si>
  <si>
    <t>Objective Fn (max(53HL+38FL+33SL+32ML+38EL))</t>
  </si>
  <si>
    <t>PCB Consumption</t>
  </si>
  <si>
    <t>R consmption</t>
  </si>
  <si>
    <t>MC Consumption</t>
  </si>
  <si>
    <t>AL Consumption</t>
  </si>
  <si>
    <t>All units more than 500</t>
  </si>
  <si>
    <t>FL-2HL&gt;=0</t>
  </si>
  <si>
    <t>N1</t>
  </si>
  <si>
    <t>N2</t>
  </si>
  <si>
    <t>N3</t>
  </si>
  <si>
    <t>T3</t>
  </si>
  <si>
    <t>Reach</t>
  </si>
  <si>
    <t>N1&lt;=10</t>
  </si>
  <si>
    <t>N2&gt;10</t>
  </si>
  <si>
    <t>N2&lt;=20</t>
  </si>
  <si>
    <t>N3&lt;=30</t>
  </si>
  <si>
    <t>N3&gt;20</t>
  </si>
  <si>
    <t>T3&gt;10</t>
  </si>
  <si>
    <t>T1&lt;=5</t>
  </si>
  <si>
    <t>T2&lt;=10</t>
  </si>
  <si>
    <t>T3&lt;=15</t>
  </si>
  <si>
    <t>T2&gt;5</t>
  </si>
  <si>
    <t>1000N1+900N2+800N3+12000T1+10000T2+8000T3 &lt;=145000</t>
  </si>
  <si>
    <t>Worksheet: [CTRSolves.xlsx]3-25</t>
  </si>
  <si>
    <t>Cell</t>
  </si>
  <si>
    <t>Name</t>
  </si>
  <si>
    <t>Variable Cells</t>
  </si>
  <si>
    <t>$B$2</t>
  </si>
  <si>
    <t>N1 Qty</t>
  </si>
  <si>
    <t>$B$3</t>
  </si>
  <si>
    <t>N2 Qty</t>
  </si>
  <si>
    <t>$B$4</t>
  </si>
  <si>
    <t>N3 Qty</t>
  </si>
  <si>
    <t>$B$5</t>
  </si>
  <si>
    <t>T1 Qty</t>
  </si>
  <si>
    <t>$B$6</t>
  </si>
  <si>
    <t>T2 Qty</t>
  </si>
  <si>
    <t>$B$7</t>
  </si>
  <si>
    <t>T3 Qty</t>
  </si>
  <si>
    <t>$B$13</t>
  </si>
  <si>
    <t>N2&gt;10 Qty</t>
  </si>
  <si>
    <t>$B$14</t>
  </si>
  <si>
    <t>N3&gt;20 Qty</t>
  </si>
  <si>
    <t>$B$15</t>
  </si>
  <si>
    <t>T2&gt;5 Qty</t>
  </si>
  <si>
    <t>$B$16</t>
  </si>
  <si>
    <t>T3&gt;10 Qty</t>
  </si>
  <si>
    <t>$B$17</t>
  </si>
  <si>
    <t>N1&lt;=10 Qty</t>
  </si>
  <si>
    <t>$B$18</t>
  </si>
  <si>
    <t>N2&lt;=20 Qty</t>
  </si>
  <si>
    <t>$B$19</t>
  </si>
  <si>
    <t>N3&lt;=30 Qty</t>
  </si>
  <si>
    <t>$B$20</t>
  </si>
  <si>
    <t>T1&lt;=5 Qty</t>
  </si>
  <si>
    <t>$B$21</t>
  </si>
  <si>
    <t>T2&lt;=10 Qty</t>
  </si>
  <si>
    <t>T3&lt;=15 Qty</t>
  </si>
  <si>
    <t>1000N1+900N2+800N3+12000T1+10000T2+8000T3 &lt;=145000 Qty</t>
  </si>
  <si>
    <t>Microsoft Excel 16.48 Sensitivity Report</t>
  </si>
  <si>
    <t>Report Created: 08/05/21 11:55:14 AM</t>
  </si>
  <si>
    <t>Final</t>
  </si>
  <si>
    <t>Value</t>
  </si>
  <si>
    <t>Reduced</t>
  </si>
  <si>
    <t>Objective</t>
  </si>
  <si>
    <t>Coefficient</t>
  </si>
  <si>
    <t>Allowable</t>
  </si>
  <si>
    <t>Increase</t>
  </si>
  <si>
    <t>Decrease</t>
  </si>
  <si>
    <t>Shadow</t>
  </si>
  <si>
    <t>Price</t>
  </si>
  <si>
    <t>Constraint</t>
  </si>
  <si>
    <t>R.H. Side</t>
  </si>
  <si>
    <t>$B$11</t>
  </si>
  <si>
    <t>$B$12</t>
  </si>
  <si>
    <t>N1-N2&gt;=0</t>
  </si>
  <si>
    <t>N2-N3&gt;=0</t>
  </si>
  <si>
    <t>T1-T2&gt;=0</t>
  </si>
  <si>
    <t>T2-T3&gt;=0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</si>
</sst>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color theme="1"/>
      <name val="Calibri"/>
      <family val="2"/>
      <scheme val="minor"/>
    </font>
    <font>
      <sz val="8"/>
      <color theme="1"/>
      <name val="Calibri (Body)"/>
    </font>
    <font>
      <sz val="12"/>
      <color rgb="FF006100"/>
      <name val="Calibri"/>
      <family val="2"/>
      <scheme val="minor"/>
    </font>
    <font>
      <sz val="12"/>
      <color theme="2"/>
      <name val="Calibri"/>
      <family val="2"/>
      <scheme val="minor"/>
    </font>
    <font>
      <sz val="8"/>
      <name val="Calibri"/>
      <family val="2"/>
      <scheme val="minor"/>
    </font>
    <font>
      <sz val="10"/>
      <color rgb="FF211808"/>
      <name val="Helvetica"/>
      <family val="2"/>
    </font>
    <font>
      <b/>
      <sz val="12"/>
      <color rgb="FF006100"/>
      <name val="Calibri"/>
      <family val="2"/>
      <scheme val="minor"/>
    </font>
    <font>
      <b/>
      <sz val="12"/>
      <color indexed="18"/>
      <name val="Calibri"/>
      <family val="2"/>
      <scheme val="minor"/>
    </font>
  </fonts>
  <fills count="7">
    <fill>
      <patternFill patternType="none"/>
    </fill>
    <fill>
      <patternFill patternType="gray125"/>
    </fill>
    <fill>
      <patternFill patternType="solid">
        <fgColor rgb="FFC6EFCE"/>
      </patternFill>
    </fill>
    <fill>
      <patternFill patternType="solid">
        <fgColor theme="4"/>
        <bgColor indexed="64"/>
      </patternFill>
    </fill>
    <fill>
      <patternFill patternType="solid">
        <fgColor theme="5"/>
        <bgColor indexed="64"/>
      </patternFill>
    </fill>
    <fill>
      <patternFill patternType="solid">
        <fgColor theme="9"/>
        <bgColor indexed="64"/>
      </patternFill>
    </fill>
    <fill>
      <patternFill patternType="solid">
        <fgColor theme="7" tint="0.399975585192419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medium">
        <color indexed="23"/>
      </top>
      <bottom/>
      <diagonal/>
    </border>
    <border>
      <left/>
      <right/>
      <top/>
      <bottom style="medium">
        <color indexed="23"/>
      </bottom>
      <diagonal/>
    </border>
    <border>
      <left/>
      <right/>
      <top style="thin">
        <color indexed="23"/>
      </top>
      <bottom style="medium">
        <color indexed="23"/>
      </bottom>
      <diagonal/>
    </border>
    <border>
      <left/>
      <right/>
      <top style="thin">
        <color indexed="23"/>
      </top>
      <bottom/>
      <diagonal/>
    </border>
  </borders>
  <cellStyleXfs count="2">
    <xf numFmtId="0" fontId="0" fillId="0" borderId="0"/>
    <xf numFmtId="0" fontId="3" fillId="2" borderId="0" applyNumberFormat="0" applyBorder="0" applyAlignment="0" applyProtection="0"/>
  </cellStyleXfs>
  <cellXfs count="39">
    <xf numFmtId="0" fontId="0" fillId="0" borderId="0" xfId="0"/>
    <xf numFmtId="0" fontId="0" fillId="0" borderId="1" xfId="0" applyBorder="1"/>
    <xf numFmtId="0" fontId="1" fillId="0" borderId="1" xfId="0" applyFont="1" applyBorder="1" applyAlignment="1">
      <alignment horizontal="center"/>
    </xf>
    <xf numFmtId="0" fontId="0" fillId="0" borderId="1" xfId="0" applyBorder="1" applyAlignment="1">
      <alignment horizontal="center"/>
    </xf>
    <xf numFmtId="0" fontId="0" fillId="0" borderId="0" xfId="0" applyAlignment="1">
      <alignment horizontal="right"/>
    </xf>
    <xf numFmtId="0" fontId="0" fillId="0" borderId="0" xfId="0" applyAlignment="1">
      <alignment horizontal="center" vertical="center"/>
    </xf>
    <xf numFmtId="0" fontId="0" fillId="0" borderId="0" xfId="0" applyAlignment="1">
      <alignment horizontal="center"/>
    </xf>
    <xf numFmtId="0" fontId="1" fillId="0" borderId="0" xfId="0" applyFont="1" applyAlignment="1">
      <alignment horizontal="right"/>
    </xf>
    <xf numFmtId="0" fontId="1" fillId="0" borderId="0" xfId="0" applyFont="1" applyAlignment="1">
      <alignment horizontal="center"/>
    </xf>
    <xf numFmtId="0" fontId="1" fillId="0" borderId="0" xfId="0" applyFont="1" applyAlignment="1">
      <alignment horizontal="center" vertical="center"/>
    </xf>
    <xf numFmtId="0" fontId="0" fillId="0" borderId="0" xfId="0" applyAlignment="1">
      <alignment horizontal="right" wrapText="1"/>
    </xf>
    <xf numFmtId="0" fontId="1" fillId="0" borderId="2" xfId="0" applyFont="1" applyBorder="1"/>
    <xf numFmtId="0" fontId="2" fillId="0" borderId="0" xfId="0" applyFont="1" applyAlignment="1">
      <alignment horizontal="left" vertical="center" wrapText="1"/>
    </xf>
    <xf numFmtId="0" fontId="0" fillId="0" borderId="0" xfId="0" applyAlignment="1">
      <alignment horizontal="left" vertical="center"/>
    </xf>
    <xf numFmtId="0" fontId="0" fillId="0" borderId="0" xfId="0" applyAlignment="1">
      <alignment horizontal="center" wrapText="1"/>
    </xf>
    <xf numFmtId="0" fontId="4" fillId="3" borderId="1" xfId="0" applyFont="1" applyFill="1" applyBorder="1" applyAlignment="1">
      <alignment horizontal="center"/>
    </xf>
    <xf numFmtId="0" fontId="0" fillId="4" borderId="1" xfId="0" applyFill="1" applyBorder="1" applyAlignment="1">
      <alignment horizontal="center"/>
    </xf>
    <xf numFmtId="0" fontId="0" fillId="4" borderId="3" xfId="0" applyFill="1" applyBorder="1" applyAlignment="1">
      <alignment horizontal="center"/>
    </xf>
    <xf numFmtId="0" fontId="0" fillId="5" borderId="1" xfId="0" applyFill="1" applyBorder="1" applyAlignment="1">
      <alignment horizontal="center"/>
    </xf>
    <xf numFmtId="0" fontId="0" fillId="6" borderId="0" xfId="0" applyFill="1" applyAlignment="1">
      <alignment horizontal="center"/>
    </xf>
    <xf numFmtId="0" fontId="1" fillId="0" borderId="0" xfId="0" applyFont="1" applyAlignment="1">
      <alignment horizontal="center"/>
    </xf>
    <xf numFmtId="0" fontId="1" fillId="0" borderId="0" xfId="0" applyFont="1" applyAlignment="1"/>
    <xf numFmtId="0" fontId="0" fillId="0" borderId="0" xfId="0" applyAlignment="1"/>
    <xf numFmtId="0" fontId="4" fillId="3" borderId="4" xfId="0" applyFont="1" applyFill="1" applyBorder="1" applyAlignment="1">
      <alignment horizontal="center"/>
    </xf>
    <xf numFmtId="0" fontId="1" fillId="0" borderId="0" xfId="0" applyFont="1" applyAlignment="1">
      <alignment horizontal="right" vertical="center"/>
    </xf>
    <xf numFmtId="0" fontId="0" fillId="0" borderId="0" xfId="0" quotePrefix="1" applyAlignment="1">
      <alignment horizontal="right"/>
    </xf>
    <xf numFmtId="0" fontId="1" fillId="0" borderId="0" xfId="0" applyFont="1"/>
    <xf numFmtId="4" fontId="6" fillId="0" borderId="0" xfId="0" applyNumberFormat="1" applyFont="1" applyAlignment="1">
      <alignment horizontal="center" vertical="center"/>
    </xf>
    <xf numFmtId="4"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right" vertical="center"/>
    </xf>
    <xf numFmtId="0" fontId="0" fillId="0" borderId="0" xfId="0" applyAlignment="1">
      <alignment horizontal="center" vertical="center" wrapText="1"/>
    </xf>
    <xf numFmtId="0" fontId="7" fillId="2" borderId="0" xfId="1" applyFont="1"/>
    <xf numFmtId="0" fontId="0" fillId="0" borderId="0" xfId="0" applyAlignment="1">
      <alignment horizontal="right" vertical="center" wrapText="1"/>
    </xf>
    <xf numFmtId="0" fontId="1" fillId="0" borderId="0" xfId="0" applyFont="1" applyAlignment="1">
      <alignment horizontal="right" vertical="center" wrapText="1"/>
    </xf>
    <xf numFmtId="0" fontId="0" fillId="0" borderId="7" xfId="0" applyFill="1" applyBorder="1" applyAlignment="1"/>
    <xf numFmtId="0" fontId="0" fillId="0" borderId="8" xfId="0" applyFill="1" applyBorder="1" applyAlignment="1"/>
    <xf numFmtId="0" fontId="8" fillId="0" borderId="5" xfId="0" applyFont="1" applyFill="1" applyBorder="1" applyAlignment="1">
      <alignment horizontal="center"/>
    </xf>
    <xf numFmtId="0" fontId="8" fillId="0" borderId="6" xfId="0" applyFont="1" applyFill="1" applyBorder="1" applyAlignment="1">
      <alignment horizontal="center"/>
    </xf>
  </cellXfs>
  <cellStyles count="2">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8.png"/></Relationships>
</file>

<file path=xl/drawings/_rels/drawing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4</xdr:col>
      <xdr:colOff>369690</xdr:colOff>
      <xdr:row>17</xdr:row>
      <xdr:rowOff>168670</xdr:rowOff>
    </xdr:from>
    <xdr:to>
      <xdr:col>15</xdr:col>
      <xdr:colOff>86554</xdr:colOff>
      <xdr:row>36</xdr:row>
      <xdr:rowOff>171177</xdr:rowOff>
    </xdr:to>
    <xdr:pic>
      <xdr:nvPicPr>
        <xdr:cNvPr id="2" name="Picture 1">
          <a:extLst>
            <a:ext uri="{FF2B5EF4-FFF2-40B4-BE49-F238E27FC236}">
              <a16:creationId xmlns:a16="http://schemas.microsoft.com/office/drawing/2014/main" id="{7A664537-5986-E64C-BB5C-5AA2AC4E7BD3}"/>
            </a:ext>
          </a:extLst>
        </xdr:cNvPr>
        <xdr:cNvPicPr>
          <a:picLocks noChangeAspect="1"/>
        </xdr:cNvPicPr>
      </xdr:nvPicPr>
      <xdr:blipFill>
        <a:blip xmlns:r="http://schemas.openxmlformats.org/officeDocument/2006/relationships" r:embed="rId1"/>
        <a:stretch>
          <a:fillRect/>
        </a:stretch>
      </xdr:blipFill>
      <xdr:spPr>
        <a:xfrm>
          <a:off x="6054924" y="3626443"/>
          <a:ext cx="8775536" cy="38670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186266</xdr:colOff>
      <xdr:row>0</xdr:row>
      <xdr:rowOff>0</xdr:rowOff>
    </xdr:from>
    <xdr:to>
      <xdr:col>15</xdr:col>
      <xdr:colOff>622299</xdr:colOff>
      <xdr:row>17</xdr:row>
      <xdr:rowOff>165100</xdr:rowOff>
    </xdr:to>
    <xdr:pic>
      <xdr:nvPicPr>
        <xdr:cNvPr id="2" name="Picture 1">
          <a:extLst>
            <a:ext uri="{FF2B5EF4-FFF2-40B4-BE49-F238E27FC236}">
              <a16:creationId xmlns:a16="http://schemas.microsoft.com/office/drawing/2014/main" id="{4FC1E404-52E0-2E4B-BC14-54CD9112ADFE}"/>
            </a:ext>
          </a:extLst>
        </xdr:cNvPr>
        <xdr:cNvPicPr>
          <a:picLocks noChangeAspect="1"/>
        </xdr:cNvPicPr>
      </xdr:nvPicPr>
      <xdr:blipFill>
        <a:blip xmlns:r="http://schemas.openxmlformats.org/officeDocument/2006/relationships" r:embed="rId1"/>
        <a:stretch>
          <a:fillRect/>
        </a:stretch>
      </xdr:blipFill>
      <xdr:spPr>
        <a:xfrm>
          <a:off x="7196666" y="0"/>
          <a:ext cx="7073900" cy="36195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368939</xdr:colOff>
      <xdr:row>21</xdr:row>
      <xdr:rowOff>106425</xdr:rowOff>
    </xdr:from>
    <xdr:to>
      <xdr:col>12</xdr:col>
      <xdr:colOff>369158</xdr:colOff>
      <xdr:row>35</xdr:row>
      <xdr:rowOff>154835</xdr:rowOff>
    </xdr:to>
    <xdr:pic>
      <xdr:nvPicPr>
        <xdr:cNvPr id="2" name="Picture 1">
          <a:extLst>
            <a:ext uri="{FF2B5EF4-FFF2-40B4-BE49-F238E27FC236}">
              <a16:creationId xmlns:a16="http://schemas.microsoft.com/office/drawing/2014/main" id="{4195E9AE-281A-D44F-8F5D-E15BA901E50E}"/>
            </a:ext>
          </a:extLst>
        </xdr:cNvPr>
        <xdr:cNvPicPr>
          <a:picLocks noChangeAspect="1"/>
        </xdr:cNvPicPr>
      </xdr:nvPicPr>
      <xdr:blipFill>
        <a:blip xmlns:r="http://schemas.openxmlformats.org/officeDocument/2006/relationships" r:embed="rId1"/>
        <a:stretch>
          <a:fillRect/>
        </a:stretch>
      </xdr:blipFill>
      <xdr:spPr>
        <a:xfrm>
          <a:off x="2837989" y="4427263"/>
          <a:ext cx="6775918" cy="292896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438108</xdr:colOff>
      <xdr:row>0</xdr:row>
      <xdr:rowOff>58482</xdr:rowOff>
    </xdr:from>
    <xdr:to>
      <xdr:col>13</xdr:col>
      <xdr:colOff>719157</xdr:colOff>
      <xdr:row>28</xdr:row>
      <xdr:rowOff>115469</xdr:rowOff>
    </xdr:to>
    <xdr:pic>
      <xdr:nvPicPr>
        <xdr:cNvPr id="3" name="Picture 2">
          <a:extLst>
            <a:ext uri="{FF2B5EF4-FFF2-40B4-BE49-F238E27FC236}">
              <a16:creationId xmlns:a16="http://schemas.microsoft.com/office/drawing/2014/main" id="{7C92EFF1-F727-F145-A507-6EBA9EBD4854}"/>
            </a:ext>
          </a:extLst>
        </xdr:cNvPr>
        <xdr:cNvPicPr>
          <a:picLocks noChangeAspect="1"/>
        </xdr:cNvPicPr>
      </xdr:nvPicPr>
      <xdr:blipFill>
        <a:blip xmlns:r="http://schemas.openxmlformats.org/officeDocument/2006/relationships" r:embed="rId1"/>
        <a:stretch>
          <a:fillRect/>
        </a:stretch>
      </xdr:blipFill>
      <xdr:spPr>
        <a:xfrm>
          <a:off x="5900638" y="58482"/>
          <a:ext cx="6064905" cy="584084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444349</xdr:colOff>
      <xdr:row>0</xdr:row>
      <xdr:rowOff>0</xdr:rowOff>
    </xdr:from>
    <xdr:to>
      <xdr:col>16</xdr:col>
      <xdr:colOff>355449</xdr:colOff>
      <xdr:row>11</xdr:row>
      <xdr:rowOff>65195</xdr:rowOff>
    </xdr:to>
    <xdr:pic>
      <xdr:nvPicPr>
        <xdr:cNvPr id="2" name="Picture 1">
          <a:extLst>
            <a:ext uri="{FF2B5EF4-FFF2-40B4-BE49-F238E27FC236}">
              <a16:creationId xmlns:a16="http://schemas.microsoft.com/office/drawing/2014/main" id="{031BC088-D95A-DF46-BC78-84AEDE22DAF6}"/>
            </a:ext>
          </a:extLst>
        </xdr:cNvPr>
        <xdr:cNvPicPr>
          <a:picLocks noChangeAspect="1"/>
        </xdr:cNvPicPr>
      </xdr:nvPicPr>
      <xdr:blipFill>
        <a:blip xmlns:r="http://schemas.openxmlformats.org/officeDocument/2006/relationships" r:embed="rId1"/>
        <a:stretch>
          <a:fillRect/>
        </a:stretch>
      </xdr:blipFill>
      <xdr:spPr>
        <a:xfrm>
          <a:off x="10426549" y="0"/>
          <a:ext cx="4889500" cy="2334262"/>
        </a:xfrm>
        <a:prstGeom prst="rect">
          <a:avLst/>
        </a:prstGeom>
      </xdr:spPr>
    </xdr:pic>
    <xdr:clientData/>
  </xdr:twoCellAnchor>
  <xdr:twoCellAnchor editAs="oneCell">
    <xdr:from>
      <xdr:col>10</xdr:col>
      <xdr:colOff>475330</xdr:colOff>
      <xdr:row>11</xdr:row>
      <xdr:rowOff>66827</xdr:rowOff>
    </xdr:from>
    <xdr:to>
      <xdr:col>16</xdr:col>
      <xdr:colOff>155734</xdr:colOff>
      <xdr:row>26</xdr:row>
      <xdr:rowOff>68035</xdr:rowOff>
    </xdr:to>
    <xdr:pic>
      <xdr:nvPicPr>
        <xdr:cNvPr id="3" name="Picture 2">
          <a:extLst>
            <a:ext uri="{FF2B5EF4-FFF2-40B4-BE49-F238E27FC236}">
              <a16:creationId xmlns:a16="http://schemas.microsoft.com/office/drawing/2014/main" id="{AC440174-03BF-A04D-8C77-182DFA3B9B4D}"/>
            </a:ext>
          </a:extLst>
        </xdr:cNvPr>
        <xdr:cNvPicPr>
          <a:picLocks noChangeAspect="1"/>
        </xdr:cNvPicPr>
      </xdr:nvPicPr>
      <xdr:blipFill>
        <a:blip xmlns:r="http://schemas.openxmlformats.org/officeDocument/2006/relationships" r:embed="rId2"/>
        <a:stretch>
          <a:fillRect/>
        </a:stretch>
      </xdr:blipFill>
      <xdr:spPr>
        <a:xfrm>
          <a:off x="10457530" y="2335894"/>
          <a:ext cx="4658804" cy="304920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982133</xdr:colOff>
      <xdr:row>0</xdr:row>
      <xdr:rowOff>33491</xdr:rowOff>
    </xdr:from>
    <xdr:to>
      <xdr:col>12</xdr:col>
      <xdr:colOff>254000</xdr:colOff>
      <xdr:row>27</xdr:row>
      <xdr:rowOff>76199</xdr:rowOff>
    </xdr:to>
    <xdr:pic>
      <xdr:nvPicPr>
        <xdr:cNvPr id="2" name="Picture 1">
          <a:extLst>
            <a:ext uri="{FF2B5EF4-FFF2-40B4-BE49-F238E27FC236}">
              <a16:creationId xmlns:a16="http://schemas.microsoft.com/office/drawing/2014/main" id="{C6A17EF1-7819-B84F-80FF-9AB71E9BADAC}"/>
            </a:ext>
          </a:extLst>
        </xdr:cNvPr>
        <xdr:cNvPicPr>
          <a:picLocks noChangeAspect="1"/>
        </xdr:cNvPicPr>
      </xdr:nvPicPr>
      <xdr:blipFill>
        <a:blip xmlns:r="http://schemas.openxmlformats.org/officeDocument/2006/relationships" r:embed="rId1"/>
        <a:stretch>
          <a:fillRect/>
        </a:stretch>
      </xdr:blipFill>
      <xdr:spPr>
        <a:xfrm>
          <a:off x="6620933" y="33491"/>
          <a:ext cx="6375400" cy="552910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792666</xdr:colOff>
      <xdr:row>22</xdr:row>
      <xdr:rowOff>42915</xdr:rowOff>
    </xdr:from>
    <xdr:to>
      <xdr:col>17</xdr:col>
      <xdr:colOff>259324</xdr:colOff>
      <xdr:row>51</xdr:row>
      <xdr:rowOff>111404</xdr:rowOff>
    </xdr:to>
    <xdr:pic>
      <xdr:nvPicPr>
        <xdr:cNvPr id="2" name="Picture 1">
          <a:extLst>
            <a:ext uri="{FF2B5EF4-FFF2-40B4-BE49-F238E27FC236}">
              <a16:creationId xmlns:a16="http://schemas.microsoft.com/office/drawing/2014/main" id="{42BA4908-8A85-9945-8599-5F8565CE6E38}"/>
            </a:ext>
          </a:extLst>
        </xdr:cNvPr>
        <xdr:cNvPicPr>
          <a:picLocks noChangeAspect="1"/>
        </xdr:cNvPicPr>
      </xdr:nvPicPr>
      <xdr:blipFill>
        <a:blip xmlns:r="http://schemas.openxmlformats.org/officeDocument/2006/relationships" r:embed="rId1"/>
        <a:stretch>
          <a:fillRect/>
        </a:stretch>
      </xdr:blipFill>
      <xdr:spPr>
        <a:xfrm>
          <a:off x="9849771" y="4454494"/>
          <a:ext cx="8534903" cy="588375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9</xdr:col>
      <xdr:colOff>413894</xdr:colOff>
      <xdr:row>5</xdr:row>
      <xdr:rowOff>120897</xdr:rowOff>
    </xdr:from>
    <xdr:to>
      <xdr:col>19</xdr:col>
      <xdr:colOff>704937</xdr:colOff>
      <xdr:row>34</xdr:row>
      <xdr:rowOff>189386</xdr:rowOff>
    </xdr:to>
    <xdr:pic>
      <xdr:nvPicPr>
        <xdr:cNvPr id="2" name="Picture 1">
          <a:extLst>
            <a:ext uri="{FF2B5EF4-FFF2-40B4-BE49-F238E27FC236}">
              <a16:creationId xmlns:a16="http://schemas.microsoft.com/office/drawing/2014/main" id="{4D46E3C0-0975-A846-9F15-888EBC0A9500}"/>
            </a:ext>
          </a:extLst>
        </xdr:cNvPr>
        <xdr:cNvPicPr>
          <a:picLocks noChangeAspect="1"/>
        </xdr:cNvPicPr>
      </xdr:nvPicPr>
      <xdr:blipFill>
        <a:blip xmlns:r="http://schemas.openxmlformats.org/officeDocument/2006/relationships" r:embed="rId1"/>
        <a:stretch>
          <a:fillRect/>
        </a:stretch>
      </xdr:blipFill>
      <xdr:spPr>
        <a:xfrm>
          <a:off x="11877315" y="1123529"/>
          <a:ext cx="8534903" cy="5883752"/>
        </a:xfrm>
        <a:prstGeom prst="rect">
          <a:avLst/>
        </a:prstGeom>
      </xdr:spPr>
    </xdr:pic>
    <xdr:clientData/>
  </xdr:twoCellAnchor>
  <xdr:twoCellAnchor editAs="oneCell">
    <xdr:from>
      <xdr:col>9</xdr:col>
      <xdr:colOff>367633</xdr:colOff>
      <xdr:row>34</xdr:row>
      <xdr:rowOff>178245</xdr:rowOff>
    </xdr:from>
    <xdr:to>
      <xdr:col>19</xdr:col>
      <xdr:colOff>701843</xdr:colOff>
      <xdr:row>54</xdr:row>
      <xdr:rowOff>103908</xdr:rowOff>
    </xdr:to>
    <xdr:pic>
      <xdr:nvPicPr>
        <xdr:cNvPr id="3" name="Picture 2">
          <a:extLst>
            <a:ext uri="{FF2B5EF4-FFF2-40B4-BE49-F238E27FC236}">
              <a16:creationId xmlns:a16="http://schemas.microsoft.com/office/drawing/2014/main" id="{B73316CE-14EE-9445-BABB-596ADF997182}"/>
            </a:ext>
          </a:extLst>
        </xdr:cNvPr>
        <xdr:cNvPicPr>
          <a:picLocks noChangeAspect="1"/>
        </xdr:cNvPicPr>
      </xdr:nvPicPr>
      <xdr:blipFill>
        <a:blip xmlns:r="http://schemas.openxmlformats.org/officeDocument/2006/relationships" r:embed="rId2"/>
        <a:stretch>
          <a:fillRect/>
        </a:stretch>
      </xdr:blipFill>
      <xdr:spPr>
        <a:xfrm>
          <a:off x="11831054" y="6996140"/>
          <a:ext cx="8578070" cy="393618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197838</xdr:colOff>
      <xdr:row>13</xdr:row>
      <xdr:rowOff>101205</xdr:rowOff>
    </xdr:from>
    <xdr:to>
      <xdr:col>14</xdr:col>
      <xdr:colOff>158079</xdr:colOff>
      <xdr:row>37</xdr:row>
      <xdr:rowOff>63105</xdr:rowOff>
    </xdr:to>
    <xdr:pic>
      <xdr:nvPicPr>
        <xdr:cNvPr id="2" name="Picture 1">
          <a:extLst>
            <a:ext uri="{FF2B5EF4-FFF2-40B4-BE49-F238E27FC236}">
              <a16:creationId xmlns:a16="http://schemas.microsoft.com/office/drawing/2014/main" id="{673CF1AE-0EA3-2249-A3CF-D00F6A773F20}"/>
            </a:ext>
          </a:extLst>
        </xdr:cNvPr>
        <xdr:cNvPicPr>
          <a:picLocks noChangeAspect="1"/>
        </xdr:cNvPicPr>
      </xdr:nvPicPr>
      <xdr:blipFill>
        <a:blip xmlns:r="http://schemas.openxmlformats.org/officeDocument/2006/relationships" r:embed="rId1"/>
        <a:stretch>
          <a:fillRect/>
        </a:stretch>
      </xdr:blipFill>
      <xdr:spPr>
        <a:xfrm>
          <a:off x="4993863" y="2767416"/>
          <a:ext cx="7414589" cy="488413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FECEE-991D-7E44-A5A9-46BF976CE07A}">
  <dimension ref="A1:D14"/>
  <sheetViews>
    <sheetView workbookViewId="0">
      <selection activeCell="B10" sqref="B10"/>
    </sheetView>
  </sheetViews>
  <sheetFormatPr baseColWidth="10" defaultRowHeight="16" x14ac:dyDescent="0.2"/>
  <cols>
    <col min="1" max="1" width="24.83203125" style="4" bestFit="1" customWidth="1"/>
  </cols>
  <sheetData>
    <row r="1" spans="1:4" x14ac:dyDescent="0.2">
      <c r="A1" s="4" t="s">
        <v>82</v>
      </c>
      <c r="B1">
        <v>15</v>
      </c>
    </row>
    <row r="2" spans="1:4" x14ac:dyDescent="0.2">
      <c r="A2" s="4" t="s">
        <v>83</v>
      </c>
      <c r="B2">
        <v>20</v>
      </c>
    </row>
    <row r="4" spans="1:4" x14ac:dyDescent="0.2">
      <c r="A4" s="4" t="s">
        <v>84</v>
      </c>
      <c r="B4">
        <v>20</v>
      </c>
    </row>
    <row r="5" spans="1:4" x14ac:dyDescent="0.2">
      <c r="A5" s="4" t="s">
        <v>85</v>
      </c>
      <c r="B5">
        <v>10</v>
      </c>
    </row>
    <row r="7" spans="1:4" x14ac:dyDescent="0.2">
      <c r="A7" s="4" t="s">
        <v>86</v>
      </c>
      <c r="B7">
        <v>120</v>
      </c>
    </row>
    <row r="8" spans="1:4" x14ac:dyDescent="0.2">
      <c r="A8" s="4" t="s">
        <v>87</v>
      </c>
      <c r="B8">
        <v>80</v>
      </c>
    </row>
    <row r="10" spans="1:4" x14ac:dyDescent="0.2">
      <c r="A10" s="4" t="s">
        <v>88</v>
      </c>
      <c r="B10">
        <f>SUMPRODUCT(B1:B2,B7:B8)</f>
        <v>3400</v>
      </c>
    </row>
    <row r="12" spans="1:4" x14ac:dyDescent="0.2">
      <c r="A12" s="4" t="s">
        <v>89</v>
      </c>
      <c r="B12">
        <f>B1</f>
        <v>15</v>
      </c>
      <c r="C12" t="s">
        <v>13</v>
      </c>
      <c r="D12">
        <v>40</v>
      </c>
    </row>
    <row r="13" spans="1:4" x14ac:dyDescent="0.2">
      <c r="A13" s="4" t="s">
        <v>90</v>
      </c>
      <c r="B13">
        <f>B2</f>
        <v>20</v>
      </c>
      <c r="C13" t="s">
        <v>13</v>
      </c>
      <c r="D13">
        <v>20</v>
      </c>
    </row>
    <row r="14" spans="1:4" x14ac:dyDescent="0.2">
      <c r="A14" s="4" t="s">
        <v>91</v>
      </c>
      <c r="B14">
        <f>SUMPRODUCT(B1:B2,B4:B5)</f>
        <v>500</v>
      </c>
      <c r="C14" t="s">
        <v>13</v>
      </c>
      <c r="D14">
        <v>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3823A-1CB7-2247-9287-191DEC7604AB}">
  <dimension ref="A1:E8"/>
  <sheetViews>
    <sheetView workbookViewId="0">
      <selection activeCell="D32" sqref="D32"/>
    </sheetView>
  </sheetViews>
  <sheetFormatPr baseColWidth="10" defaultRowHeight="16" x14ac:dyDescent="0.2"/>
  <cols>
    <col min="1" max="1" width="35.33203125" style="4" bestFit="1" customWidth="1"/>
  </cols>
  <sheetData>
    <row r="1" spans="1:5" x14ac:dyDescent="0.2">
      <c r="C1" t="s">
        <v>94</v>
      </c>
      <c r="D1" t="s">
        <v>95</v>
      </c>
      <c r="E1" t="s">
        <v>96</v>
      </c>
    </row>
    <row r="2" spans="1:5" x14ac:dyDescent="0.2">
      <c r="A2" s="4" t="s">
        <v>92</v>
      </c>
      <c r="B2">
        <v>2.8571428571428572</v>
      </c>
      <c r="C2" s="6">
        <v>800</v>
      </c>
      <c r="D2" s="6">
        <v>140</v>
      </c>
      <c r="E2">
        <v>0.4</v>
      </c>
    </row>
    <row r="3" spans="1:5" x14ac:dyDescent="0.2">
      <c r="A3" s="4" t="s">
        <v>93</v>
      </c>
      <c r="B3">
        <v>5.7142857142857144</v>
      </c>
      <c r="C3" s="6">
        <v>1000</v>
      </c>
      <c r="D3" s="6">
        <v>70</v>
      </c>
      <c r="E3">
        <v>0.8</v>
      </c>
    </row>
    <row r="4" spans="1:5" x14ac:dyDescent="0.2">
      <c r="A4" s="4" t="s">
        <v>97</v>
      </c>
      <c r="C4" s="6">
        <f>SUMPRODUCT(B2:B3,C2:C3)</f>
        <v>8000</v>
      </c>
      <c r="D4" s="6">
        <f>SUMPRODUCT(B2:B3,D2:D3)</f>
        <v>800</v>
      </c>
      <c r="E4">
        <f>SUMPRODUCT(B2:B3,E2:E3)</f>
        <v>5.7142857142857153</v>
      </c>
    </row>
    <row r="5" spans="1:5" x14ac:dyDescent="0.2">
      <c r="C5" s="6" t="s">
        <v>35</v>
      </c>
      <c r="D5" s="6" t="s">
        <v>35</v>
      </c>
    </row>
    <row r="6" spans="1:5" x14ac:dyDescent="0.2">
      <c r="C6" s="6">
        <v>8000</v>
      </c>
      <c r="D6" s="6">
        <v>700</v>
      </c>
    </row>
    <row r="8" spans="1:5" x14ac:dyDescent="0.2">
      <c r="A8" s="4" t="s">
        <v>98</v>
      </c>
      <c r="B8">
        <f>2*B2/3-B3/3</f>
        <v>0</v>
      </c>
      <c r="C8" t="s">
        <v>13</v>
      </c>
      <c r="D8">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A100B-84D3-7D49-A014-DADA7F0E93E7}">
  <dimension ref="A2:K15"/>
  <sheetViews>
    <sheetView zoomScale="222" workbookViewId="0">
      <selection activeCell="E27" sqref="E27"/>
    </sheetView>
  </sheetViews>
  <sheetFormatPr baseColWidth="10" defaultRowHeight="16" x14ac:dyDescent="0.2"/>
  <cols>
    <col min="1" max="1" width="2.83203125" bestFit="1" customWidth="1"/>
    <col min="2" max="4" width="7.1640625" bestFit="1" customWidth="1"/>
    <col min="8" max="8" width="20" bestFit="1" customWidth="1"/>
    <col min="10" max="10" width="3.1640625" bestFit="1" customWidth="1"/>
  </cols>
  <sheetData>
    <row r="2" spans="1:11" x14ac:dyDescent="0.2">
      <c r="A2" t="s">
        <v>0</v>
      </c>
      <c r="B2">
        <v>275000</v>
      </c>
      <c r="D2">
        <v>1</v>
      </c>
      <c r="E2" t="s">
        <v>3</v>
      </c>
      <c r="F2">
        <v>200000</v>
      </c>
    </row>
    <row r="3" spans="1:11" x14ac:dyDescent="0.2">
      <c r="A3" t="s">
        <v>1</v>
      </c>
      <c r="B3">
        <v>400000</v>
      </c>
      <c r="D3">
        <v>2</v>
      </c>
      <c r="E3" t="s">
        <v>4</v>
      </c>
      <c r="F3">
        <v>600000</v>
      </c>
    </row>
    <row r="4" spans="1:11" x14ac:dyDescent="0.2">
      <c r="A4" t="s">
        <v>2</v>
      </c>
      <c r="B4">
        <v>300000</v>
      </c>
      <c r="D4">
        <v>3</v>
      </c>
      <c r="E4" t="s">
        <v>5</v>
      </c>
      <c r="F4">
        <v>225000</v>
      </c>
    </row>
    <row r="7" spans="1:11" x14ac:dyDescent="0.2">
      <c r="A7" s="1"/>
      <c r="B7" s="2">
        <v>1</v>
      </c>
      <c r="C7" s="2">
        <v>2</v>
      </c>
      <c r="D7" s="2">
        <v>3</v>
      </c>
      <c r="G7" t="s">
        <v>6</v>
      </c>
    </row>
    <row r="8" spans="1:11" x14ac:dyDescent="0.2">
      <c r="A8" s="1" t="s">
        <v>0</v>
      </c>
      <c r="B8" s="1">
        <v>21</v>
      </c>
      <c r="C8" s="1">
        <v>50</v>
      </c>
      <c r="D8" s="1">
        <v>40</v>
      </c>
      <c r="E8">
        <f>SUMPRODUCT(B13:D13,B8:D8)</f>
        <v>7200000</v>
      </c>
      <c r="H8" t="s">
        <v>7</v>
      </c>
      <c r="I8">
        <f>SUM(B13:B15)</f>
        <v>200000</v>
      </c>
      <c r="J8" t="s">
        <v>13</v>
      </c>
      <c r="K8">
        <v>200000</v>
      </c>
    </row>
    <row r="9" spans="1:11" x14ac:dyDescent="0.2">
      <c r="A9" s="1" t="s">
        <v>1</v>
      </c>
      <c r="B9" s="1">
        <v>35</v>
      </c>
      <c r="C9" s="1">
        <v>30</v>
      </c>
      <c r="D9" s="1">
        <v>22</v>
      </c>
      <c r="E9">
        <f>SUMPRODUCT(B9:D9,B14:D14)</f>
        <v>10800000</v>
      </c>
      <c r="H9" t="s">
        <v>8</v>
      </c>
      <c r="I9">
        <f>SUM(C13:C15)</f>
        <v>550000</v>
      </c>
      <c r="J9" t="s">
        <v>13</v>
      </c>
      <c r="K9">
        <v>600000</v>
      </c>
    </row>
    <row r="10" spans="1:11" x14ac:dyDescent="0.2">
      <c r="A10" s="1" t="s">
        <v>2</v>
      </c>
      <c r="B10" s="1">
        <v>55</v>
      </c>
      <c r="C10" s="1">
        <v>20</v>
      </c>
      <c r="D10" s="1">
        <v>25</v>
      </c>
      <c r="E10">
        <f>SUMPRODUCT(B10:D10,B15:D15)</f>
        <v>6000000</v>
      </c>
      <c r="H10" t="s">
        <v>9</v>
      </c>
      <c r="I10">
        <f>SUM(D13:D15)</f>
        <v>225000</v>
      </c>
      <c r="J10" t="s">
        <v>13</v>
      </c>
      <c r="K10">
        <v>225000</v>
      </c>
    </row>
    <row r="11" spans="1:11" x14ac:dyDescent="0.2">
      <c r="E11">
        <f>SUM(E8:E10)</f>
        <v>24000000</v>
      </c>
      <c r="H11" t="s">
        <v>10</v>
      </c>
      <c r="I11">
        <f>SUM(B13:D13)</f>
        <v>275000</v>
      </c>
      <c r="J11" t="s">
        <v>14</v>
      </c>
      <c r="K11">
        <v>275000</v>
      </c>
    </row>
    <row r="12" spans="1:11" x14ac:dyDescent="0.2">
      <c r="A12" s="1"/>
      <c r="B12" s="2">
        <v>1</v>
      </c>
      <c r="C12" s="2">
        <v>2</v>
      </c>
      <c r="D12" s="2">
        <v>3</v>
      </c>
      <c r="H12" t="s">
        <v>11</v>
      </c>
      <c r="I12">
        <f>SUM(B14:D14)</f>
        <v>400000</v>
      </c>
      <c r="J12" t="s">
        <v>14</v>
      </c>
      <c r="K12">
        <v>400000</v>
      </c>
    </row>
    <row r="13" spans="1:11" x14ac:dyDescent="0.2">
      <c r="A13" s="1" t="s">
        <v>0</v>
      </c>
      <c r="B13" s="1">
        <v>200000</v>
      </c>
      <c r="C13" s="1">
        <v>0</v>
      </c>
      <c r="D13" s="1">
        <v>75000</v>
      </c>
      <c r="H13" t="s">
        <v>12</v>
      </c>
      <c r="I13">
        <f>SUM(B15:D15)</f>
        <v>300000</v>
      </c>
      <c r="J13" t="s">
        <v>14</v>
      </c>
      <c r="K13">
        <v>300000</v>
      </c>
    </row>
    <row r="14" spans="1:11" x14ac:dyDescent="0.2">
      <c r="A14" s="1" t="s">
        <v>1</v>
      </c>
      <c r="B14" s="1">
        <v>0</v>
      </c>
      <c r="C14" s="1">
        <v>250000</v>
      </c>
      <c r="D14" s="1">
        <v>150000</v>
      </c>
    </row>
    <row r="15" spans="1:11" x14ac:dyDescent="0.2">
      <c r="A15" s="1" t="s">
        <v>2</v>
      </c>
      <c r="B15" s="1">
        <v>0</v>
      </c>
      <c r="C15" s="1">
        <v>300000</v>
      </c>
      <c r="D15" s="1">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62C86-FB6E-AE4F-8691-1CFB952F445A}">
  <dimension ref="A1:I11"/>
  <sheetViews>
    <sheetView zoomScale="251" workbookViewId="0">
      <selection activeCell="E1" sqref="E1:I8"/>
    </sheetView>
  </sheetViews>
  <sheetFormatPr baseColWidth="10" defaultRowHeight="16" x14ac:dyDescent="0.2"/>
  <cols>
    <col min="1" max="1" width="44.83203125" bestFit="1" customWidth="1"/>
    <col min="3" max="3" width="3.1640625" bestFit="1" customWidth="1"/>
  </cols>
  <sheetData>
    <row r="1" spans="1:9" x14ac:dyDescent="0.2">
      <c r="A1" s="4" t="s">
        <v>15</v>
      </c>
      <c r="B1">
        <v>10</v>
      </c>
      <c r="E1" s="12" t="s">
        <v>78</v>
      </c>
      <c r="F1" s="13"/>
      <c r="G1" s="13"/>
      <c r="H1" s="13"/>
      <c r="I1" s="13"/>
    </row>
    <row r="2" spans="1:9" x14ac:dyDescent="0.2">
      <c r="A2" s="4" t="s">
        <v>0</v>
      </c>
      <c r="B2">
        <v>25</v>
      </c>
      <c r="E2" s="13"/>
      <c r="F2" s="13"/>
      <c r="G2" s="13"/>
      <c r="H2" s="13"/>
      <c r="I2" s="13"/>
    </row>
    <row r="3" spans="1:9" x14ac:dyDescent="0.2">
      <c r="A3" s="4"/>
      <c r="E3" s="13"/>
      <c r="F3" s="13"/>
      <c r="G3" s="13"/>
      <c r="H3" s="13"/>
      <c r="I3" s="13"/>
    </row>
    <row r="4" spans="1:9" x14ac:dyDescent="0.2">
      <c r="A4" s="4" t="s">
        <v>79</v>
      </c>
      <c r="E4" s="13"/>
      <c r="F4" s="13"/>
      <c r="G4" s="13"/>
      <c r="H4" s="13"/>
      <c r="I4" s="13"/>
    </row>
    <row r="5" spans="1:9" x14ac:dyDescent="0.2">
      <c r="A5" s="4" t="s">
        <v>80</v>
      </c>
      <c r="E5" s="13"/>
      <c r="F5" s="13"/>
      <c r="G5" s="13"/>
      <c r="H5" s="13"/>
      <c r="I5" s="13"/>
    </row>
    <row r="6" spans="1:9" ht="34" x14ac:dyDescent="0.2">
      <c r="A6" s="10" t="s">
        <v>81</v>
      </c>
      <c r="B6">
        <f>300000*0.05*B1+500000*0.05*B2 - 5000*B1-2000*B2</f>
        <v>675000</v>
      </c>
      <c r="E6" s="13"/>
      <c r="F6" s="13"/>
      <c r="G6" s="13"/>
      <c r="H6" s="13"/>
      <c r="I6" s="13"/>
    </row>
    <row r="7" spans="1:9" x14ac:dyDescent="0.2">
      <c r="A7" s="4"/>
      <c r="E7" s="13"/>
      <c r="F7" s="13"/>
      <c r="G7" s="13"/>
      <c r="H7" s="13"/>
      <c r="I7" s="13"/>
    </row>
    <row r="8" spans="1:9" x14ac:dyDescent="0.2">
      <c r="A8" s="4"/>
      <c r="E8" s="13"/>
      <c r="F8" s="13"/>
      <c r="G8" s="13"/>
      <c r="H8" s="13"/>
      <c r="I8" s="13"/>
    </row>
    <row r="9" spans="1:9" x14ac:dyDescent="0.2">
      <c r="A9" s="4" t="s">
        <v>16</v>
      </c>
      <c r="B9">
        <f>5000*B1+2000*B2</f>
        <v>100000</v>
      </c>
      <c r="C9" t="s">
        <v>14</v>
      </c>
      <c r="D9">
        <v>100000</v>
      </c>
    </row>
    <row r="10" spans="1:9" x14ac:dyDescent="0.2">
      <c r="A10" s="4" t="s">
        <v>17</v>
      </c>
      <c r="B10">
        <f>5000*B1</f>
        <v>50000</v>
      </c>
      <c r="C10" t="s">
        <v>13</v>
      </c>
      <c r="D10">
        <v>70000</v>
      </c>
    </row>
    <row r="11" spans="1:9" x14ac:dyDescent="0.2">
      <c r="A11" s="4" t="s">
        <v>18</v>
      </c>
      <c r="B11">
        <f>2000*B2</f>
        <v>50000</v>
      </c>
      <c r="C11" t="s">
        <v>13</v>
      </c>
      <c r="D11">
        <v>50000</v>
      </c>
    </row>
  </sheetData>
  <mergeCells count="1">
    <mergeCell ref="E1:I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5A814-BC28-0146-83E2-1C63CAA4A06B}">
  <dimension ref="A1:D18"/>
  <sheetViews>
    <sheetView zoomScale="206" workbookViewId="0">
      <selection activeCell="B20" sqref="B20"/>
    </sheetView>
  </sheetViews>
  <sheetFormatPr baseColWidth="10" defaultRowHeight="16" x14ac:dyDescent="0.2"/>
  <cols>
    <col min="1" max="1" width="49.5" bestFit="1" customWidth="1"/>
    <col min="2" max="2" width="12.5" customWidth="1"/>
    <col min="3" max="3" width="16.1640625" bestFit="1" customWidth="1"/>
    <col min="4" max="4" width="10.83203125" style="6"/>
  </cols>
  <sheetData>
    <row r="1" spans="1:4" x14ac:dyDescent="0.2">
      <c r="B1" t="s">
        <v>25</v>
      </c>
      <c r="C1" t="s">
        <v>26</v>
      </c>
      <c r="D1" s="5" t="s">
        <v>27</v>
      </c>
    </row>
    <row r="2" spans="1:4" x14ac:dyDescent="0.2">
      <c r="A2" s="4" t="s">
        <v>19</v>
      </c>
      <c r="B2" s="5">
        <v>1.5</v>
      </c>
      <c r="C2" s="5">
        <v>2</v>
      </c>
      <c r="D2" s="5">
        <v>1000</v>
      </c>
    </row>
    <row r="3" spans="1:4" x14ac:dyDescent="0.2">
      <c r="A3" s="4" t="s">
        <v>20</v>
      </c>
      <c r="B3" s="5">
        <v>3</v>
      </c>
      <c r="C3" s="5">
        <v>4.5</v>
      </c>
      <c r="D3" s="5">
        <v>2000</v>
      </c>
    </row>
    <row r="4" spans="1:4" x14ac:dyDescent="0.2">
      <c r="A4" s="4" t="s">
        <v>21</v>
      </c>
      <c r="B4" s="5">
        <v>2.5</v>
      </c>
      <c r="C4" s="5">
        <v>1.5</v>
      </c>
      <c r="D4" s="5">
        <v>1500</v>
      </c>
    </row>
    <row r="5" spans="1:4" x14ac:dyDescent="0.2">
      <c r="A5" s="4"/>
      <c r="B5" s="5">
        <f>SUM(B2:B4)</f>
        <v>7</v>
      </c>
      <c r="C5" s="5">
        <f>SUM(C2:C4)</f>
        <v>8</v>
      </c>
      <c r="D5" s="5"/>
    </row>
    <row r="6" spans="1:4" x14ac:dyDescent="0.2">
      <c r="A6" s="4"/>
    </row>
    <row r="7" spans="1:4" x14ac:dyDescent="0.2">
      <c r="A7" s="4" t="s">
        <v>31</v>
      </c>
    </row>
    <row r="8" spans="1:4" x14ac:dyDescent="0.2">
      <c r="A8" s="4" t="s">
        <v>32</v>
      </c>
    </row>
    <row r="9" spans="1:4" x14ac:dyDescent="0.2">
      <c r="A9" s="4" t="s">
        <v>22</v>
      </c>
      <c r="B9">
        <v>405.79710144927537</v>
      </c>
    </row>
    <row r="10" spans="1:4" x14ac:dyDescent="0.2">
      <c r="A10" s="4" t="s">
        <v>23</v>
      </c>
      <c r="B10">
        <v>173.91304347826087</v>
      </c>
    </row>
    <row r="11" spans="1:4" x14ac:dyDescent="0.2">
      <c r="A11" s="4" t="s">
        <v>24</v>
      </c>
      <c r="B11">
        <f>(4*B9-B10)</f>
        <v>1449.2753623188405</v>
      </c>
      <c r="C11" t="s">
        <v>35</v>
      </c>
      <c r="D11" s="6">
        <v>0</v>
      </c>
    </row>
    <row r="12" spans="1:4" x14ac:dyDescent="0.2">
      <c r="A12" s="4" t="s">
        <v>34</v>
      </c>
      <c r="B12">
        <f>(7*B10-3*B9)</f>
        <v>0</v>
      </c>
      <c r="C12" t="s">
        <v>35</v>
      </c>
      <c r="D12" s="6">
        <v>0</v>
      </c>
    </row>
    <row r="13" spans="1:4" x14ac:dyDescent="0.2">
      <c r="A13" s="4" t="s">
        <v>28</v>
      </c>
      <c r="B13">
        <f>1.5*B9+2*B10</f>
        <v>956.52173913043475</v>
      </c>
      <c r="C13" t="s">
        <v>13</v>
      </c>
      <c r="D13" s="6">
        <v>1000</v>
      </c>
    </row>
    <row r="14" spans="1:4" x14ac:dyDescent="0.2">
      <c r="A14" s="4" t="s">
        <v>29</v>
      </c>
      <c r="B14">
        <f>3*B9+4.5*B10</f>
        <v>2000</v>
      </c>
      <c r="C14" t="s">
        <v>13</v>
      </c>
      <c r="D14" s="6">
        <v>2000</v>
      </c>
    </row>
    <row r="15" spans="1:4" x14ac:dyDescent="0.2">
      <c r="A15" s="4" t="s">
        <v>30</v>
      </c>
      <c r="B15">
        <f>2.5*B9+1.5*B10</f>
        <v>1275.3623188405797</v>
      </c>
      <c r="C15" t="s">
        <v>13</v>
      </c>
      <c r="D15" s="6">
        <v>1500</v>
      </c>
    </row>
    <row r="18" spans="1:2" x14ac:dyDescent="0.2">
      <c r="A18" s="4" t="s">
        <v>33</v>
      </c>
      <c r="B18">
        <f>350*B9+450*B10</f>
        <v>220289.85507246375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A4D2F-C5EB-AE4A-B885-D12B876A11FB}">
  <dimension ref="A1:I31"/>
  <sheetViews>
    <sheetView zoomScale="125" workbookViewId="0">
      <selection activeCell="F17" sqref="F17"/>
    </sheetView>
  </sheetViews>
  <sheetFormatPr baseColWidth="10" defaultRowHeight="16" x14ac:dyDescent="0.2"/>
  <cols>
    <col min="1" max="1" width="42.1640625" style="4" bestFit="1" customWidth="1"/>
  </cols>
  <sheetData>
    <row r="1" spans="1:9" x14ac:dyDescent="0.2">
      <c r="A1" s="7" t="s">
        <v>41</v>
      </c>
      <c r="C1" t="s">
        <v>38</v>
      </c>
      <c r="F1" s="2" t="s">
        <v>39</v>
      </c>
      <c r="G1" s="2" t="s">
        <v>0</v>
      </c>
      <c r="H1" s="2" t="s">
        <v>21</v>
      </c>
      <c r="I1" s="2" t="s">
        <v>2</v>
      </c>
    </row>
    <row r="2" spans="1:9" x14ac:dyDescent="0.2">
      <c r="A2" s="4" t="s">
        <v>19</v>
      </c>
      <c r="B2">
        <v>0.75000000000000244</v>
      </c>
      <c r="C2">
        <v>2.5</v>
      </c>
      <c r="F2" s="3">
        <v>20</v>
      </c>
      <c r="G2" s="3">
        <v>7</v>
      </c>
      <c r="H2" s="3">
        <v>4</v>
      </c>
      <c r="I2" s="3">
        <v>450</v>
      </c>
    </row>
    <row r="3" spans="1:9" x14ac:dyDescent="0.2">
      <c r="A3" s="4" t="s">
        <v>36</v>
      </c>
      <c r="B3">
        <v>9.9999999999999964E-2</v>
      </c>
      <c r="C3">
        <v>1.5</v>
      </c>
      <c r="F3" s="3">
        <v>10</v>
      </c>
      <c r="G3" s="3">
        <v>4</v>
      </c>
      <c r="H3" s="3">
        <v>2</v>
      </c>
      <c r="I3" s="3">
        <v>160</v>
      </c>
    </row>
    <row r="4" spans="1:9" x14ac:dyDescent="0.2">
      <c r="A4" s="4" t="s">
        <v>2</v>
      </c>
      <c r="B4">
        <v>9.9999999999999978E-2</v>
      </c>
      <c r="C4">
        <v>2</v>
      </c>
      <c r="F4" s="3">
        <v>10</v>
      </c>
      <c r="G4" s="3">
        <v>5</v>
      </c>
      <c r="H4" s="3">
        <v>1</v>
      </c>
      <c r="I4" s="3">
        <v>500</v>
      </c>
    </row>
    <row r="5" spans="1:9" x14ac:dyDescent="0.2">
      <c r="A5" s="4" t="s">
        <v>21</v>
      </c>
      <c r="B5">
        <v>0.94999999999999762</v>
      </c>
      <c r="C5">
        <v>3.5</v>
      </c>
      <c r="F5" s="3">
        <v>30</v>
      </c>
      <c r="G5" s="3">
        <v>9</v>
      </c>
      <c r="H5" s="3">
        <v>10</v>
      </c>
      <c r="I5" s="3">
        <v>300</v>
      </c>
    </row>
    <row r="6" spans="1:9" x14ac:dyDescent="0.2">
      <c r="A6" s="4" t="s">
        <v>37</v>
      </c>
      <c r="B6">
        <v>0.10000000000000003</v>
      </c>
      <c r="C6">
        <v>3</v>
      </c>
      <c r="F6" s="3">
        <v>20</v>
      </c>
      <c r="G6" s="3">
        <v>3</v>
      </c>
      <c r="H6" s="3">
        <v>1</v>
      </c>
      <c r="I6" s="3">
        <v>500</v>
      </c>
    </row>
    <row r="8" spans="1:9" x14ac:dyDescent="0.2">
      <c r="A8" s="4" t="s">
        <v>60</v>
      </c>
    </row>
    <row r="9" spans="1:9" x14ac:dyDescent="0.2">
      <c r="A9" s="7" t="s">
        <v>59</v>
      </c>
      <c r="B9">
        <f>SUMPRODUCT(B2:B6,C2:C6)</f>
        <v>5.849999999999997</v>
      </c>
    </row>
    <row r="11" spans="1:9" x14ac:dyDescent="0.2">
      <c r="A11" s="7" t="s">
        <v>45</v>
      </c>
    </row>
    <row r="12" spans="1:9" x14ac:dyDescent="0.2">
      <c r="A12" s="4" t="s">
        <v>58</v>
      </c>
      <c r="B12">
        <f>SUM(B2:B6)</f>
        <v>2</v>
      </c>
      <c r="C12" t="s">
        <v>14</v>
      </c>
      <c r="D12">
        <v>2</v>
      </c>
    </row>
    <row r="13" spans="1:9" x14ac:dyDescent="0.2">
      <c r="A13" s="4" t="s">
        <v>40</v>
      </c>
      <c r="B13">
        <f>SUMPRODUCT(B2:B6,F2:F6)</f>
        <v>47.499999999999979</v>
      </c>
      <c r="C13" t="s">
        <v>35</v>
      </c>
      <c r="D13">
        <v>40</v>
      </c>
    </row>
    <row r="14" spans="1:9" x14ac:dyDescent="0.2">
      <c r="A14" s="4" t="s">
        <v>42</v>
      </c>
      <c r="B14">
        <f>SUMPRODUCT(B2:B6,G2:G6)</f>
        <v>14.999999999999996</v>
      </c>
      <c r="C14" t="s">
        <v>35</v>
      </c>
      <c r="D14">
        <v>15</v>
      </c>
    </row>
    <row r="15" spans="1:9" x14ac:dyDescent="0.2">
      <c r="A15" s="4" t="s">
        <v>43</v>
      </c>
      <c r="B15">
        <f>SUMPRODUCT(B2:B6,H2:H6)</f>
        <v>12.899999999999986</v>
      </c>
      <c r="C15" t="s">
        <v>35</v>
      </c>
      <c r="D15">
        <v>10</v>
      </c>
    </row>
    <row r="16" spans="1:9" x14ac:dyDescent="0.2">
      <c r="A16" s="4" t="s">
        <v>44</v>
      </c>
      <c r="B16">
        <f>SUMPRODUCT(B2:B6,I2:I6)</f>
        <v>738.50000000000034</v>
      </c>
      <c r="C16" t="s">
        <v>35</v>
      </c>
      <c r="D16">
        <v>600</v>
      </c>
    </row>
    <row r="18" spans="1:4" x14ac:dyDescent="0.2">
      <c r="A18" s="7" t="s">
        <v>46</v>
      </c>
      <c r="B18">
        <f>SUM(B2:B6)/20</f>
        <v>0.1</v>
      </c>
    </row>
    <row r="19" spans="1:4" x14ac:dyDescent="0.2">
      <c r="A19" s="4" t="s">
        <v>47</v>
      </c>
      <c r="B19">
        <f>B2-$B$18</f>
        <v>0.65000000000000246</v>
      </c>
      <c r="C19" t="s">
        <v>35</v>
      </c>
      <c r="D19">
        <v>0</v>
      </c>
    </row>
    <row r="20" spans="1:4" x14ac:dyDescent="0.2">
      <c r="A20" s="4" t="s">
        <v>48</v>
      </c>
      <c r="B20">
        <f t="shared" ref="B20:B23" si="0">B3-$B$18</f>
        <v>0</v>
      </c>
      <c r="C20" t="s">
        <v>35</v>
      </c>
      <c r="D20">
        <v>0</v>
      </c>
    </row>
    <row r="21" spans="1:4" x14ac:dyDescent="0.2">
      <c r="A21" s="4" t="s">
        <v>49</v>
      </c>
      <c r="B21">
        <f t="shared" si="0"/>
        <v>0</v>
      </c>
      <c r="C21" t="s">
        <v>35</v>
      </c>
      <c r="D21">
        <v>0</v>
      </c>
    </row>
    <row r="22" spans="1:4" x14ac:dyDescent="0.2">
      <c r="A22" s="4" t="s">
        <v>50</v>
      </c>
      <c r="B22">
        <f t="shared" si="0"/>
        <v>0.84999999999999765</v>
      </c>
      <c r="C22" t="s">
        <v>35</v>
      </c>
      <c r="D22">
        <v>0</v>
      </c>
    </row>
    <row r="23" spans="1:4" x14ac:dyDescent="0.2">
      <c r="A23" s="4" t="s">
        <v>51</v>
      </c>
      <c r="B23">
        <f t="shared" si="0"/>
        <v>0</v>
      </c>
      <c r="C23" t="s">
        <v>35</v>
      </c>
      <c r="D23">
        <v>0</v>
      </c>
    </row>
    <row r="26" spans="1:4" x14ac:dyDescent="0.2">
      <c r="A26" s="7" t="s">
        <v>52</v>
      </c>
      <c r="B26">
        <f>SUM(B2:B6)/2</f>
        <v>1</v>
      </c>
    </row>
    <row r="27" spans="1:4" x14ac:dyDescent="0.2">
      <c r="A27" s="4" t="s">
        <v>53</v>
      </c>
      <c r="B27">
        <f>B2-$B$26</f>
        <v>-0.24999999999999756</v>
      </c>
      <c r="C27" t="s">
        <v>13</v>
      </c>
      <c r="D27">
        <v>0</v>
      </c>
    </row>
    <row r="28" spans="1:4" x14ac:dyDescent="0.2">
      <c r="A28" s="4" t="s">
        <v>54</v>
      </c>
      <c r="B28">
        <f t="shared" ref="B28:B31" si="1">B3-$B$26</f>
        <v>-0.9</v>
      </c>
      <c r="C28" t="s">
        <v>13</v>
      </c>
      <c r="D28">
        <v>0</v>
      </c>
    </row>
    <row r="29" spans="1:4" x14ac:dyDescent="0.2">
      <c r="A29" s="4" t="s">
        <v>55</v>
      </c>
      <c r="B29">
        <f t="shared" si="1"/>
        <v>-0.9</v>
      </c>
      <c r="C29" t="s">
        <v>13</v>
      </c>
      <c r="D29">
        <v>0</v>
      </c>
    </row>
    <row r="30" spans="1:4" x14ac:dyDescent="0.2">
      <c r="A30" s="4" t="s">
        <v>56</v>
      </c>
      <c r="B30">
        <f t="shared" si="1"/>
        <v>-5.0000000000002376E-2</v>
      </c>
      <c r="C30" t="s">
        <v>13</v>
      </c>
      <c r="D30">
        <v>0</v>
      </c>
    </row>
    <row r="31" spans="1:4" x14ac:dyDescent="0.2">
      <c r="A31" s="4" t="s">
        <v>57</v>
      </c>
      <c r="B31">
        <f t="shared" si="1"/>
        <v>-0.89999999999999991</v>
      </c>
      <c r="C31" t="s">
        <v>13</v>
      </c>
      <c r="D31">
        <v>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537FA-38A8-1E4D-B8AA-EFB9BC83B182}">
  <dimension ref="A1:F15"/>
  <sheetViews>
    <sheetView zoomScale="150" workbookViewId="0">
      <selection activeCell="B23" sqref="B23"/>
    </sheetView>
  </sheetViews>
  <sheetFormatPr baseColWidth="10" defaultRowHeight="16" x14ac:dyDescent="0.2"/>
  <cols>
    <col min="1" max="1" width="26.6640625" style="4" bestFit="1" customWidth="1"/>
  </cols>
  <sheetData>
    <row r="1" spans="1:6" x14ac:dyDescent="0.2">
      <c r="B1" t="s">
        <v>217</v>
      </c>
      <c r="C1" t="s">
        <v>219</v>
      </c>
      <c r="D1" t="s">
        <v>218</v>
      </c>
    </row>
    <row r="2" spans="1:6" x14ac:dyDescent="0.2">
      <c r="A2" s="4" t="s">
        <v>214</v>
      </c>
      <c r="B2">
        <v>2</v>
      </c>
      <c r="C2">
        <v>2</v>
      </c>
      <c r="D2">
        <v>1</v>
      </c>
    </row>
    <row r="3" spans="1:6" x14ac:dyDescent="0.2">
      <c r="A3" s="4" t="s">
        <v>215</v>
      </c>
      <c r="B3">
        <v>3</v>
      </c>
      <c r="C3">
        <v>4</v>
      </c>
      <c r="D3">
        <v>6</v>
      </c>
    </row>
    <row r="4" spans="1:6" x14ac:dyDescent="0.2">
      <c r="A4" s="4" t="s">
        <v>216</v>
      </c>
      <c r="B4">
        <v>4</v>
      </c>
      <c r="C4">
        <v>6</v>
      </c>
      <c r="D4">
        <v>5</v>
      </c>
    </row>
    <row r="7" spans="1:6" x14ac:dyDescent="0.2">
      <c r="D7" t="s">
        <v>214</v>
      </c>
      <c r="E7" t="s">
        <v>215</v>
      </c>
      <c r="F7" t="s">
        <v>216</v>
      </c>
    </row>
    <row r="8" spans="1:6" x14ac:dyDescent="0.2">
      <c r="A8" s="4" t="s">
        <v>217</v>
      </c>
      <c r="B8">
        <v>6.6666666666667007</v>
      </c>
      <c r="C8">
        <v>90</v>
      </c>
      <c r="D8">
        <v>2</v>
      </c>
      <c r="E8">
        <v>3</v>
      </c>
      <c r="F8">
        <v>4</v>
      </c>
    </row>
    <row r="9" spans="1:6" x14ac:dyDescent="0.2">
      <c r="A9" s="4" t="s">
        <v>219</v>
      </c>
      <c r="B9">
        <v>41.249999999999972</v>
      </c>
      <c r="C9">
        <v>120</v>
      </c>
      <c r="D9">
        <v>2</v>
      </c>
      <c r="E9">
        <v>4</v>
      </c>
      <c r="F9">
        <v>6</v>
      </c>
    </row>
    <row r="10" spans="1:6" x14ac:dyDescent="0.2">
      <c r="A10" s="4" t="s">
        <v>218</v>
      </c>
      <c r="B10">
        <v>9.1666666666666679</v>
      </c>
      <c r="C10">
        <v>150</v>
      </c>
      <c r="D10">
        <v>1</v>
      </c>
      <c r="E10">
        <v>6</v>
      </c>
      <c r="F10">
        <v>5</v>
      </c>
    </row>
    <row r="11" spans="1:6" x14ac:dyDescent="0.2">
      <c r="A11" s="4" t="s">
        <v>220</v>
      </c>
      <c r="B11" s="32">
        <f>SUMPRODUCT(B8:B10,C8:C10)</f>
        <v>6924.9999999999991</v>
      </c>
    </row>
    <row r="12" spans="1:6" x14ac:dyDescent="0.2">
      <c r="A12" s="4" t="s">
        <v>221</v>
      </c>
      <c r="B12">
        <f>SUMPRODUCT(B8:B10,D8:D10)</f>
        <v>105.00000000000001</v>
      </c>
      <c r="C12" t="s">
        <v>13</v>
      </c>
      <c r="D12">
        <v>400</v>
      </c>
    </row>
    <row r="13" spans="1:6" x14ac:dyDescent="0.2">
      <c r="A13" s="4" t="s">
        <v>222</v>
      </c>
      <c r="B13">
        <f>SUMPRODUCT(B8:B10,E8:E10)</f>
        <v>240</v>
      </c>
      <c r="C13" t="s">
        <v>13</v>
      </c>
      <c r="D13">
        <v>240</v>
      </c>
    </row>
    <row r="14" spans="1:6" x14ac:dyDescent="0.2">
      <c r="A14" s="4" t="s">
        <v>223</v>
      </c>
      <c r="B14">
        <f>SUMPRODUCT(B8:B10,F8:F10)</f>
        <v>320</v>
      </c>
      <c r="C14" t="s">
        <v>13</v>
      </c>
      <c r="D14">
        <v>320</v>
      </c>
    </row>
    <row r="15" spans="1:6" x14ac:dyDescent="0.2">
      <c r="A15" s="4" t="s">
        <v>224</v>
      </c>
      <c r="B15">
        <f>SUMPRODUCT(B8:B10,D8:D10)+SUMPRODUCT(B8:B10,E8:E10)+SUMPRODUCT(B8:B10,F8:F10)</f>
        <v>665</v>
      </c>
      <c r="C15" t="s">
        <v>13</v>
      </c>
      <c r="D15">
        <v>665</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A7937-751E-B54C-931D-994560DECBFD}">
  <dimension ref="A1:H16"/>
  <sheetViews>
    <sheetView zoomScale="179" workbookViewId="0">
      <selection activeCell="B6" sqref="B6"/>
    </sheetView>
  </sheetViews>
  <sheetFormatPr baseColWidth="10" defaultRowHeight="16" x14ac:dyDescent="0.2"/>
  <cols>
    <col min="1" max="1" width="16.5" style="4" bestFit="1" customWidth="1"/>
    <col min="5" max="5" width="13.33203125" bestFit="1" customWidth="1"/>
  </cols>
  <sheetData>
    <row r="1" spans="1:8" x14ac:dyDescent="0.2">
      <c r="B1" s="9" t="s">
        <v>68</v>
      </c>
      <c r="C1" s="9" t="s">
        <v>96</v>
      </c>
      <c r="D1" s="9" t="s">
        <v>227</v>
      </c>
      <c r="E1" s="9" t="s">
        <v>228</v>
      </c>
      <c r="F1" s="9" t="s">
        <v>214</v>
      </c>
      <c r="G1" s="9" t="s">
        <v>215</v>
      </c>
      <c r="H1" s="9" t="s">
        <v>216</v>
      </c>
    </row>
    <row r="2" spans="1:8" x14ac:dyDescent="0.2">
      <c r="A2" s="7" t="s">
        <v>225</v>
      </c>
      <c r="C2">
        <v>400</v>
      </c>
      <c r="D2">
        <v>300</v>
      </c>
      <c r="E2">
        <v>30</v>
      </c>
      <c r="F2">
        <v>0</v>
      </c>
      <c r="G2">
        <v>100</v>
      </c>
      <c r="H2">
        <v>200</v>
      </c>
    </row>
    <row r="3" spans="1:8" x14ac:dyDescent="0.2">
      <c r="A3" s="7" t="s">
        <v>226</v>
      </c>
      <c r="C3">
        <v>360</v>
      </c>
      <c r="D3">
        <v>300</v>
      </c>
      <c r="E3">
        <v>30</v>
      </c>
      <c r="F3">
        <v>300</v>
      </c>
      <c r="G3">
        <v>300</v>
      </c>
      <c r="H3">
        <v>300</v>
      </c>
    </row>
    <row r="4" spans="1:8" x14ac:dyDescent="0.2">
      <c r="F4">
        <v>300</v>
      </c>
      <c r="G4">
        <v>400</v>
      </c>
      <c r="H4">
        <v>500</v>
      </c>
    </row>
    <row r="6" spans="1:8" x14ac:dyDescent="0.2">
      <c r="A6" s="7" t="s">
        <v>229</v>
      </c>
      <c r="B6">
        <f>SUMPRODUCT(F2:F3,C2:C3)+SUMPRODUCT(G2:G3,C2:C3)+SUMPRODUCT(H2:H3,C2:C3)+(300-SUM(F2:F3)*30+(400-SUM(G2:G3))*30)+(500-SUM(H2:H3))*30</f>
        <v>435300</v>
      </c>
    </row>
    <row r="8" spans="1:8" x14ac:dyDescent="0.2">
      <c r="A8" s="4" t="s">
        <v>230</v>
      </c>
      <c r="B8">
        <f>SUM(F2:F3)</f>
        <v>300</v>
      </c>
      <c r="C8" t="s">
        <v>35</v>
      </c>
      <c r="D8">
        <v>300</v>
      </c>
    </row>
    <row r="9" spans="1:8" x14ac:dyDescent="0.2">
      <c r="A9" s="4" t="s">
        <v>231</v>
      </c>
      <c r="B9">
        <f>SUM(G2:G3)-(SUM(F2:F3)-300)</f>
        <v>400</v>
      </c>
      <c r="C9" t="s">
        <v>35</v>
      </c>
      <c r="D9">
        <v>400</v>
      </c>
    </row>
    <row r="10" spans="1:8" x14ac:dyDescent="0.2">
      <c r="A10" s="4" t="s">
        <v>232</v>
      </c>
      <c r="B10">
        <f>SUM(H2:H3)-(SUM(G2:G3)-400)</f>
        <v>500</v>
      </c>
      <c r="C10" t="s">
        <v>35</v>
      </c>
      <c r="D10">
        <v>500</v>
      </c>
    </row>
    <row r="11" spans="1:8" x14ac:dyDescent="0.2">
      <c r="A11" s="33" t="s">
        <v>233</v>
      </c>
      <c r="B11">
        <f>F2</f>
        <v>0</v>
      </c>
      <c r="C11" t="s">
        <v>13</v>
      </c>
      <c r="D11">
        <v>300</v>
      </c>
    </row>
    <row r="12" spans="1:8" x14ac:dyDescent="0.2">
      <c r="A12" s="33"/>
      <c r="B12">
        <f>F3</f>
        <v>300</v>
      </c>
      <c r="C12" t="s">
        <v>13</v>
      </c>
      <c r="D12">
        <v>300</v>
      </c>
    </row>
    <row r="13" spans="1:8" x14ac:dyDescent="0.2">
      <c r="A13" s="33"/>
      <c r="B13">
        <f>G2</f>
        <v>100</v>
      </c>
      <c r="C13" t="s">
        <v>13</v>
      </c>
      <c r="D13">
        <v>300</v>
      </c>
    </row>
    <row r="14" spans="1:8" x14ac:dyDescent="0.2">
      <c r="A14" s="33"/>
      <c r="B14">
        <f>G3</f>
        <v>300</v>
      </c>
      <c r="C14" t="s">
        <v>13</v>
      </c>
      <c r="D14">
        <v>300</v>
      </c>
    </row>
    <row r="15" spans="1:8" x14ac:dyDescent="0.2">
      <c r="A15" s="33"/>
      <c r="B15">
        <f>H2</f>
        <v>200</v>
      </c>
      <c r="C15" t="s">
        <v>13</v>
      </c>
      <c r="D15">
        <v>300</v>
      </c>
    </row>
    <row r="16" spans="1:8" x14ac:dyDescent="0.2">
      <c r="A16" s="33"/>
      <c r="B16">
        <f>H3</f>
        <v>300</v>
      </c>
      <c r="C16" t="s">
        <v>13</v>
      </c>
      <c r="D16">
        <v>300</v>
      </c>
    </row>
  </sheetData>
  <mergeCells count="1">
    <mergeCell ref="A11:A16"/>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980AC-11FC-9E41-87FE-7F859AA008C3}">
  <dimension ref="A1:F24"/>
  <sheetViews>
    <sheetView zoomScale="166" workbookViewId="0">
      <selection activeCell="B2" sqref="B2:F7"/>
    </sheetView>
  </sheetViews>
  <sheetFormatPr baseColWidth="10" defaultRowHeight="16" x14ac:dyDescent="0.2"/>
  <cols>
    <col min="1" max="1" width="43" style="4" bestFit="1" customWidth="1"/>
    <col min="2" max="2" width="7.1640625" bestFit="1" customWidth="1"/>
    <col min="3" max="3" width="5.1640625" bestFit="1" customWidth="1"/>
    <col min="4" max="4" width="7.1640625" bestFit="1" customWidth="1"/>
    <col min="5" max="5" width="5.1640625" bestFit="1" customWidth="1"/>
    <col min="6" max="6" width="4.1640625" bestFit="1" customWidth="1"/>
  </cols>
  <sheetData>
    <row r="1" spans="1:6" x14ac:dyDescent="0.2">
      <c r="B1" s="9" t="s">
        <v>237</v>
      </c>
      <c r="C1" s="9" t="s">
        <v>238</v>
      </c>
      <c r="D1" s="9" t="s">
        <v>239</v>
      </c>
      <c r="E1" s="9" t="s">
        <v>240</v>
      </c>
      <c r="F1" s="9" t="s">
        <v>241</v>
      </c>
    </row>
    <row r="2" spans="1:6" x14ac:dyDescent="0.2">
      <c r="B2">
        <v>499.99999999999989</v>
      </c>
      <c r="C2">
        <v>999.99999999999977</v>
      </c>
      <c r="D2">
        <v>1500.0000000000007</v>
      </c>
      <c r="E2">
        <v>2249.9999999999995</v>
      </c>
      <c r="F2">
        <v>500</v>
      </c>
    </row>
    <row r="3" spans="1:6" x14ac:dyDescent="0.2">
      <c r="A3" s="7" t="s">
        <v>234</v>
      </c>
      <c r="B3">
        <v>20</v>
      </c>
      <c r="C3">
        <v>15</v>
      </c>
      <c r="D3">
        <v>10</v>
      </c>
      <c r="E3">
        <v>8</v>
      </c>
      <c r="F3">
        <v>5</v>
      </c>
    </row>
    <row r="4" spans="1:6" x14ac:dyDescent="0.2">
      <c r="A4" s="7" t="s">
        <v>19</v>
      </c>
      <c r="B4">
        <v>28</v>
      </c>
      <c r="C4">
        <v>24</v>
      </c>
      <c r="D4">
        <v>18</v>
      </c>
      <c r="E4">
        <v>12</v>
      </c>
      <c r="F4">
        <v>16</v>
      </c>
    </row>
    <row r="5" spans="1:6" x14ac:dyDescent="0.2">
      <c r="A5" s="7" t="s">
        <v>235</v>
      </c>
      <c r="B5">
        <v>8</v>
      </c>
      <c r="C5">
        <v>8</v>
      </c>
      <c r="D5">
        <v>4</v>
      </c>
      <c r="E5">
        <v>4</v>
      </c>
      <c r="F5">
        <v>6</v>
      </c>
    </row>
    <row r="6" spans="1:6" x14ac:dyDescent="0.2">
      <c r="A6" s="7" t="s">
        <v>236</v>
      </c>
      <c r="B6">
        <v>0.75</v>
      </c>
      <c r="C6">
        <v>0.6</v>
      </c>
      <c r="D6">
        <v>0.5</v>
      </c>
      <c r="E6">
        <v>0.65</v>
      </c>
      <c r="F6">
        <v>1</v>
      </c>
    </row>
    <row r="7" spans="1:6" x14ac:dyDescent="0.2">
      <c r="A7" s="7"/>
    </row>
    <row r="8" spans="1:6" x14ac:dyDescent="0.2">
      <c r="A8" s="7" t="s">
        <v>242</v>
      </c>
      <c r="B8">
        <v>189</v>
      </c>
      <c r="C8">
        <v>149</v>
      </c>
      <c r="D8">
        <v>129</v>
      </c>
      <c r="E8">
        <v>169</v>
      </c>
      <c r="F8">
        <v>139</v>
      </c>
    </row>
    <row r="9" spans="1:6" x14ac:dyDescent="0.2">
      <c r="A9" s="7" t="s">
        <v>243</v>
      </c>
      <c r="B9">
        <v>136</v>
      </c>
      <c r="C9">
        <v>101</v>
      </c>
      <c r="D9">
        <v>96</v>
      </c>
      <c r="E9">
        <v>137</v>
      </c>
      <c r="F9">
        <v>101</v>
      </c>
    </row>
    <row r="10" spans="1:6" x14ac:dyDescent="0.2">
      <c r="A10" s="7" t="s">
        <v>111</v>
      </c>
      <c r="B10">
        <f>B8-B9</f>
        <v>53</v>
      </c>
      <c r="C10">
        <f t="shared" ref="C10:F10" si="0">C8-C9</f>
        <v>48</v>
      </c>
      <c r="D10">
        <f t="shared" si="0"/>
        <v>33</v>
      </c>
      <c r="E10">
        <f t="shared" si="0"/>
        <v>32</v>
      </c>
      <c r="F10">
        <f t="shared" si="0"/>
        <v>38</v>
      </c>
    </row>
    <row r="13" spans="1:6" x14ac:dyDescent="0.2">
      <c r="A13" s="7" t="s">
        <v>244</v>
      </c>
      <c r="B13" s="32">
        <f>SUMPRODUCT(B10:F10,B2:F2)</f>
        <v>215000</v>
      </c>
    </row>
    <row r="15" spans="1:6" x14ac:dyDescent="0.2">
      <c r="A15" s="7" t="s">
        <v>245</v>
      </c>
      <c r="B15">
        <f>SUMPRODUCT(B2:F2,B3:F3)</f>
        <v>60500</v>
      </c>
      <c r="C15" t="s">
        <v>13</v>
      </c>
      <c r="D15">
        <v>80000</v>
      </c>
    </row>
    <row r="16" spans="1:6" x14ac:dyDescent="0.2">
      <c r="A16" s="7" t="s">
        <v>246</v>
      </c>
      <c r="B16">
        <f>SUMPRODUCT(B4:F4,B2:F2)</f>
        <v>100000</v>
      </c>
      <c r="C16" t="s">
        <v>13</v>
      </c>
      <c r="D16">
        <v>100000</v>
      </c>
    </row>
    <row r="17" spans="1:4" x14ac:dyDescent="0.2">
      <c r="A17" s="7" t="s">
        <v>247</v>
      </c>
      <c r="B17">
        <f>SUMPRODUCT(B5:F5,B2:F2)</f>
        <v>30000</v>
      </c>
      <c r="C17" t="s">
        <v>13</v>
      </c>
      <c r="D17">
        <v>30000</v>
      </c>
    </row>
    <row r="18" spans="1:4" x14ac:dyDescent="0.2">
      <c r="A18" s="7" t="s">
        <v>248</v>
      </c>
      <c r="B18">
        <f>SUMPRODUCT(B6:F6,B2:F2)</f>
        <v>3687.5</v>
      </c>
      <c r="C18" t="s">
        <v>13</v>
      </c>
      <c r="D18">
        <v>5000</v>
      </c>
    </row>
    <row r="19" spans="1:4" x14ac:dyDescent="0.2">
      <c r="A19" s="34" t="s">
        <v>249</v>
      </c>
      <c r="B19">
        <f>B2</f>
        <v>499.99999999999989</v>
      </c>
      <c r="C19" t="s">
        <v>35</v>
      </c>
      <c r="D19">
        <v>500</v>
      </c>
    </row>
    <row r="20" spans="1:4" x14ac:dyDescent="0.2">
      <c r="A20" s="34"/>
      <c r="B20">
        <f>C2</f>
        <v>999.99999999999977</v>
      </c>
      <c r="C20" t="s">
        <v>35</v>
      </c>
      <c r="D20">
        <v>500</v>
      </c>
    </row>
    <row r="21" spans="1:4" x14ac:dyDescent="0.2">
      <c r="A21" s="34"/>
      <c r="B21">
        <f>D2</f>
        <v>1500.0000000000007</v>
      </c>
      <c r="C21" t="s">
        <v>35</v>
      </c>
      <c r="D21">
        <v>500</v>
      </c>
    </row>
    <row r="22" spans="1:4" x14ac:dyDescent="0.2">
      <c r="A22" s="34"/>
      <c r="B22">
        <f>E2</f>
        <v>2249.9999999999995</v>
      </c>
      <c r="C22" t="s">
        <v>35</v>
      </c>
      <c r="D22">
        <v>500</v>
      </c>
    </row>
    <row r="23" spans="1:4" x14ac:dyDescent="0.2">
      <c r="A23" s="34"/>
      <c r="B23">
        <f>F2</f>
        <v>500</v>
      </c>
      <c r="C23" t="s">
        <v>35</v>
      </c>
      <c r="D23">
        <v>500</v>
      </c>
    </row>
    <row r="24" spans="1:4" x14ac:dyDescent="0.2">
      <c r="A24" s="7" t="s">
        <v>250</v>
      </c>
      <c r="B24">
        <f>C2-2*B2</f>
        <v>0</v>
      </c>
      <c r="C24" t="s">
        <v>35</v>
      </c>
      <c r="D24">
        <v>0</v>
      </c>
    </row>
  </sheetData>
  <mergeCells count="1">
    <mergeCell ref="A19:A23"/>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7013-62B8-164D-8AD8-6F201BDA63C5}">
  <dimension ref="A1:J29"/>
  <sheetViews>
    <sheetView zoomScale="150" workbookViewId="0">
      <selection activeCell="I26" sqref="I26"/>
    </sheetView>
  </sheetViews>
  <sheetFormatPr baseColWidth="10" defaultRowHeight="16" x14ac:dyDescent="0.2"/>
  <cols>
    <col min="1" max="1" width="37.83203125" style="4" bestFit="1" customWidth="1"/>
    <col min="9" max="9" width="6" customWidth="1"/>
  </cols>
  <sheetData>
    <row r="1" spans="1:10" x14ac:dyDescent="0.2">
      <c r="B1" s="8" t="s">
        <v>68</v>
      </c>
      <c r="C1" s="8" t="s">
        <v>69</v>
      </c>
      <c r="D1" s="8" t="s">
        <v>77</v>
      </c>
      <c r="E1" s="8" t="s">
        <v>111</v>
      </c>
      <c r="F1" s="9" t="s">
        <v>73</v>
      </c>
      <c r="G1" s="9" t="s">
        <v>74</v>
      </c>
      <c r="H1" s="9" t="s">
        <v>75</v>
      </c>
      <c r="I1" s="9" t="s">
        <v>76</v>
      </c>
    </row>
    <row r="2" spans="1:10" x14ac:dyDescent="0.2">
      <c r="A2" s="7" t="s">
        <v>61</v>
      </c>
      <c r="B2">
        <v>999.99999999999989</v>
      </c>
      <c r="C2">
        <v>5</v>
      </c>
      <c r="D2">
        <v>3.15</v>
      </c>
      <c r="E2">
        <f>C2-D2</f>
        <v>1.85</v>
      </c>
      <c r="F2" s="6">
        <v>1</v>
      </c>
      <c r="G2" s="6">
        <v>2</v>
      </c>
      <c r="H2" s="6">
        <v>1</v>
      </c>
      <c r="I2" s="6">
        <v>2.5</v>
      </c>
      <c r="J2">
        <f>B2*SUM(F2:I2)</f>
        <v>6499.9999999999991</v>
      </c>
    </row>
    <row r="3" spans="1:10" x14ac:dyDescent="0.2">
      <c r="A3" s="7" t="s">
        <v>2</v>
      </c>
      <c r="B3">
        <v>500</v>
      </c>
      <c r="C3">
        <v>4</v>
      </c>
      <c r="D3">
        <v>2.6</v>
      </c>
      <c r="E3">
        <f t="shared" ref="E3:E5" si="0">C3-D3</f>
        <v>1.4</v>
      </c>
      <c r="F3" s="6">
        <v>1</v>
      </c>
      <c r="G3" s="6">
        <v>1.5</v>
      </c>
      <c r="H3" s="6">
        <v>0.7</v>
      </c>
      <c r="I3" s="6">
        <v>1.6</v>
      </c>
      <c r="J3">
        <f>B3*SUM(F3:I3)</f>
        <v>2400.0000000000005</v>
      </c>
    </row>
    <row r="4" spans="1:10" x14ac:dyDescent="0.2">
      <c r="A4" s="7" t="s">
        <v>62</v>
      </c>
      <c r="B4">
        <v>80.000000000000128</v>
      </c>
      <c r="C4">
        <v>3.2</v>
      </c>
      <c r="D4">
        <v>2.16</v>
      </c>
      <c r="E4">
        <f t="shared" si="0"/>
        <v>1.04</v>
      </c>
      <c r="F4" s="6">
        <v>1</v>
      </c>
      <c r="G4" s="6">
        <v>1</v>
      </c>
      <c r="H4" s="6">
        <v>0.2</v>
      </c>
      <c r="I4" s="6">
        <v>1.25</v>
      </c>
      <c r="J4">
        <f>B4*SUM(F4:I4)</f>
        <v>276.00000000000045</v>
      </c>
    </row>
    <row r="5" spans="1:10" x14ac:dyDescent="0.2">
      <c r="A5" s="7" t="s">
        <v>19</v>
      </c>
      <c r="B5">
        <v>200</v>
      </c>
      <c r="C5">
        <v>4.5</v>
      </c>
      <c r="D5">
        <v>3.1</v>
      </c>
      <c r="E5">
        <f t="shared" si="0"/>
        <v>1.4</v>
      </c>
      <c r="F5" s="6">
        <v>1</v>
      </c>
      <c r="G5" s="6">
        <v>1.75</v>
      </c>
      <c r="H5" s="6">
        <v>0</v>
      </c>
      <c r="I5" s="6">
        <v>1</v>
      </c>
      <c r="J5">
        <f>B5*SUM(F5:I5)</f>
        <v>750</v>
      </c>
    </row>
    <row r="6" spans="1:10" ht="17" thickBot="1" x14ac:dyDescent="0.25">
      <c r="A6" s="7"/>
      <c r="F6" s="6"/>
      <c r="G6" s="6"/>
      <c r="H6" s="6"/>
      <c r="I6" s="6"/>
    </row>
    <row r="7" spans="1:10" ht="17" thickBot="1" x14ac:dyDescent="0.25">
      <c r="A7" s="4" t="s">
        <v>112</v>
      </c>
      <c r="B7" s="11">
        <f>SUMPRODUCT(B2:B5,E2:E5)</f>
        <v>2913.2000000000003</v>
      </c>
    </row>
    <row r="8" spans="1:10" x14ac:dyDescent="0.2">
      <c r="F8" s="14" t="s">
        <v>104</v>
      </c>
      <c r="G8" s="14"/>
      <c r="H8" s="14"/>
    </row>
    <row r="9" spans="1:10" x14ac:dyDescent="0.2">
      <c r="A9" s="4" t="s">
        <v>63</v>
      </c>
      <c r="B9">
        <f>B2</f>
        <v>999.99999999999989</v>
      </c>
      <c r="C9" t="s">
        <v>35</v>
      </c>
      <c r="D9">
        <v>1000</v>
      </c>
      <c r="F9">
        <f>SUMPRODUCT(B2:B5,F2:F5)</f>
        <v>1780.0000000000002</v>
      </c>
      <c r="G9" t="s">
        <v>13</v>
      </c>
      <c r="H9">
        <v>3600</v>
      </c>
    </row>
    <row r="10" spans="1:10" x14ac:dyDescent="0.2">
      <c r="A10" s="4" t="s">
        <v>64</v>
      </c>
      <c r="B10">
        <f>B3</f>
        <v>500</v>
      </c>
      <c r="C10" t="s">
        <v>35</v>
      </c>
      <c r="D10">
        <v>400</v>
      </c>
      <c r="F10">
        <f>SUMPRODUCT(B2:B5,G2:G5)</f>
        <v>3180</v>
      </c>
      <c r="G10" t="s">
        <v>13</v>
      </c>
      <c r="H10">
        <v>3600</v>
      </c>
    </row>
    <row r="11" spans="1:10" x14ac:dyDescent="0.2">
      <c r="A11" s="4" t="s">
        <v>65</v>
      </c>
      <c r="B11">
        <f>B3</f>
        <v>500</v>
      </c>
      <c r="C11" t="s">
        <v>13</v>
      </c>
      <c r="D11">
        <v>500</v>
      </c>
      <c r="F11">
        <f>SUMPRODUCT(B2:B5,H2:H5)</f>
        <v>1366</v>
      </c>
      <c r="G11" t="s">
        <v>13</v>
      </c>
      <c r="H11">
        <v>3600</v>
      </c>
    </row>
    <row r="12" spans="1:10" x14ac:dyDescent="0.2">
      <c r="A12" s="4" t="s">
        <v>66</v>
      </c>
      <c r="B12">
        <f>B4</f>
        <v>80.000000000000128</v>
      </c>
      <c r="C12" t="s">
        <v>13</v>
      </c>
      <c r="D12">
        <v>150</v>
      </c>
      <c r="F12">
        <f>SUMPRODUCT(B2:B5,I2:I5)</f>
        <v>3599.9999999999995</v>
      </c>
      <c r="G12" t="s">
        <v>13</v>
      </c>
      <c r="H12">
        <v>3600</v>
      </c>
    </row>
    <row r="13" spans="1:10" x14ac:dyDescent="0.2">
      <c r="A13" s="4" t="s">
        <v>67</v>
      </c>
      <c r="B13">
        <f>B5</f>
        <v>200</v>
      </c>
      <c r="C13" t="s">
        <v>13</v>
      </c>
      <c r="D13">
        <v>200</v>
      </c>
    </row>
    <row r="14" spans="1:10" x14ac:dyDescent="0.2">
      <c r="A14" s="4" t="s">
        <v>105</v>
      </c>
      <c r="B14">
        <f t="shared" ref="B14:D17" si="1">F9</f>
        <v>1780.0000000000002</v>
      </c>
      <c r="C14" t="str">
        <f t="shared" si="1"/>
        <v>&lt;=</v>
      </c>
      <c r="D14">
        <f t="shared" si="1"/>
        <v>3600</v>
      </c>
    </row>
    <row r="15" spans="1:10" x14ac:dyDescent="0.2">
      <c r="A15" s="4" t="s">
        <v>108</v>
      </c>
      <c r="B15">
        <f t="shared" si="1"/>
        <v>3180</v>
      </c>
      <c r="C15" t="str">
        <f t="shared" si="1"/>
        <v>&lt;=</v>
      </c>
      <c r="D15">
        <f t="shared" si="1"/>
        <v>3600</v>
      </c>
    </row>
    <row r="16" spans="1:10" x14ac:dyDescent="0.2">
      <c r="A16" s="4" t="s">
        <v>107</v>
      </c>
      <c r="B16">
        <f t="shared" si="1"/>
        <v>1366</v>
      </c>
      <c r="C16" t="str">
        <f t="shared" si="1"/>
        <v>&lt;=</v>
      </c>
      <c r="D16">
        <f t="shared" si="1"/>
        <v>3600</v>
      </c>
    </row>
    <row r="17" spans="1:4" x14ac:dyDescent="0.2">
      <c r="A17" s="4" t="s">
        <v>106</v>
      </c>
      <c r="B17">
        <f t="shared" si="1"/>
        <v>3599.9999999999995</v>
      </c>
      <c r="C17" t="str">
        <f t="shared" si="1"/>
        <v>&lt;=</v>
      </c>
      <c r="D17">
        <f t="shared" si="1"/>
        <v>3600</v>
      </c>
    </row>
    <row r="19" spans="1:4" x14ac:dyDescent="0.2">
      <c r="A19" s="4" t="s">
        <v>70</v>
      </c>
      <c r="B19">
        <f>0.6*B2</f>
        <v>599.99999999999989</v>
      </c>
    </row>
    <row r="20" spans="1:4" x14ac:dyDescent="0.2">
      <c r="A20" s="4" t="s">
        <v>99</v>
      </c>
      <c r="B20">
        <f>0.4*B3</f>
        <v>200</v>
      </c>
    </row>
    <row r="21" spans="1:4" x14ac:dyDescent="0.2">
      <c r="A21" s="4" t="s">
        <v>71</v>
      </c>
      <c r="B21">
        <f>0.2*B4</f>
        <v>16.000000000000025</v>
      </c>
    </row>
    <row r="22" spans="1:4" x14ac:dyDescent="0.2">
      <c r="A22" s="4" t="s">
        <v>72</v>
      </c>
      <c r="B22">
        <f>1*B5</f>
        <v>200</v>
      </c>
    </row>
    <row r="24" spans="1:4" x14ac:dyDescent="0.2">
      <c r="A24" s="4" t="s">
        <v>100</v>
      </c>
      <c r="B24">
        <f>0.4*B2</f>
        <v>400</v>
      </c>
    </row>
    <row r="25" spans="1:4" x14ac:dyDescent="0.2">
      <c r="A25" s="4" t="s">
        <v>101</v>
      </c>
      <c r="B25">
        <f>0.6*B3</f>
        <v>300</v>
      </c>
    </row>
    <row r="26" spans="1:4" x14ac:dyDescent="0.2">
      <c r="A26" s="4" t="s">
        <v>102</v>
      </c>
      <c r="B26">
        <f>0.8*B4</f>
        <v>64.000000000000099</v>
      </c>
    </row>
    <row r="27" spans="1:4" x14ac:dyDescent="0.2">
      <c r="A27" s="4" t="s">
        <v>103</v>
      </c>
      <c r="B27">
        <v>0</v>
      </c>
    </row>
    <row r="28" spans="1:4" x14ac:dyDescent="0.2">
      <c r="A28" s="4" t="s">
        <v>109</v>
      </c>
      <c r="B28">
        <f>SUM(B19:B22)</f>
        <v>1015.9999999999999</v>
      </c>
      <c r="C28" t="s">
        <v>14</v>
      </c>
      <c r="D28">
        <v>1100</v>
      </c>
    </row>
    <row r="29" spans="1:4" x14ac:dyDescent="0.2">
      <c r="A29" s="4" t="s">
        <v>110</v>
      </c>
      <c r="B29">
        <f>SUM(B24:B27)</f>
        <v>764.00000000000011</v>
      </c>
      <c r="C29" t="s">
        <v>14</v>
      </c>
      <c r="D29">
        <v>800</v>
      </c>
    </row>
  </sheetData>
  <mergeCells count="1">
    <mergeCell ref="F8:H8"/>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5E905-C892-2948-8F85-B7E7FB2D6366}">
  <dimension ref="A1:H29"/>
  <sheetViews>
    <sheetView showGridLines="0" workbookViewId="0">
      <selection sqref="A1:A3"/>
    </sheetView>
  </sheetViews>
  <sheetFormatPr baseColWidth="10" defaultRowHeight="16" x14ac:dyDescent="0.2"/>
  <cols>
    <col min="1" max="1" width="2.33203125" customWidth="1"/>
    <col min="2" max="2" width="6.33203125" bestFit="1" customWidth="1"/>
    <col min="3" max="3" width="56.33203125" bestFit="1" customWidth="1"/>
    <col min="4" max="4" width="7.1640625" bestFit="1" customWidth="1"/>
    <col min="5" max="5" width="8.1640625" bestFit="1" customWidth="1"/>
    <col min="6" max="6" width="10" bestFit="1" customWidth="1"/>
    <col min="7" max="8" width="12.1640625" bestFit="1" customWidth="1"/>
  </cols>
  <sheetData>
    <row r="1" spans="1:8" x14ac:dyDescent="0.2">
      <c r="A1" s="26" t="s">
        <v>303</v>
      </c>
    </row>
    <row r="2" spans="1:8" x14ac:dyDescent="0.2">
      <c r="A2" s="26" t="s">
        <v>267</v>
      </c>
    </row>
    <row r="3" spans="1:8" x14ac:dyDescent="0.2">
      <c r="A3" s="26" t="s">
        <v>304</v>
      </c>
    </row>
    <row r="6" spans="1:8" ht="17" thickBot="1" x14ac:dyDescent="0.25">
      <c r="A6" t="s">
        <v>270</v>
      </c>
    </row>
    <row r="7" spans="1:8" x14ac:dyDescent="0.2">
      <c r="B7" s="37"/>
      <c r="C7" s="37"/>
      <c r="D7" s="37" t="s">
        <v>305</v>
      </c>
      <c r="E7" s="37" t="s">
        <v>307</v>
      </c>
      <c r="F7" s="37" t="s">
        <v>308</v>
      </c>
      <c r="G7" s="37" t="s">
        <v>310</v>
      </c>
      <c r="H7" s="37" t="s">
        <v>310</v>
      </c>
    </row>
    <row r="8" spans="1:8" ht="17" thickBot="1" x14ac:dyDescent="0.25">
      <c r="B8" s="38" t="s">
        <v>268</v>
      </c>
      <c r="C8" s="38" t="s">
        <v>269</v>
      </c>
      <c r="D8" s="38" t="s">
        <v>306</v>
      </c>
      <c r="E8" s="38" t="s">
        <v>96</v>
      </c>
      <c r="F8" s="38" t="s">
        <v>309</v>
      </c>
      <c r="G8" s="38" t="s">
        <v>311</v>
      </c>
      <c r="H8" s="38" t="s">
        <v>312</v>
      </c>
    </row>
    <row r="9" spans="1:8" x14ac:dyDescent="0.2">
      <c r="B9" s="36" t="s">
        <v>271</v>
      </c>
      <c r="C9" s="36" t="s">
        <v>272</v>
      </c>
      <c r="D9" s="36">
        <v>10</v>
      </c>
      <c r="E9" s="36">
        <v>0</v>
      </c>
      <c r="F9" s="36">
        <v>900</v>
      </c>
      <c r="G9" s="36">
        <v>1E+30</v>
      </c>
      <c r="H9" s="36">
        <v>150</v>
      </c>
    </row>
    <row r="10" spans="1:8" x14ac:dyDescent="0.2">
      <c r="B10" s="36" t="s">
        <v>273</v>
      </c>
      <c r="C10" s="36" t="s">
        <v>274</v>
      </c>
      <c r="D10" s="36">
        <v>10</v>
      </c>
      <c r="E10" s="36">
        <v>0</v>
      </c>
      <c r="F10" s="36">
        <v>700</v>
      </c>
      <c r="G10" s="36">
        <v>1E+30</v>
      </c>
      <c r="H10" s="36">
        <v>225</v>
      </c>
    </row>
    <row r="11" spans="1:8" x14ac:dyDescent="0.2">
      <c r="B11" s="36" t="s">
        <v>275</v>
      </c>
      <c r="C11" s="36" t="s">
        <v>276</v>
      </c>
      <c r="D11" s="36">
        <v>10</v>
      </c>
      <c r="E11" s="36">
        <v>0</v>
      </c>
      <c r="F11" s="36">
        <v>400</v>
      </c>
      <c r="G11" s="36">
        <v>200</v>
      </c>
      <c r="H11" s="36">
        <v>1E+30</v>
      </c>
    </row>
    <row r="12" spans="1:8" x14ac:dyDescent="0.2">
      <c r="B12" s="36" t="s">
        <v>277</v>
      </c>
      <c r="C12" s="36" t="s">
        <v>278</v>
      </c>
      <c r="D12" s="36">
        <v>1.8000000000000003</v>
      </c>
      <c r="E12" s="36">
        <v>0</v>
      </c>
      <c r="F12" s="36">
        <v>10000</v>
      </c>
      <c r="G12" s="36">
        <v>1500</v>
      </c>
      <c r="H12" s="36">
        <v>1250</v>
      </c>
    </row>
    <row r="13" spans="1:8" x14ac:dyDescent="0.2">
      <c r="B13" s="36" t="s">
        <v>279</v>
      </c>
      <c r="C13" s="36" t="s">
        <v>280</v>
      </c>
      <c r="D13" s="36">
        <v>8.1999999999999993</v>
      </c>
      <c r="E13" s="36">
        <v>0</v>
      </c>
      <c r="F13" s="36">
        <v>7500</v>
      </c>
      <c r="G13" s="36">
        <v>1250</v>
      </c>
      <c r="H13" s="36">
        <v>833.33333333333337</v>
      </c>
    </row>
    <row r="14" spans="1:8" ht="17" thickBot="1" x14ac:dyDescent="0.25">
      <c r="B14" s="35" t="s">
        <v>281</v>
      </c>
      <c r="C14" s="35" t="s">
        <v>282</v>
      </c>
      <c r="D14" s="35">
        <v>1.7999999999999998</v>
      </c>
      <c r="E14" s="35">
        <v>0</v>
      </c>
      <c r="F14" s="35">
        <v>5000</v>
      </c>
      <c r="G14" s="35">
        <v>833.33333333333337</v>
      </c>
      <c r="H14" s="35">
        <v>2500</v>
      </c>
    </row>
    <row r="16" spans="1:8" ht="17" thickBot="1" x14ac:dyDescent="0.25">
      <c r="A16" t="s">
        <v>6</v>
      </c>
    </row>
    <row r="17" spans="2:8" x14ac:dyDescent="0.2">
      <c r="B17" s="37"/>
      <c r="C17" s="37"/>
      <c r="D17" s="37" t="s">
        <v>305</v>
      </c>
      <c r="E17" s="37" t="s">
        <v>313</v>
      </c>
      <c r="F17" s="37" t="s">
        <v>315</v>
      </c>
      <c r="G17" s="37" t="s">
        <v>310</v>
      </c>
      <c r="H17" s="37" t="s">
        <v>310</v>
      </c>
    </row>
    <row r="18" spans="2:8" ht="17" thickBot="1" x14ac:dyDescent="0.25">
      <c r="B18" s="38" t="s">
        <v>268</v>
      </c>
      <c r="C18" s="38" t="s">
        <v>269</v>
      </c>
      <c r="D18" s="38" t="s">
        <v>306</v>
      </c>
      <c r="E18" s="38" t="s">
        <v>314</v>
      </c>
      <c r="F18" s="38" t="s">
        <v>316</v>
      </c>
      <c r="G18" s="38" t="s">
        <v>311</v>
      </c>
      <c r="H18" s="38" t="s">
        <v>312</v>
      </c>
    </row>
    <row r="19" spans="2:8" x14ac:dyDescent="0.2">
      <c r="B19" s="36" t="s">
        <v>317</v>
      </c>
      <c r="C19" s="36" t="s">
        <v>284</v>
      </c>
      <c r="D19" s="36">
        <v>20</v>
      </c>
      <c r="E19" s="36">
        <v>0</v>
      </c>
      <c r="F19" s="36">
        <v>10</v>
      </c>
      <c r="G19" s="36">
        <v>10</v>
      </c>
      <c r="H19" s="36">
        <v>1E+30</v>
      </c>
    </row>
    <row r="20" spans="2:8" x14ac:dyDescent="0.2">
      <c r="B20" s="36" t="s">
        <v>318</v>
      </c>
      <c r="C20" s="36" t="s">
        <v>286</v>
      </c>
      <c r="D20" s="36">
        <v>20</v>
      </c>
      <c r="E20" s="36">
        <v>-200</v>
      </c>
      <c r="F20" s="36">
        <v>20</v>
      </c>
      <c r="G20" s="36">
        <v>0</v>
      </c>
      <c r="H20" s="36">
        <v>10</v>
      </c>
    </row>
    <row r="21" spans="2:8" x14ac:dyDescent="0.2">
      <c r="B21" s="36" t="s">
        <v>283</v>
      </c>
      <c r="C21" s="36" t="s">
        <v>288</v>
      </c>
      <c r="D21" s="36">
        <v>10</v>
      </c>
      <c r="E21" s="36">
        <v>0</v>
      </c>
      <c r="F21" s="36">
        <v>5</v>
      </c>
      <c r="G21" s="36">
        <v>5</v>
      </c>
      <c r="H21" s="36">
        <v>1E+30</v>
      </c>
    </row>
    <row r="22" spans="2:8" x14ac:dyDescent="0.2">
      <c r="B22" s="36" t="s">
        <v>285</v>
      </c>
      <c r="C22" s="36" t="s">
        <v>290</v>
      </c>
      <c r="D22" s="36">
        <v>10</v>
      </c>
      <c r="E22" s="36">
        <v>-1000</v>
      </c>
      <c r="F22" s="36">
        <v>10</v>
      </c>
      <c r="G22" s="36">
        <v>2.25</v>
      </c>
      <c r="H22" s="36">
        <v>3.9999999999999996</v>
      </c>
    </row>
    <row r="23" spans="2:8" x14ac:dyDescent="0.2">
      <c r="B23" s="36" t="s">
        <v>287</v>
      </c>
      <c r="C23" s="36" t="s">
        <v>292</v>
      </c>
      <c r="D23" s="36">
        <v>10</v>
      </c>
      <c r="E23" s="36">
        <v>150</v>
      </c>
      <c r="F23" s="36">
        <v>10</v>
      </c>
      <c r="G23" s="36">
        <v>17.999999999999996</v>
      </c>
      <c r="H23" s="36">
        <v>10</v>
      </c>
    </row>
    <row r="24" spans="2:8" x14ac:dyDescent="0.2">
      <c r="B24" s="36" t="s">
        <v>289</v>
      </c>
      <c r="C24" s="36" t="s">
        <v>294</v>
      </c>
      <c r="D24" s="36">
        <v>20</v>
      </c>
      <c r="E24" s="36">
        <v>225</v>
      </c>
      <c r="F24" s="36">
        <v>20</v>
      </c>
      <c r="G24" s="36">
        <v>10</v>
      </c>
      <c r="H24" s="36">
        <v>0</v>
      </c>
    </row>
    <row r="25" spans="2:8" x14ac:dyDescent="0.2">
      <c r="B25" s="36" t="s">
        <v>291</v>
      </c>
      <c r="C25" s="36" t="s">
        <v>296</v>
      </c>
      <c r="D25" s="36">
        <v>30</v>
      </c>
      <c r="E25" s="36">
        <v>0</v>
      </c>
      <c r="F25" s="36">
        <v>30</v>
      </c>
      <c r="G25" s="36">
        <v>1E+30</v>
      </c>
      <c r="H25" s="36">
        <v>0</v>
      </c>
    </row>
    <row r="26" spans="2:8" x14ac:dyDescent="0.2">
      <c r="B26" s="36" t="s">
        <v>293</v>
      </c>
      <c r="C26" s="36" t="s">
        <v>298</v>
      </c>
      <c r="D26" s="36">
        <v>1.8000000000000003</v>
      </c>
      <c r="E26" s="36">
        <v>0</v>
      </c>
      <c r="F26" s="36">
        <v>5</v>
      </c>
      <c r="G26" s="36">
        <v>1E+30</v>
      </c>
      <c r="H26" s="36">
        <v>3.1999999999999997</v>
      </c>
    </row>
    <row r="27" spans="2:8" x14ac:dyDescent="0.2">
      <c r="B27" s="36" t="s">
        <v>295</v>
      </c>
      <c r="C27" s="36" t="s">
        <v>300</v>
      </c>
      <c r="D27" s="36">
        <v>10</v>
      </c>
      <c r="E27" s="36">
        <v>1000</v>
      </c>
      <c r="F27" s="36">
        <v>10</v>
      </c>
      <c r="G27" s="36">
        <v>1.5</v>
      </c>
      <c r="H27" s="36">
        <v>5</v>
      </c>
    </row>
    <row r="28" spans="2:8" x14ac:dyDescent="0.2">
      <c r="B28" s="36" t="s">
        <v>297</v>
      </c>
      <c r="C28" s="36" t="s">
        <v>301</v>
      </c>
      <c r="D28" s="36">
        <v>10</v>
      </c>
      <c r="E28" s="36">
        <v>0</v>
      </c>
      <c r="F28" s="36">
        <v>15</v>
      </c>
      <c r="G28" s="36">
        <v>1E+30</v>
      </c>
      <c r="H28" s="36">
        <v>5</v>
      </c>
    </row>
    <row r="29" spans="2:8" ht="17" thickBot="1" x14ac:dyDescent="0.25">
      <c r="B29" s="35" t="s">
        <v>299</v>
      </c>
      <c r="C29" s="35" t="s">
        <v>302</v>
      </c>
      <c r="D29" s="35">
        <v>145000</v>
      </c>
      <c r="E29" s="35">
        <v>0.75</v>
      </c>
      <c r="F29" s="35">
        <v>145000</v>
      </c>
      <c r="G29" s="35">
        <v>31999.999999999996</v>
      </c>
      <c r="H29" s="35">
        <v>17999.999999999996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E93F1-66EF-6B4F-9F2B-D2B1809036E8}">
  <dimension ref="A1:D25"/>
  <sheetViews>
    <sheetView tabSelected="1" zoomScale="150" workbookViewId="0">
      <selection activeCell="B13" sqref="B13"/>
    </sheetView>
  </sheetViews>
  <sheetFormatPr baseColWidth="10" defaultRowHeight="16" x14ac:dyDescent="0.2"/>
  <cols>
    <col min="1" max="1" width="53" style="4" bestFit="1" customWidth="1"/>
    <col min="2" max="2" width="7.5" style="4" bestFit="1" customWidth="1"/>
    <col min="3" max="3" width="6.1640625" bestFit="1" customWidth="1"/>
    <col min="4" max="4" width="7.1640625" bestFit="1" customWidth="1"/>
    <col min="5" max="5" width="17" bestFit="1" customWidth="1"/>
  </cols>
  <sheetData>
    <row r="1" spans="1:4" x14ac:dyDescent="0.2">
      <c r="B1" s="7" t="s">
        <v>68</v>
      </c>
      <c r="C1" s="8" t="s">
        <v>255</v>
      </c>
      <c r="D1" s="8" t="s">
        <v>96</v>
      </c>
    </row>
    <row r="2" spans="1:4" x14ac:dyDescent="0.2">
      <c r="A2" s="7" t="s">
        <v>251</v>
      </c>
      <c r="B2" s="7">
        <v>10</v>
      </c>
      <c r="C2">
        <v>900</v>
      </c>
      <c r="D2">
        <v>1000</v>
      </c>
    </row>
    <row r="3" spans="1:4" x14ac:dyDescent="0.2">
      <c r="A3" s="7" t="s">
        <v>252</v>
      </c>
      <c r="B3" s="7">
        <v>10</v>
      </c>
      <c r="C3">
        <v>700</v>
      </c>
      <c r="D3">
        <v>900</v>
      </c>
    </row>
    <row r="4" spans="1:4" x14ac:dyDescent="0.2">
      <c r="A4" s="7" t="s">
        <v>253</v>
      </c>
      <c r="B4" s="7">
        <v>0</v>
      </c>
      <c r="C4">
        <v>400</v>
      </c>
      <c r="D4">
        <v>800</v>
      </c>
    </row>
    <row r="5" spans="1:4" x14ac:dyDescent="0.2">
      <c r="A5" s="7" t="s">
        <v>22</v>
      </c>
      <c r="B5" s="7">
        <v>5</v>
      </c>
      <c r="C5">
        <v>10000</v>
      </c>
      <c r="D5">
        <v>12000</v>
      </c>
    </row>
    <row r="6" spans="1:4" x14ac:dyDescent="0.2">
      <c r="A6" s="7" t="s">
        <v>23</v>
      </c>
      <c r="B6" s="7">
        <v>5</v>
      </c>
      <c r="C6">
        <v>7500</v>
      </c>
      <c r="D6">
        <v>10000</v>
      </c>
    </row>
    <row r="7" spans="1:4" x14ac:dyDescent="0.2">
      <c r="A7" s="7" t="s">
        <v>254</v>
      </c>
      <c r="B7" s="7">
        <v>2</v>
      </c>
      <c r="C7">
        <v>5000</v>
      </c>
      <c r="D7">
        <v>8000</v>
      </c>
    </row>
    <row r="8" spans="1:4" x14ac:dyDescent="0.2">
      <c r="A8" s="7"/>
      <c r="B8" s="7"/>
    </row>
    <row r="9" spans="1:4" x14ac:dyDescent="0.2">
      <c r="A9" s="7" t="s">
        <v>145</v>
      </c>
      <c r="B9" s="26">
        <f>SUMPRODUCT(B2:B7,C2:C7)</f>
        <v>113500</v>
      </c>
    </row>
    <row r="10" spans="1:4" x14ac:dyDescent="0.2">
      <c r="A10" s="7"/>
      <c r="B10" s="7"/>
    </row>
    <row r="11" spans="1:4" x14ac:dyDescent="0.2">
      <c r="A11" s="4" t="s">
        <v>257</v>
      </c>
      <c r="B11" s="4">
        <f>B3+B2</f>
        <v>20</v>
      </c>
      <c r="C11" t="s">
        <v>35</v>
      </c>
      <c r="D11">
        <v>10</v>
      </c>
    </row>
    <row r="12" spans="1:4" x14ac:dyDescent="0.2">
      <c r="A12" s="4" t="s">
        <v>260</v>
      </c>
      <c r="B12" s="4">
        <f>B4+B3</f>
        <v>10</v>
      </c>
      <c r="C12" t="s">
        <v>35</v>
      </c>
      <c r="D12">
        <v>20</v>
      </c>
    </row>
    <row r="13" spans="1:4" x14ac:dyDescent="0.2">
      <c r="A13" s="4" t="s">
        <v>265</v>
      </c>
      <c r="B13" s="4">
        <f>B6+B5</f>
        <v>10</v>
      </c>
      <c r="C13" t="s">
        <v>35</v>
      </c>
      <c r="D13">
        <v>5</v>
      </c>
    </row>
    <row r="14" spans="1:4" x14ac:dyDescent="0.2">
      <c r="A14" s="4" t="s">
        <v>261</v>
      </c>
      <c r="B14" s="4">
        <f>B7+B6</f>
        <v>7</v>
      </c>
      <c r="C14" t="s">
        <v>35</v>
      </c>
      <c r="D14">
        <v>10</v>
      </c>
    </row>
    <row r="15" spans="1:4" x14ac:dyDescent="0.2">
      <c r="A15" s="4" t="s">
        <v>256</v>
      </c>
      <c r="B15" s="4">
        <f>B2</f>
        <v>10</v>
      </c>
      <c r="C15" t="s">
        <v>13</v>
      </c>
      <c r="D15">
        <v>10</v>
      </c>
    </row>
    <row r="16" spans="1:4" x14ac:dyDescent="0.2">
      <c r="A16" s="4" t="s">
        <v>258</v>
      </c>
      <c r="B16" s="4">
        <f>B3+10</f>
        <v>20</v>
      </c>
      <c r="C16" t="s">
        <v>13</v>
      </c>
      <c r="D16">
        <v>20</v>
      </c>
    </row>
    <row r="17" spans="1:4" x14ac:dyDescent="0.2">
      <c r="A17" s="4" t="s">
        <v>259</v>
      </c>
      <c r="B17" s="4">
        <f>B4+20</f>
        <v>20</v>
      </c>
      <c r="C17" t="s">
        <v>13</v>
      </c>
      <c r="D17">
        <v>30</v>
      </c>
    </row>
    <row r="18" spans="1:4" x14ac:dyDescent="0.2">
      <c r="A18" s="4" t="s">
        <v>262</v>
      </c>
      <c r="B18" s="4">
        <f>B5</f>
        <v>5</v>
      </c>
      <c r="C18" t="s">
        <v>13</v>
      </c>
      <c r="D18">
        <v>5</v>
      </c>
    </row>
    <row r="19" spans="1:4" x14ac:dyDescent="0.2">
      <c r="A19" s="4" t="s">
        <v>263</v>
      </c>
      <c r="B19" s="4">
        <f>B6+B5</f>
        <v>10</v>
      </c>
      <c r="C19" t="s">
        <v>13</v>
      </c>
      <c r="D19">
        <v>10</v>
      </c>
    </row>
    <row r="20" spans="1:4" x14ac:dyDescent="0.2">
      <c r="A20" s="4" t="s">
        <v>264</v>
      </c>
      <c r="B20" s="4">
        <f>B7+B6</f>
        <v>7</v>
      </c>
      <c r="C20" t="s">
        <v>13</v>
      </c>
      <c r="D20">
        <v>15</v>
      </c>
    </row>
    <row r="21" spans="1:4" x14ac:dyDescent="0.2">
      <c r="A21" s="7" t="s">
        <v>266</v>
      </c>
      <c r="B21" s="4">
        <f>SUMPRODUCT(B2:B7,D2:D7)</f>
        <v>145000</v>
      </c>
      <c r="C21" t="s">
        <v>13</v>
      </c>
      <c r="D21">
        <v>145000</v>
      </c>
    </row>
    <row r="22" spans="1:4" x14ac:dyDescent="0.2">
      <c r="A22" s="4" t="s">
        <v>319</v>
      </c>
      <c r="B22" s="4">
        <f>B2-B3</f>
        <v>0</v>
      </c>
      <c r="C22" t="s">
        <v>35</v>
      </c>
      <c r="D22">
        <v>0</v>
      </c>
    </row>
    <row r="23" spans="1:4" x14ac:dyDescent="0.2">
      <c r="A23" s="4" t="s">
        <v>320</v>
      </c>
      <c r="B23" s="4">
        <f>B3-B4</f>
        <v>10</v>
      </c>
      <c r="C23" t="s">
        <v>35</v>
      </c>
      <c r="D23">
        <v>0</v>
      </c>
    </row>
    <row r="24" spans="1:4" x14ac:dyDescent="0.2">
      <c r="A24" s="4" t="s">
        <v>321</v>
      </c>
      <c r="B24" s="4">
        <f>B5-B6</f>
        <v>0</v>
      </c>
      <c r="C24" t="s">
        <v>35</v>
      </c>
      <c r="D24">
        <v>0</v>
      </c>
    </row>
    <row r="25" spans="1:4" x14ac:dyDescent="0.2">
      <c r="A25" s="4" t="s">
        <v>322</v>
      </c>
      <c r="B25" s="4">
        <f>B6-B7</f>
        <v>3</v>
      </c>
      <c r="C25" t="s">
        <v>35</v>
      </c>
      <c r="D25">
        <v>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6188-49FE-574B-98BC-A331CB617F86}">
  <dimension ref="A6:J51"/>
  <sheetViews>
    <sheetView topLeftCell="A10" zoomScale="114" workbookViewId="0">
      <selection activeCell="F38" sqref="F38"/>
    </sheetView>
  </sheetViews>
  <sheetFormatPr baseColWidth="10" defaultRowHeight="16" x14ac:dyDescent="0.2"/>
  <cols>
    <col min="1" max="1" width="64.83203125" style="4" bestFit="1" customWidth="1"/>
    <col min="2" max="2" width="12.33203125" bestFit="1" customWidth="1"/>
  </cols>
  <sheetData>
    <row r="6" spans="1:9" x14ac:dyDescent="0.2">
      <c r="B6" s="8" t="s">
        <v>113</v>
      </c>
      <c r="C6" s="8" t="s">
        <v>114</v>
      </c>
      <c r="D6" s="8" t="s">
        <v>115</v>
      </c>
      <c r="E6" s="8" t="s">
        <v>118</v>
      </c>
      <c r="F6" s="8" t="s">
        <v>128</v>
      </c>
      <c r="G6" s="8" t="s">
        <v>129</v>
      </c>
      <c r="H6" s="8" t="s">
        <v>130</v>
      </c>
      <c r="I6" s="8" t="s">
        <v>150</v>
      </c>
    </row>
    <row r="7" spans="1:9" x14ac:dyDescent="0.2">
      <c r="A7" s="7" t="s">
        <v>37</v>
      </c>
      <c r="B7" s="15" t="s">
        <v>121</v>
      </c>
      <c r="C7" s="15" t="s">
        <v>122</v>
      </c>
      <c r="D7" s="15" t="s">
        <v>123</v>
      </c>
      <c r="E7" s="15" t="s">
        <v>124</v>
      </c>
      <c r="F7" s="15" t="s">
        <v>131</v>
      </c>
      <c r="G7" s="15" t="s">
        <v>132</v>
      </c>
      <c r="H7" s="15" t="s">
        <v>133</v>
      </c>
      <c r="I7" s="23" t="s">
        <v>151</v>
      </c>
    </row>
    <row r="8" spans="1:9" x14ac:dyDescent="0.2">
      <c r="A8" s="24" t="s">
        <v>116</v>
      </c>
      <c r="B8" s="16" t="s">
        <v>142</v>
      </c>
      <c r="C8" s="16"/>
    </row>
    <row r="9" spans="1:9" x14ac:dyDescent="0.2">
      <c r="A9" s="24"/>
      <c r="D9" s="17" t="s">
        <v>141</v>
      </c>
      <c r="E9" s="16"/>
    </row>
    <row r="10" spans="1:9" x14ac:dyDescent="0.2">
      <c r="A10" s="24"/>
      <c r="F10" s="17" t="s">
        <v>140</v>
      </c>
      <c r="G10" s="16"/>
    </row>
    <row r="11" spans="1:9" x14ac:dyDescent="0.2">
      <c r="A11" s="24"/>
      <c r="H11" s="17" t="s">
        <v>152</v>
      </c>
      <c r="I11" s="16"/>
    </row>
    <row r="12" spans="1:9" x14ac:dyDescent="0.2">
      <c r="A12" s="7" t="s">
        <v>2</v>
      </c>
      <c r="B12" s="18" t="s">
        <v>139</v>
      </c>
      <c r="C12" s="18"/>
      <c r="D12" s="18"/>
    </row>
    <row r="13" spans="1:9" x14ac:dyDescent="0.2">
      <c r="A13" s="7"/>
      <c r="E13" s="18" t="s">
        <v>138</v>
      </c>
      <c r="F13" s="18"/>
      <c r="G13" s="18"/>
    </row>
    <row r="14" spans="1:9" x14ac:dyDescent="0.2">
      <c r="A14" s="7" t="s">
        <v>117</v>
      </c>
      <c r="B14" s="19" t="s">
        <v>137</v>
      </c>
      <c r="C14" s="19"/>
      <c r="D14" s="19"/>
      <c r="E14" s="19"/>
      <c r="F14" s="19"/>
      <c r="G14" s="19"/>
      <c r="H14" s="19"/>
    </row>
    <row r="15" spans="1:9" x14ac:dyDescent="0.2">
      <c r="A15" s="7" t="s">
        <v>125</v>
      </c>
      <c r="G15" s="6" t="s">
        <v>125</v>
      </c>
    </row>
    <row r="16" spans="1:9" x14ac:dyDescent="0.2">
      <c r="A16" s="7" t="s">
        <v>126</v>
      </c>
      <c r="H16" s="6" t="s">
        <v>126</v>
      </c>
    </row>
    <row r="17" spans="1:10" x14ac:dyDescent="0.2">
      <c r="A17" s="7" t="s">
        <v>127</v>
      </c>
      <c r="I17" s="6" t="s">
        <v>127</v>
      </c>
    </row>
    <row r="18" spans="1:10" x14ac:dyDescent="0.2">
      <c r="A18" s="7"/>
      <c r="J18" t="s">
        <v>153</v>
      </c>
    </row>
    <row r="20" spans="1:10" x14ac:dyDescent="0.2">
      <c r="A20" s="20" t="s">
        <v>144</v>
      </c>
      <c r="B20" s="20"/>
      <c r="C20" s="20"/>
    </row>
    <row r="21" spans="1:10" x14ac:dyDescent="0.2">
      <c r="A21" s="4" t="s">
        <v>121</v>
      </c>
      <c r="B21">
        <v>0</v>
      </c>
      <c r="C21">
        <v>1.06</v>
      </c>
    </row>
    <row r="22" spans="1:10" x14ac:dyDescent="0.2">
      <c r="A22" s="4" t="s">
        <v>122</v>
      </c>
      <c r="B22">
        <v>0</v>
      </c>
      <c r="C22">
        <v>1.06</v>
      </c>
    </row>
    <row r="23" spans="1:10" x14ac:dyDescent="0.2">
      <c r="A23" s="4" t="s">
        <v>123</v>
      </c>
      <c r="B23">
        <v>1.8189894035458565E-12</v>
      </c>
      <c r="C23">
        <v>1.06</v>
      </c>
    </row>
    <row r="24" spans="1:10" x14ac:dyDescent="0.2">
      <c r="A24" s="4" t="s">
        <v>124</v>
      </c>
      <c r="B24">
        <v>0</v>
      </c>
      <c r="C24">
        <v>1.06</v>
      </c>
    </row>
    <row r="25" spans="1:10" x14ac:dyDescent="0.2">
      <c r="A25" s="4" t="s">
        <v>131</v>
      </c>
      <c r="B25">
        <v>11320.754716986574</v>
      </c>
      <c r="C25">
        <v>1.06</v>
      </c>
    </row>
    <row r="26" spans="1:10" x14ac:dyDescent="0.2">
      <c r="A26" s="4" t="s">
        <v>132</v>
      </c>
      <c r="B26">
        <v>0</v>
      </c>
      <c r="C26">
        <v>1.06</v>
      </c>
    </row>
    <row r="27" spans="1:10" x14ac:dyDescent="0.2">
      <c r="A27" s="4" t="s">
        <v>133</v>
      </c>
      <c r="B27">
        <v>0</v>
      </c>
      <c r="C27">
        <v>1.06</v>
      </c>
    </row>
    <row r="28" spans="1:10" x14ac:dyDescent="0.2">
      <c r="A28" s="4" t="s">
        <v>151</v>
      </c>
      <c r="B28">
        <v>16981.132075471698</v>
      </c>
      <c r="C28">
        <v>1.06</v>
      </c>
    </row>
    <row r="29" spans="1:10" x14ac:dyDescent="0.2">
      <c r="A29" s="4" t="s">
        <v>119</v>
      </c>
      <c r="B29">
        <v>18160.554379331184</v>
      </c>
      <c r="C29">
        <v>1.1399999999999999</v>
      </c>
    </row>
    <row r="30" spans="1:10" x14ac:dyDescent="0.2">
      <c r="A30" s="4" t="s">
        <v>120</v>
      </c>
      <c r="B30">
        <v>20703.031992437551</v>
      </c>
      <c r="C30">
        <v>1.1399999999999999</v>
      </c>
    </row>
    <row r="31" spans="1:10" x14ac:dyDescent="0.2">
      <c r="A31" s="4" t="s">
        <v>134</v>
      </c>
      <c r="B31">
        <v>12280.701754392232</v>
      </c>
      <c r="C31">
        <v>1.1399999999999999</v>
      </c>
    </row>
    <row r="32" spans="1:10" x14ac:dyDescent="0.2">
      <c r="A32" s="4" t="s">
        <v>154</v>
      </c>
      <c r="B32">
        <v>0</v>
      </c>
      <c r="C32">
        <v>1.1399999999999999</v>
      </c>
    </row>
    <row r="33" spans="1:8" x14ac:dyDescent="0.2">
      <c r="A33" s="4" t="s">
        <v>135</v>
      </c>
      <c r="B33">
        <v>0</v>
      </c>
      <c r="C33">
        <v>1.18</v>
      </c>
    </row>
    <row r="34" spans="1:8" x14ac:dyDescent="0.2">
      <c r="A34" s="4" t="s">
        <v>136</v>
      </c>
      <c r="B34">
        <v>0</v>
      </c>
      <c r="C34">
        <v>1.18</v>
      </c>
    </row>
    <row r="35" spans="1:8" x14ac:dyDescent="0.2">
      <c r="A35" s="4" t="s">
        <v>117</v>
      </c>
      <c r="B35">
        <v>19988.564894229679</v>
      </c>
      <c r="C35">
        <v>1.65</v>
      </c>
    </row>
    <row r="37" spans="1:8" x14ac:dyDescent="0.2">
      <c r="A37" s="20" t="s">
        <v>145</v>
      </c>
      <c r="B37" s="20"/>
      <c r="C37" s="20"/>
      <c r="D37" s="22"/>
      <c r="E37" s="22"/>
      <c r="F37" s="22"/>
    </row>
    <row r="38" spans="1:8" x14ac:dyDescent="0.2">
      <c r="A38" s="7" t="s">
        <v>143</v>
      </c>
      <c r="B38" s="21">
        <f>B21+B29+B33+B35</f>
        <v>38149.119273560864</v>
      </c>
      <c r="C38" s="21"/>
      <c r="D38" s="21"/>
      <c r="E38" s="21"/>
      <c r="F38" s="21"/>
      <c r="G38" s="21"/>
      <c r="H38" s="21"/>
    </row>
    <row r="40" spans="1:8" x14ac:dyDescent="0.2">
      <c r="A40" s="20" t="s">
        <v>6</v>
      </c>
      <c r="B40" s="20"/>
      <c r="C40" s="20"/>
    </row>
    <row r="41" spans="1:8" x14ac:dyDescent="0.2">
      <c r="A41" s="4" t="s">
        <v>158</v>
      </c>
      <c r="B41">
        <f>B25*C25-B26</f>
        <v>12000.000000005768</v>
      </c>
      <c r="C41" t="s">
        <v>35</v>
      </c>
      <c r="D41">
        <v>12000</v>
      </c>
    </row>
    <row r="42" spans="1:8" x14ac:dyDescent="0.2">
      <c r="A42" s="4" t="s">
        <v>157</v>
      </c>
      <c r="B42">
        <f>B26*C26+B31*C31+B34*C34-B27-B32</f>
        <v>14000.000000007143</v>
      </c>
      <c r="C42" t="s">
        <v>35</v>
      </c>
      <c r="D42">
        <v>14000</v>
      </c>
    </row>
    <row r="43" spans="1:8" x14ac:dyDescent="0.2">
      <c r="A43" s="4" t="s">
        <v>159</v>
      </c>
      <c r="B43">
        <f>B27*C27+B35*C35</f>
        <v>32981.13207547897</v>
      </c>
      <c r="C43" t="s">
        <v>35</v>
      </c>
      <c r="D43">
        <v>16000</v>
      </c>
    </row>
    <row r="44" spans="1:8" x14ac:dyDescent="0.2">
      <c r="A44" s="4" t="s">
        <v>155</v>
      </c>
      <c r="B44">
        <f>B28*C28+B32*C32</f>
        <v>18000</v>
      </c>
      <c r="C44" t="s">
        <v>156</v>
      </c>
      <c r="D44">
        <v>18000</v>
      </c>
    </row>
    <row r="45" spans="1:8" x14ac:dyDescent="0.2">
      <c r="A45" s="4" t="s">
        <v>148</v>
      </c>
      <c r="B45">
        <f>B22-B21*C21</f>
        <v>0</v>
      </c>
      <c r="C45" t="s">
        <v>14</v>
      </c>
      <c r="D45">
        <v>0</v>
      </c>
    </row>
    <row r="46" spans="1:8" x14ac:dyDescent="0.2">
      <c r="A46" s="4" t="s">
        <v>146</v>
      </c>
      <c r="B46">
        <f>B23+B30-B22*C22-B29*C29</f>
        <v>0</v>
      </c>
      <c r="C46" t="s">
        <v>14</v>
      </c>
      <c r="D46">
        <v>0</v>
      </c>
    </row>
    <row r="47" spans="1:8" x14ac:dyDescent="0.2">
      <c r="A47" s="4" t="s">
        <v>147</v>
      </c>
      <c r="B47">
        <f>B24+B34-B23*C23-B33*C33</f>
        <v>-1.928128767758608E-12</v>
      </c>
      <c r="C47" t="s">
        <v>14</v>
      </c>
      <c r="D47">
        <v>0</v>
      </c>
    </row>
    <row r="48" spans="1:8" x14ac:dyDescent="0.2">
      <c r="A48" s="4" t="s">
        <v>149</v>
      </c>
      <c r="B48">
        <f>B25+B31-B24*C24-B30*C30</f>
        <v>0</v>
      </c>
      <c r="C48" t="s">
        <v>14</v>
      </c>
      <c r="D48">
        <v>0</v>
      </c>
    </row>
    <row r="49" spans="1:4" x14ac:dyDescent="0.2">
      <c r="A49" s="4" t="s">
        <v>160</v>
      </c>
      <c r="B49">
        <f>B26+12000-B25*C25</f>
        <v>-5.7680153986439109E-9</v>
      </c>
      <c r="C49" t="s">
        <v>14</v>
      </c>
      <c r="D49">
        <v>0</v>
      </c>
    </row>
    <row r="50" spans="1:4" x14ac:dyDescent="0.2">
      <c r="A50" s="4" t="s">
        <v>161</v>
      </c>
      <c r="B50">
        <f>14000+B27+B32-B26*C26-B31*C31-B34*C34</f>
        <v>-7.1431713877245784E-9</v>
      </c>
      <c r="C50" t="s">
        <v>14</v>
      </c>
      <c r="D50">
        <v>0</v>
      </c>
    </row>
    <row r="51" spans="1:4" x14ac:dyDescent="0.2">
      <c r="A51" s="4" t="s">
        <v>162</v>
      </c>
      <c r="B51">
        <f>B28+16000-1.06*B27-B35*C35</f>
        <v>-7.2686816565692425E-9</v>
      </c>
      <c r="C51" t="s">
        <v>14</v>
      </c>
      <c r="D51">
        <v>0</v>
      </c>
    </row>
  </sheetData>
  <mergeCells count="11">
    <mergeCell ref="A20:C20"/>
    <mergeCell ref="A37:C37"/>
    <mergeCell ref="A40:C40"/>
    <mergeCell ref="H11:I11"/>
    <mergeCell ref="A8:A11"/>
    <mergeCell ref="B8:C8"/>
    <mergeCell ref="D9:E9"/>
    <mergeCell ref="B12:D12"/>
    <mergeCell ref="F10:G10"/>
    <mergeCell ref="E13:G13"/>
    <mergeCell ref="B14:H14"/>
  </mergeCells>
  <phoneticPr fontId="5"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81E36-29DE-A943-979A-EF305F4D50F2}">
  <dimension ref="A6:J57"/>
  <sheetViews>
    <sheetView topLeftCell="A24" zoomScale="114" workbookViewId="0">
      <selection activeCell="R39" sqref="R39"/>
    </sheetView>
  </sheetViews>
  <sheetFormatPr baseColWidth="10" defaultRowHeight="16" x14ac:dyDescent="0.2"/>
  <cols>
    <col min="1" max="1" width="64.83203125" style="4" bestFit="1" customWidth="1"/>
    <col min="2" max="2" width="12.83203125" bestFit="1" customWidth="1"/>
    <col min="3" max="3" width="7.83203125" bestFit="1" customWidth="1"/>
  </cols>
  <sheetData>
    <row r="6" spans="1:9" x14ac:dyDescent="0.2">
      <c r="B6" s="8" t="s">
        <v>113</v>
      </c>
      <c r="C6" s="8" t="s">
        <v>114</v>
      </c>
      <c r="D6" s="8" t="s">
        <v>115</v>
      </c>
      <c r="E6" s="8" t="s">
        <v>118</v>
      </c>
      <c r="F6" s="8" t="s">
        <v>128</v>
      </c>
      <c r="G6" s="8" t="s">
        <v>129</v>
      </c>
      <c r="H6" s="8" t="s">
        <v>130</v>
      </c>
      <c r="I6" s="8" t="s">
        <v>150</v>
      </c>
    </row>
    <row r="7" spans="1:9" x14ac:dyDescent="0.2">
      <c r="A7" s="7" t="s">
        <v>37</v>
      </c>
      <c r="B7" s="15" t="s">
        <v>121</v>
      </c>
      <c r="C7" s="15" t="s">
        <v>122</v>
      </c>
      <c r="D7" s="15" t="s">
        <v>123</v>
      </c>
      <c r="E7" s="15" t="s">
        <v>124</v>
      </c>
      <c r="F7" s="15" t="s">
        <v>131</v>
      </c>
      <c r="G7" s="15" t="s">
        <v>132</v>
      </c>
      <c r="H7" s="15" t="s">
        <v>133</v>
      </c>
      <c r="I7" s="23" t="s">
        <v>151</v>
      </c>
    </row>
    <row r="8" spans="1:9" x14ac:dyDescent="0.2">
      <c r="A8" s="24" t="s">
        <v>116</v>
      </c>
      <c r="B8" s="16" t="s">
        <v>142</v>
      </c>
      <c r="C8" s="16"/>
    </row>
    <row r="9" spans="1:9" x14ac:dyDescent="0.2">
      <c r="A9" s="24"/>
      <c r="D9" s="17" t="s">
        <v>141</v>
      </c>
      <c r="E9" s="16"/>
    </row>
    <row r="10" spans="1:9" x14ac:dyDescent="0.2">
      <c r="A10" s="24"/>
      <c r="F10" s="17" t="s">
        <v>140</v>
      </c>
      <c r="G10" s="16"/>
    </row>
    <row r="11" spans="1:9" x14ac:dyDescent="0.2">
      <c r="A11" s="24"/>
      <c r="H11" s="17" t="s">
        <v>152</v>
      </c>
      <c r="I11" s="16"/>
    </row>
    <row r="12" spans="1:9" x14ac:dyDescent="0.2">
      <c r="A12" s="7" t="s">
        <v>2</v>
      </c>
      <c r="B12" s="18" t="s">
        <v>139</v>
      </c>
      <c r="C12" s="18"/>
      <c r="D12" s="18"/>
    </row>
    <row r="13" spans="1:9" x14ac:dyDescent="0.2">
      <c r="A13" s="7"/>
      <c r="E13" s="18" t="s">
        <v>138</v>
      </c>
      <c r="F13" s="18"/>
      <c r="G13" s="18"/>
    </row>
    <row r="14" spans="1:9" x14ac:dyDescent="0.2">
      <c r="A14" s="7" t="s">
        <v>117</v>
      </c>
      <c r="B14" s="19" t="s">
        <v>137</v>
      </c>
      <c r="C14" s="19"/>
      <c r="D14" s="19"/>
      <c r="E14" s="19"/>
      <c r="F14" s="19"/>
      <c r="G14" s="19"/>
      <c r="H14" s="19"/>
    </row>
    <row r="15" spans="1:9" x14ac:dyDescent="0.2">
      <c r="A15" s="7" t="s">
        <v>125</v>
      </c>
      <c r="G15" s="6" t="s">
        <v>125</v>
      </c>
    </row>
    <row r="16" spans="1:9" x14ac:dyDescent="0.2">
      <c r="A16" s="7" t="s">
        <v>126</v>
      </c>
      <c r="H16" s="6" t="s">
        <v>126</v>
      </c>
    </row>
    <row r="17" spans="1:10" x14ac:dyDescent="0.2">
      <c r="A17" s="7" t="s">
        <v>127</v>
      </c>
      <c r="I17" s="6" t="s">
        <v>127</v>
      </c>
    </row>
    <row r="18" spans="1:10" x14ac:dyDescent="0.2">
      <c r="A18" s="7"/>
      <c r="J18" t="s">
        <v>153</v>
      </c>
    </row>
    <row r="20" spans="1:10" x14ac:dyDescent="0.2">
      <c r="A20" s="20" t="s">
        <v>144</v>
      </c>
      <c r="B20" s="20"/>
      <c r="C20" s="20"/>
      <c r="D20" s="20"/>
    </row>
    <row r="21" spans="1:10" x14ac:dyDescent="0.2">
      <c r="A21" s="8"/>
      <c r="B21" s="8"/>
      <c r="C21" s="8" t="s">
        <v>164</v>
      </c>
      <c r="D21" s="8" t="s">
        <v>163</v>
      </c>
    </row>
    <row r="22" spans="1:10" x14ac:dyDescent="0.2">
      <c r="A22" s="4" t="s">
        <v>121</v>
      </c>
      <c r="B22">
        <v>5939</v>
      </c>
      <c r="C22">
        <v>1.06</v>
      </c>
      <c r="D22">
        <v>1</v>
      </c>
    </row>
    <row r="23" spans="1:10" x14ac:dyDescent="0.2">
      <c r="A23" s="4" t="s">
        <v>122</v>
      </c>
      <c r="B23">
        <v>6295.3400000000092</v>
      </c>
      <c r="C23">
        <v>1.06</v>
      </c>
      <c r="D23">
        <v>1</v>
      </c>
    </row>
    <row r="24" spans="1:10" x14ac:dyDescent="0.2">
      <c r="A24" s="4" t="s">
        <v>123</v>
      </c>
      <c r="B24">
        <v>0</v>
      </c>
      <c r="C24">
        <v>1.06</v>
      </c>
      <c r="D24">
        <v>1</v>
      </c>
    </row>
    <row r="25" spans="1:10" x14ac:dyDescent="0.2">
      <c r="A25" s="4" t="s">
        <v>124</v>
      </c>
      <c r="B25">
        <v>1.0913936421275139E-11</v>
      </c>
      <c r="C25">
        <v>1.06</v>
      </c>
      <c r="D25">
        <v>1</v>
      </c>
    </row>
    <row r="26" spans="1:10" x14ac:dyDescent="0.2">
      <c r="A26" s="4" t="s">
        <v>131</v>
      </c>
      <c r="B26">
        <v>11381.365320376477</v>
      </c>
      <c r="C26">
        <v>1.06</v>
      </c>
      <c r="D26">
        <v>1</v>
      </c>
    </row>
    <row r="27" spans="1:10" x14ac:dyDescent="0.2">
      <c r="A27" s="4" t="s">
        <v>132</v>
      </c>
      <c r="B27">
        <v>64.247239593270521</v>
      </c>
      <c r="C27">
        <v>1.06</v>
      </c>
      <c r="D27">
        <v>1</v>
      </c>
    </row>
    <row r="28" spans="1:10" x14ac:dyDescent="0.2">
      <c r="A28" s="4" t="s">
        <v>133</v>
      </c>
      <c r="B28">
        <v>0</v>
      </c>
      <c r="C28">
        <v>1.06</v>
      </c>
      <c r="D28">
        <v>1</v>
      </c>
    </row>
    <row r="29" spans="1:10" x14ac:dyDescent="0.2">
      <c r="A29" s="4" t="s">
        <v>151</v>
      </c>
      <c r="B29">
        <v>653.44999999634638</v>
      </c>
      <c r="C29">
        <v>1.06</v>
      </c>
      <c r="D29">
        <v>1</v>
      </c>
    </row>
    <row r="30" spans="1:10" x14ac:dyDescent="0.2">
      <c r="A30" s="4" t="s">
        <v>119</v>
      </c>
      <c r="B30">
        <v>22555</v>
      </c>
      <c r="C30">
        <v>1.1399999999999999</v>
      </c>
      <c r="D30">
        <v>3</v>
      </c>
    </row>
    <row r="31" spans="1:10" x14ac:dyDescent="0.2">
      <c r="A31" s="4" t="s">
        <v>120</v>
      </c>
      <c r="B31">
        <v>32385.760400000006</v>
      </c>
      <c r="C31">
        <v>1.1399999999999999</v>
      </c>
      <c r="D31">
        <v>3</v>
      </c>
    </row>
    <row r="32" spans="1:10" x14ac:dyDescent="0.2">
      <c r="A32" s="4" t="s">
        <v>134</v>
      </c>
      <c r="B32">
        <v>25538.401535623536</v>
      </c>
      <c r="C32">
        <v>1.1399999999999999</v>
      </c>
      <c r="D32">
        <v>3</v>
      </c>
    </row>
    <row r="33" spans="1:8" x14ac:dyDescent="0.2">
      <c r="A33" s="4" t="s">
        <v>154</v>
      </c>
      <c r="B33">
        <v>15181.879824564796</v>
      </c>
      <c r="C33">
        <v>1.1399999999999999</v>
      </c>
      <c r="D33">
        <v>3</v>
      </c>
    </row>
    <row r="34" spans="1:8" x14ac:dyDescent="0.2">
      <c r="A34" s="4" t="s">
        <v>135</v>
      </c>
      <c r="B34">
        <v>0</v>
      </c>
      <c r="C34">
        <v>1.18</v>
      </c>
      <c r="D34">
        <v>6</v>
      </c>
    </row>
    <row r="35" spans="1:8" x14ac:dyDescent="0.2">
      <c r="A35" s="4" t="s">
        <v>136</v>
      </c>
      <c r="B35">
        <v>0</v>
      </c>
      <c r="C35">
        <v>1.18</v>
      </c>
      <c r="D35">
        <v>6</v>
      </c>
    </row>
    <row r="36" spans="1:8" x14ac:dyDescent="0.2">
      <c r="A36" s="4" t="s">
        <v>117</v>
      </c>
      <c r="B36">
        <v>10093</v>
      </c>
      <c r="C36">
        <v>1.65</v>
      </c>
      <c r="D36">
        <v>8</v>
      </c>
    </row>
    <row r="38" spans="1:8" x14ac:dyDescent="0.2">
      <c r="A38" s="20" t="s">
        <v>145</v>
      </c>
      <c r="B38" s="20"/>
      <c r="C38" s="20"/>
      <c r="D38" s="22"/>
      <c r="E38" s="22"/>
      <c r="F38" s="22"/>
    </row>
    <row r="39" spans="1:8" x14ac:dyDescent="0.2">
      <c r="A39" s="7" t="s">
        <v>143</v>
      </c>
      <c r="B39" s="21">
        <f>B22+B30+B34+B36</f>
        <v>38587</v>
      </c>
      <c r="C39" s="21"/>
      <c r="D39" s="21"/>
      <c r="E39" s="21"/>
      <c r="F39" s="21"/>
      <c r="G39" s="21"/>
      <c r="H39" s="21"/>
    </row>
    <row r="41" spans="1:8" x14ac:dyDescent="0.2">
      <c r="A41" s="20" t="s">
        <v>6</v>
      </c>
      <c r="B41" s="20"/>
      <c r="C41" s="20"/>
    </row>
    <row r="42" spans="1:8" x14ac:dyDescent="0.2">
      <c r="A42" s="4" t="s">
        <v>158</v>
      </c>
      <c r="B42">
        <f>B26*C26-B27</f>
        <v>12000.000000005795</v>
      </c>
      <c r="C42" t="s">
        <v>35</v>
      </c>
      <c r="D42">
        <v>12000</v>
      </c>
    </row>
    <row r="43" spans="1:8" x14ac:dyDescent="0.2">
      <c r="A43" s="4" t="s">
        <v>157</v>
      </c>
      <c r="B43">
        <f>B27*C27+B32*C32+B35*C35-B28-B33</f>
        <v>14000.000000014901</v>
      </c>
      <c r="C43" t="s">
        <v>35</v>
      </c>
      <c r="D43">
        <v>14000</v>
      </c>
    </row>
    <row r="44" spans="1:8" x14ac:dyDescent="0.2">
      <c r="A44" s="4" t="s">
        <v>159</v>
      </c>
      <c r="B44">
        <f>B28*C28+B36*C36</f>
        <v>16653.45</v>
      </c>
      <c r="C44" t="s">
        <v>35</v>
      </c>
      <c r="D44">
        <v>16000</v>
      </c>
    </row>
    <row r="45" spans="1:8" x14ac:dyDescent="0.2">
      <c r="A45" s="4" t="s">
        <v>155</v>
      </c>
      <c r="B45">
        <f>B29*C29+B33*C33</f>
        <v>17999.999999999993</v>
      </c>
      <c r="C45" t="s">
        <v>35</v>
      </c>
      <c r="D45">
        <v>18000</v>
      </c>
    </row>
    <row r="46" spans="1:8" x14ac:dyDescent="0.2">
      <c r="A46" s="4" t="s">
        <v>148</v>
      </c>
      <c r="B46">
        <f>B23-B22*C22</f>
        <v>9.0949470177292824E-12</v>
      </c>
      <c r="C46" t="s">
        <v>14</v>
      </c>
      <c r="D46">
        <v>0</v>
      </c>
    </row>
    <row r="47" spans="1:8" x14ac:dyDescent="0.2">
      <c r="A47" s="4" t="s">
        <v>146</v>
      </c>
      <c r="B47">
        <f>B24+B31-B23*C23-B30*C30</f>
        <v>0</v>
      </c>
      <c r="C47" t="s">
        <v>14</v>
      </c>
      <c r="D47">
        <v>0</v>
      </c>
    </row>
    <row r="48" spans="1:8" x14ac:dyDescent="0.2">
      <c r="A48" s="4" t="s">
        <v>147</v>
      </c>
      <c r="B48">
        <f>B25+B35-B24*C24-B34*C34</f>
        <v>1.0913936421275139E-11</v>
      </c>
      <c r="C48" t="s">
        <v>14</v>
      </c>
      <c r="D48">
        <v>0</v>
      </c>
    </row>
    <row r="49" spans="1:4" x14ac:dyDescent="0.2">
      <c r="A49" s="4" t="s">
        <v>149</v>
      </c>
      <c r="B49">
        <f>B26+B32-B25*C25-B31*C31</f>
        <v>0</v>
      </c>
      <c r="C49" t="s">
        <v>14</v>
      </c>
      <c r="D49">
        <v>0</v>
      </c>
    </row>
    <row r="50" spans="1:4" x14ac:dyDescent="0.2">
      <c r="A50" s="4" t="s">
        <v>160</v>
      </c>
      <c r="B50">
        <f>B27+12000-B26*C26</f>
        <v>-5.7953002396970987E-9</v>
      </c>
      <c r="C50" t="s">
        <v>14</v>
      </c>
      <c r="D50">
        <v>0</v>
      </c>
    </row>
    <row r="51" spans="1:4" x14ac:dyDescent="0.2">
      <c r="A51" s="4" t="s">
        <v>161</v>
      </c>
      <c r="B51">
        <f>14000+B28+B33-B27*C27-B32*C32-B35*C35</f>
        <v>-1.4901161193847656E-8</v>
      </c>
      <c r="C51" t="s">
        <v>14</v>
      </c>
      <c r="D51">
        <v>0</v>
      </c>
    </row>
    <row r="52" spans="1:4" x14ac:dyDescent="0.2">
      <c r="A52" s="4" t="s">
        <v>162</v>
      </c>
      <c r="B52">
        <f>B29+16000-1.06*B28-B36*C36</f>
        <v>-3.6561687011271715E-9</v>
      </c>
      <c r="C52" t="s">
        <v>14</v>
      </c>
      <c r="D52">
        <v>0</v>
      </c>
    </row>
    <row r="53" spans="1:4" x14ac:dyDescent="0.2">
      <c r="A53" s="4" t="s">
        <v>165</v>
      </c>
      <c r="B53">
        <f>4*B36+2*B34-B30-3*B22</f>
        <v>0</v>
      </c>
      <c r="C53" t="s">
        <v>13</v>
      </c>
      <c r="D53">
        <v>0</v>
      </c>
    </row>
    <row r="54" spans="1:4" x14ac:dyDescent="0.2">
      <c r="A54" s="4" t="s">
        <v>166</v>
      </c>
      <c r="B54">
        <f>-3*B24-B31</f>
        <v>-32385.760400000006</v>
      </c>
      <c r="C54" t="s">
        <v>13</v>
      </c>
      <c r="D54">
        <v>0</v>
      </c>
    </row>
    <row r="55" spans="1:4" x14ac:dyDescent="0.2">
      <c r="A55" s="25" t="s">
        <v>167</v>
      </c>
      <c r="B55">
        <f>-3*B25+2*B35</f>
        <v>-3.2741809263825417E-11</v>
      </c>
      <c r="C55" t="s">
        <v>13</v>
      </c>
      <c r="D55">
        <v>0</v>
      </c>
    </row>
    <row r="56" spans="1:4" x14ac:dyDescent="0.2">
      <c r="A56" s="25" t="s">
        <v>168</v>
      </c>
      <c r="B56">
        <f>-3*B26-B32</f>
        <v>-59682.497496752971</v>
      </c>
      <c r="C56" t="s">
        <v>13</v>
      </c>
      <c r="D56">
        <v>0</v>
      </c>
    </row>
    <row r="57" spans="1:4" x14ac:dyDescent="0.2">
      <c r="A57" s="25" t="s">
        <v>169</v>
      </c>
      <c r="B57">
        <f>-3*B28-B33</f>
        <v>-15181.879824564796</v>
      </c>
      <c r="C57" t="s">
        <v>13</v>
      </c>
      <c r="D57">
        <v>0</v>
      </c>
    </row>
  </sheetData>
  <mergeCells count="11">
    <mergeCell ref="E13:G13"/>
    <mergeCell ref="B14:H14"/>
    <mergeCell ref="A38:C38"/>
    <mergeCell ref="A41:C41"/>
    <mergeCell ref="A20:D20"/>
    <mergeCell ref="A8:A11"/>
    <mergeCell ref="B8:C8"/>
    <mergeCell ref="D9:E9"/>
    <mergeCell ref="F10:G10"/>
    <mergeCell ref="H11:I11"/>
    <mergeCell ref="B12:D12"/>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EC8F4-637C-1248-98DB-83E4C301C296}">
  <dimension ref="A1:Q57"/>
  <sheetViews>
    <sheetView topLeftCell="A29" zoomScale="161" workbookViewId="0">
      <selection activeCell="B50" sqref="B50"/>
    </sheetView>
  </sheetViews>
  <sheetFormatPr baseColWidth="10" defaultRowHeight="16" x14ac:dyDescent="0.2"/>
  <cols>
    <col min="1" max="1" width="19.5" style="4" bestFit="1" customWidth="1"/>
    <col min="2" max="11" width="10.83203125" style="5"/>
  </cols>
  <sheetData>
    <row r="1" spans="1:11" x14ac:dyDescent="0.2">
      <c r="B1" s="9">
        <v>1</v>
      </c>
      <c r="C1" s="9">
        <v>2</v>
      </c>
      <c r="D1" s="9">
        <v>3</v>
      </c>
      <c r="E1" s="9">
        <v>4</v>
      </c>
      <c r="F1" s="9">
        <v>5</v>
      </c>
      <c r="G1" s="9">
        <v>6</v>
      </c>
      <c r="H1" s="9">
        <v>7</v>
      </c>
      <c r="I1" s="9">
        <v>8</v>
      </c>
      <c r="J1" s="9">
        <v>9</v>
      </c>
      <c r="K1" s="9">
        <v>10</v>
      </c>
    </row>
    <row r="2" spans="1:11" x14ac:dyDescent="0.2">
      <c r="A2" s="7" t="s">
        <v>170</v>
      </c>
      <c r="B2" s="27">
        <v>3.06</v>
      </c>
      <c r="C2" s="28">
        <v>4.01</v>
      </c>
      <c r="D2" s="28">
        <v>6.03</v>
      </c>
      <c r="E2" s="28">
        <v>4.0599999999999996</v>
      </c>
      <c r="F2" s="28">
        <v>4.01</v>
      </c>
      <c r="G2" s="28">
        <v>5.0199999999999996</v>
      </c>
      <c r="H2" s="28">
        <v>5.0999999999999996</v>
      </c>
      <c r="I2" s="28">
        <v>4.08</v>
      </c>
      <c r="J2" s="28">
        <v>3.01</v>
      </c>
      <c r="K2" s="28">
        <v>4.01</v>
      </c>
    </row>
    <row r="3" spans="1:11" x14ac:dyDescent="0.2">
      <c r="A3" s="7" t="s">
        <v>171</v>
      </c>
      <c r="B3" s="27">
        <v>3.22</v>
      </c>
      <c r="C3" s="28">
        <v>4.0999999999999996</v>
      </c>
      <c r="D3" s="28">
        <v>6.13</v>
      </c>
      <c r="E3" s="28">
        <v>4.1900000000000004</v>
      </c>
      <c r="F3" s="28">
        <v>4.05</v>
      </c>
      <c r="G3" s="28">
        <v>5.12</v>
      </c>
      <c r="H3" s="28">
        <v>5.28</v>
      </c>
      <c r="I3" s="28">
        <v>4.2300000000000004</v>
      </c>
      <c r="J3" s="28">
        <v>3.15</v>
      </c>
      <c r="K3" s="28">
        <v>4.18</v>
      </c>
    </row>
    <row r="5" spans="1:11" x14ac:dyDescent="0.2">
      <c r="A5" s="30" t="s">
        <v>194</v>
      </c>
      <c r="B5" s="9" t="s">
        <v>172</v>
      </c>
      <c r="C5" s="9" t="s">
        <v>174</v>
      </c>
      <c r="D5" s="9" t="s">
        <v>175</v>
      </c>
      <c r="E5" s="9" t="s">
        <v>176</v>
      </c>
      <c r="F5" s="9" t="s">
        <v>177</v>
      </c>
      <c r="G5" s="9" t="s">
        <v>178</v>
      </c>
      <c r="H5" s="9" t="s">
        <v>179</v>
      </c>
      <c r="I5" s="9" t="s">
        <v>180</v>
      </c>
      <c r="J5" s="9" t="s">
        <v>181</v>
      </c>
      <c r="K5" s="9" t="s">
        <v>182</v>
      </c>
    </row>
    <row r="6" spans="1:11" x14ac:dyDescent="0.2">
      <c r="A6" s="30"/>
      <c r="B6" s="5">
        <v>150</v>
      </c>
      <c r="C6" s="5">
        <v>180</v>
      </c>
      <c r="D6" s="5">
        <v>180</v>
      </c>
      <c r="E6" s="5">
        <v>180</v>
      </c>
      <c r="F6" s="5">
        <v>180</v>
      </c>
      <c r="G6" s="5">
        <v>180</v>
      </c>
      <c r="H6" s="5">
        <v>180</v>
      </c>
      <c r="I6" s="5">
        <v>180</v>
      </c>
      <c r="J6" s="5">
        <v>180</v>
      </c>
      <c r="K6" s="5">
        <v>180</v>
      </c>
    </row>
    <row r="7" spans="1:11" x14ac:dyDescent="0.2">
      <c r="A7" s="30" t="s">
        <v>195</v>
      </c>
      <c r="B7" s="9" t="s">
        <v>183</v>
      </c>
      <c r="C7" s="9" t="s">
        <v>184</v>
      </c>
      <c r="D7" s="9" t="s">
        <v>185</v>
      </c>
      <c r="E7" s="9" t="s">
        <v>186</v>
      </c>
      <c r="F7" s="9" t="s">
        <v>187</v>
      </c>
      <c r="G7" s="9" t="s">
        <v>188</v>
      </c>
      <c r="H7" s="9" t="s">
        <v>189</v>
      </c>
      <c r="I7" s="9" t="s">
        <v>190</v>
      </c>
      <c r="J7" s="9" t="s">
        <v>191</v>
      </c>
      <c r="K7" s="9" t="s">
        <v>192</v>
      </c>
    </row>
    <row r="8" spans="1:11" x14ac:dyDescent="0.2">
      <c r="A8" s="30"/>
      <c r="B8" s="5">
        <v>0</v>
      </c>
      <c r="C8" s="5">
        <v>180</v>
      </c>
      <c r="D8" s="5">
        <v>180</v>
      </c>
      <c r="E8" s="5">
        <v>180</v>
      </c>
      <c r="F8" s="5">
        <v>180</v>
      </c>
      <c r="G8" s="5">
        <v>180</v>
      </c>
      <c r="H8" s="5">
        <v>180</v>
      </c>
      <c r="I8" s="5">
        <v>180</v>
      </c>
      <c r="J8" s="5">
        <v>180</v>
      </c>
      <c r="K8" s="5">
        <v>180</v>
      </c>
    </row>
    <row r="9" spans="1:11" x14ac:dyDescent="0.2">
      <c r="A9" s="30" t="s">
        <v>198</v>
      </c>
      <c r="B9" s="9" t="s">
        <v>173</v>
      </c>
      <c r="C9" s="9" t="s">
        <v>199</v>
      </c>
      <c r="D9" s="9" t="s">
        <v>200</v>
      </c>
      <c r="E9" s="9" t="s">
        <v>201</v>
      </c>
      <c r="F9" s="9" t="s">
        <v>202</v>
      </c>
      <c r="G9" s="9" t="s">
        <v>203</v>
      </c>
      <c r="H9" s="9" t="s">
        <v>204</v>
      </c>
      <c r="I9" s="9" t="s">
        <v>205</v>
      </c>
      <c r="J9" s="9" t="s">
        <v>206</v>
      </c>
      <c r="K9" s="9" t="s">
        <v>207</v>
      </c>
    </row>
    <row r="10" spans="1:11" x14ac:dyDescent="0.2">
      <c r="A10" s="30"/>
      <c r="B10" s="5">
        <f>B8-B6</f>
        <v>-150</v>
      </c>
      <c r="C10" s="5">
        <f t="shared" ref="C10:K10" si="0">C8-C6</f>
        <v>0</v>
      </c>
      <c r="D10" s="5">
        <f t="shared" si="0"/>
        <v>0</v>
      </c>
      <c r="E10" s="5">
        <f t="shared" si="0"/>
        <v>0</v>
      </c>
      <c r="F10" s="5">
        <f t="shared" si="0"/>
        <v>0</v>
      </c>
      <c r="G10" s="5">
        <f t="shared" si="0"/>
        <v>0</v>
      </c>
      <c r="H10" s="5">
        <f t="shared" si="0"/>
        <v>0</v>
      </c>
      <c r="I10" s="5">
        <f t="shared" si="0"/>
        <v>0</v>
      </c>
      <c r="J10" s="5">
        <f t="shared" si="0"/>
        <v>0</v>
      </c>
      <c r="K10" s="5">
        <f t="shared" si="0"/>
        <v>0</v>
      </c>
    </row>
    <row r="11" spans="1:11" x14ac:dyDescent="0.2">
      <c r="A11" s="30" t="s">
        <v>196</v>
      </c>
      <c r="B11" s="9" t="s">
        <v>197</v>
      </c>
      <c r="C11" s="9" t="s">
        <v>197</v>
      </c>
      <c r="D11" s="9" t="s">
        <v>197</v>
      </c>
      <c r="E11" s="9" t="s">
        <v>197</v>
      </c>
      <c r="F11" s="9" t="s">
        <v>197</v>
      </c>
      <c r="G11" s="9" t="s">
        <v>197</v>
      </c>
      <c r="H11" s="9" t="s">
        <v>197</v>
      </c>
      <c r="I11" s="9" t="s">
        <v>197</v>
      </c>
      <c r="J11" s="9" t="s">
        <v>197</v>
      </c>
      <c r="K11" s="9" t="s">
        <v>197</v>
      </c>
    </row>
    <row r="12" spans="1:11" x14ac:dyDescent="0.2">
      <c r="A12" s="30"/>
      <c r="B12" s="5">
        <f>0.05*B2*B10</f>
        <v>-22.950000000000003</v>
      </c>
      <c r="C12" s="5">
        <f t="shared" ref="C12:K12" si="1">0.05*C2*C10</f>
        <v>0</v>
      </c>
      <c r="D12" s="5">
        <f t="shared" si="1"/>
        <v>0</v>
      </c>
      <c r="E12" s="5">
        <f t="shared" si="1"/>
        <v>0</v>
      </c>
      <c r="F12" s="5">
        <f t="shared" si="1"/>
        <v>0</v>
      </c>
      <c r="G12" s="5">
        <f t="shared" si="1"/>
        <v>0</v>
      </c>
      <c r="H12" s="5">
        <f t="shared" si="1"/>
        <v>0</v>
      </c>
      <c r="I12" s="5">
        <f t="shared" si="1"/>
        <v>0</v>
      </c>
      <c r="J12" s="5">
        <f t="shared" si="1"/>
        <v>0</v>
      </c>
      <c r="K12" s="5">
        <f t="shared" si="1"/>
        <v>0</v>
      </c>
    </row>
    <row r="13" spans="1:11" x14ac:dyDescent="0.2">
      <c r="A13" s="7" t="s">
        <v>193</v>
      </c>
      <c r="B13" s="9">
        <f>1000*(SUMPRODUCT(B6:K6,B3:K3)-SUMPRODUCT(B8:K8,B2:K2)-AVERAGE(B10:K10)*0.05)</f>
        <v>681750</v>
      </c>
      <c r="C13" s="5">
        <f>SUMPRODUCT(B6:K6,B3:K3)</f>
        <v>7760.4</v>
      </c>
      <c r="D13" s="5">
        <f>SUMPRODUCT(B8:K8,B2:K2)</f>
        <v>7079.4</v>
      </c>
      <c r="E13" s="5">
        <f>AVERAGE(B10:K10)*0.05</f>
        <v>-0.75</v>
      </c>
    </row>
    <row r="16" spans="1:11" x14ac:dyDescent="0.2">
      <c r="A16" s="29" t="s">
        <v>210</v>
      </c>
      <c r="B16" s="5">
        <f>B10</f>
        <v>-150</v>
      </c>
      <c r="C16" s="5" t="s">
        <v>13</v>
      </c>
      <c r="D16" s="5">
        <v>300</v>
      </c>
    </row>
    <row r="17" spans="1:4" x14ac:dyDescent="0.2">
      <c r="A17" s="29"/>
      <c r="B17" s="5">
        <f>C10</f>
        <v>0</v>
      </c>
      <c r="C17" s="5" t="s">
        <v>13</v>
      </c>
      <c r="D17" s="5">
        <v>300</v>
      </c>
    </row>
    <row r="18" spans="1:4" x14ac:dyDescent="0.2">
      <c r="A18" s="29"/>
      <c r="B18" s="5">
        <f>D10</f>
        <v>0</v>
      </c>
      <c r="C18" s="5" t="s">
        <v>13</v>
      </c>
      <c r="D18" s="5">
        <v>300</v>
      </c>
    </row>
    <row r="19" spans="1:4" x14ac:dyDescent="0.2">
      <c r="A19" s="29"/>
      <c r="B19" s="5">
        <f>E10</f>
        <v>0</v>
      </c>
      <c r="C19" s="5" t="s">
        <v>13</v>
      </c>
      <c r="D19" s="5">
        <v>300</v>
      </c>
    </row>
    <row r="20" spans="1:4" x14ac:dyDescent="0.2">
      <c r="A20" s="29"/>
      <c r="B20" s="5">
        <f>F10</f>
        <v>0</v>
      </c>
      <c r="C20" s="5" t="s">
        <v>13</v>
      </c>
      <c r="D20" s="5">
        <v>300</v>
      </c>
    </row>
    <row r="21" spans="1:4" x14ac:dyDescent="0.2">
      <c r="A21" s="29"/>
      <c r="B21" s="5">
        <f>G10</f>
        <v>0</v>
      </c>
      <c r="C21" s="5" t="s">
        <v>13</v>
      </c>
      <c r="D21" s="5">
        <v>300</v>
      </c>
    </row>
    <row r="22" spans="1:4" x14ac:dyDescent="0.2">
      <c r="A22" s="29"/>
      <c r="B22" s="5">
        <f>H10</f>
        <v>0</v>
      </c>
      <c r="C22" s="5" t="s">
        <v>13</v>
      </c>
      <c r="D22" s="5">
        <v>300</v>
      </c>
    </row>
    <row r="23" spans="1:4" x14ac:dyDescent="0.2">
      <c r="A23" s="29"/>
      <c r="B23" s="5">
        <f>I10</f>
        <v>0</v>
      </c>
      <c r="C23" s="5" t="s">
        <v>13</v>
      </c>
      <c r="D23" s="5">
        <v>300</v>
      </c>
    </row>
    <row r="24" spans="1:4" x14ac:dyDescent="0.2">
      <c r="A24" s="29"/>
      <c r="B24" s="5">
        <f>J10</f>
        <v>0</v>
      </c>
      <c r="C24" s="5" t="s">
        <v>13</v>
      </c>
      <c r="D24" s="5">
        <v>300</v>
      </c>
    </row>
    <row r="25" spans="1:4" x14ac:dyDescent="0.2">
      <c r="A25" s="29"/>
      <c r="B25" s="5">
        <f>K10</f>
        <v>0</v>
      </c>
      <c r="C25" s="5" t="s">
        <v>13</v>
      </c>
      <c r="D25" s="5">
        <v>300</v>
      </c>
    </row>
    <row r="26" spans="1:4" x14ac:dyDescent="0.2">
      <c r="A26" s="29" t="s">
        <v>208</v>
      </c>
      <c r="B26" s="5">
        <f>B6</f>
        <v>150</v>
      </c>
      <c r="C26" s="5" t="s">
        <v>13</v>
      </c>
      <c r="D26" s="5">
        <v>180</v>
      </c>
    </row>
    <row r="27" spans="1:4" x14ac:dyDescent="0.2">
      <c r="A27" s="29"/>
      <c r="B27" s="5">
        <f>C6</f>
        <v>180</v>
      </c>
      <c r="C27" s="5" t="s">
        <v>13</v>
      </c>
      <c r="D27" s="5">
        <v>180</v>
      </c>
    </row>
    <row r="28" spans="1:4" x14ac:dyDescent="0.2">
      <c r="A28" s="29"/>
      <c r="B28" s="5">
        <f>D6</f>
        <v>180</v>
      </c>
      <c r="C28" s="5" t="s">
        <v>13</v>
      </c>
      <c r="D28" s="5">
        <v>180</v>
      </c>
    </row>
    <row r="29" spans="1:4" x14ac:dyDescent="0.2">
      <c r="A29" s="29"/>
      <c r="B29" s="5">
        <f>E6</f>
        <v>180</v>
      </c>
      <c r="C29" s="5" t="s">
        <v>13</v>
      </c>
      <c r="D29" s="5">
        <v>180</v>
      </c>
    </row>
    <row r="30" spans="1:4" x14ac:dyDescent="0.2">
      <c r="A30" s="29"/>
      <c r="B30" s="5">
        <f>F6</f>
        <v>180</v>
      </c>
      <c r="C30" s="5" t="s">
        <v>13</v>
      </c>
      <c r="D30" s="5">
        <v>180</v>
      </c>
    </row>
    <row r="31" spans="1:4" x14ac:dyDescent="0.2">
      <c r="A31" s="29"/>
      <c r="B31" s="5">
        <f>G6</f>
        <v>180</v>
      </c>
      <c r="C31" s="5" t="s">
        <v>13</v>
      </c>
      <c r="D31" s="5">
        <v>180</v>
      </c>
    </row>
    <row r="32" spans="1:4" x14ac:dyDescent="0.2">
      <c r="A32" s="29"/>
      <c r="B32" s="5">
        <f>H6</f>
        <v>180</v>
      </c>
      <c r="C32" s="5" t="s">
        <v>13</v>
      </c>
      <c r="D32" s="5">
        <v>180</v>
      </c>
    </row>
    <row r="33" spans="1:17" x14ac:dyDescent="0.2">
      <c r="A33" s="29"/>
      <c r="B33" s="5">
        <f>I6</f>
        <v>180</v>
      </c>
      <c r="C33" s="5" t="s">
        <v>13</v>
      </c>
      <c r="D33" s="5">
        <v>180</v>
      </c>
      <c r="L33" s="5"/>
      <c r="M33" s="5"/>
      <c r="N33" s="5"/>
      <c r="O33" s="5"/>
      <c r="P33" s="5"/>
      <c r="Q33" s="5"/>
    </row>
    <row r="34" spans="1:17" x14ac:dyDescent="0.2">
      <c r="A34" s="29"/>
      <c r="B34" s="5">
        <f>J6</f>
        <v>180</v>
      </c>
      <c r="C34" s="5" t="s">
        <v>13</v>
      </c>
      <c r="D34" s="5">
        <v>180</v>
      </c>
    </row>
    <row r="35" spans="1:17" x14ac:dyDescent="0.2">
      <c r="A35" s="29"/>
      <c r="B35" s="5">
        <f>K6</f>
        <v>180</v>
      </c>
      <c r="C35" s="5" t="s">
        <v>13</v>
      </c>
      <c r="D35" s="5">
        <v>180</v>
      </c>
    </row>
    <row r="36" spans="1:17" x14ac:dyDescent="0.2">
      <c r="A36" s="29" t="s">
        <v>209</v>
      </c>
      <c r="B36" s="5">
        <f>B8</f>
        <v>0</v>
      </c>
      <c r="C36" s="5" t="s">
        <v>13</v>
      </c>
      <c r="D36" s="5">
        <v>200</v>
      </c>
    </row>
    <row r="37" spans="1:17" x14ac:dyDescent="0.2">
      <c r="A37" s="29"/>
      <c r="B37" s="5">
        <f>C8</f>
        <v>180</v>
      </c>
      <c r="C37" s="5" t="s">
        <v>13</v>
      </c>
      <c r="D37" s="5">
        <v>200</v>
      </c>
    </row>
    <row r="38" spans="1:17" x14ac:dyDescent="0.2">
      <c r="A38" s="29"/>
      <c r="B38" s="5">
        <f>D8</f>
        <v>180</v>
      </c>
      <c r="C38" s="5" t="s">
        <v>13</v>
      </c>
      <c r="D38" s="5">
        <v>200</v>
      </c>
    </row>
    <row r="39" spans="1:17" x14ac:dyDescent="0.2">
      <c r="A39" s="29"/>
      <c r="B39" s="5">
        <f>E8</f>
        <v>180</v>
      </c>
      <c r="C39" s="5" t="s">
        <v>13</v>
      </c>
      <c r="D39" s="5">
        <v>200</v>
      </c>
    </row>
    <row r="40" spans="1:17" x14ac:dyDescent="0.2">
      <c r="A40" s="29"/>
      <c r="B40" s="5">
        <f>F8</f>
        <v>180</v>
      </c>
      <c r="C40" s="5" t="s">
        <v>13</v>
      </c>
      <c r="D40" s="5">
        <v>200</v>
      </c>
    </row>
    <row r="41" spans="1:17" x14ac:dyDescent="0.2">
      <c r="A41" s="29"/>
      <c r="B41" s="5">
        <f>G8</f>
        <v>180</v>
      </c>
      <c r="C41" s="5" t="s">
        <v>13</v>
      </c>
      <c r="D41" s="5">
        <v>200</v>
      </c>
    </row>
    <row r="42" spans="1:17" x14ac:dyDescent="0.2">
      <c r="A42" s="29"/>
      <c r="B42" s="5">
        <f>H8</f>
        <v>180</v>
      </c>
      <c r="C42" s="5" t="s">
        <v>13</v>
      </c>
      <c r="D42" s="5">
        <v>200</v>
      </c>
    </row>
    <row r="43" spans="1:17" x14ac:dyDescent="0.2">
      <c r="A43" s="29"/>
      <c r="B43" s="5">
        <f>I8</f>
        <v>180</v>
      </c>
      <c r="C43" s="5" t="s">
        <v>13</v>
      </c>
      <c r="D43" s="5">
        <v>200</v>
      </c>
    </row>
    <row r="44" spans="1:17" x14ac:dyDescent="0.2">
      <c r="A44" s="29"/>
      <c r="B44" s="5">
        <f>J8</f>
        <v>180</v>
      </c>
      <c r="C44" s="5" t="s">
        <v>13</v>
      </c>
      <c r="D44" s="5">
        <v>200</v>
      </c>
    </row>
    <row r="45" spans="1:17" x14ac:dyDescent="0.2">
      <c r="A45" s="29"/>
      <c r="B45" s="5">
        <f>K8</f>
        <v>180</v>
      </c>
      <c r="C45" s="5" t="s">
        <v>13</v>
      </c>
      <c r="D45" s="5">
        <v>200</v>
      </c>
    </row>
    <row r="46" spans="1:17" x14ac:dyDescent="0.2">
      <c r="A46" s="4" t="s">
        <v>211</v>
      </c>
      <c r="B46" s="5">
        <f>B6</f>
        <v>150</v>
      </c>
      <c r="C46" s="5" t="s">
        <v>13</v>
      </c>
      <c r="D46" s="5">
        <v>150</v>
      </c>
    </row>
    <row r="47" spans="1:17" x14ac:dyDescent="0.2">
      <c r="A47" s="4" t="s">
        <v>212</v>
      </c>
      <c r="B47" s="5">
        <f>B8</f>
        <v>0</v>
      </c>
      <c r="C47" s="5" t="s">
        <v>13</v>
      </c>
      <c r="D47" s="5">
        <v>150</v>
      </c>
    </row>
    <row r="48" spans="1:17" x14ac:dyDescent="0.2">
      <c r="A48" s="31" t="s">
        <v>213</v>
      </c>
      <c r="B48" s="5">
        <f t="shared" ref="B48:D57" si="2">B16</f>
        <v>-150</v>
      </c>
      <c r="C48" s="5" t="s">
        <v>35</v>
      </c>
      <c r="D48" s="5">
        <v>0</v>
      </c>
    </row>
    <row r="49" spans="1:4" x14ac:dyDescent="0.2">
      <c r="A49" s="31"/>
      <c r="B49" s="5">
        <f t="shared" si="2"/>
        <v>0</v>
      </c>
      <c r="C49" s="5" t="s">
        <v>35</v>
      </c>
      <c r="D49" s="5">
        <v>0</v>
      </c>
    </row>
    <row r="50" spans="1:4" x14ac:dyDescent="0.2">
      <c r="A50" s="31"/>
      <c r="B50" s="5">
        <f t="shared" si="2"/>
        <v>0</v>
      </c>
      <c r="C50" s="5" t="s">
        <v>35</v>
      </c>
      <c r="D50" s="5">
        <v>0</v>
      </c>
    </row>
    <row r="51" spans="1:4" x14ac:dyDescent="0.2">
      <c r="A51" s="31"/>
      <c r="B51" s="5">
        <f t="shared" si="2"/>
        <v>0</v>
      </c>
      <c r="C51" s="5" t="s">
        <v>35</v>
      </c>
      <c r="D51" s="5">
        <v>0</v>
      </c>
    </row>
    <row r="52" spans="1:4" x14ac:dyDescent="0.2">
      <c r="A52" s="31"/>
      <c r="B52" s="5">
        <f t="shared" si="2"/>
        <v>0</v>
      </c>
      <c r="C52" s="5" t="s">
        <v>35</v>
      </c>
      <c r="D52" s="5">
        <v>0</v>
      </c>
    </row>
    <row r="53" spans="1:4" x14ac:dyDescent="0.2">
      <c r="A53" s="31"/>
      <c r="B53" s="5">
        <f t="shared" si="2"/>
        <v>0</v>
      </c>
      <c r="C53" s="5" t="s">
        <v>35</v>
      </c>
      <c r="D53" s="5">
        <v>0</v>
      </c>
    </row>
    <row r="54" spans="1:4" x14ac:dyDescent="0.2">
      <c r="A54" s="31"/>
      <c r="B54" s="5">
        <f t="shared" si="2"/>
        <v>0</v>
      </c>
      <c r="C54" s="5" t="s">
        <v>35</v>
      </c>
      <c r="D54" s="5">
        <v>0</v>
      </c>
    </row>
    <row r="55" spans="1:4" x14ac:dyDescent="0.2">
      <c r="A55" s="31"/>
      <c r="B55" s="5">
        <f t="shared" si="2"/>
        <v>0</v>
      </c>
      <c r="C55" s="5" t="s">
        <v>35</v>
      </c>
      <c r="D55" s="5">
        <v>0</v>
      </c>
    </row>
    <row r="56" spans="1:4" x14ac:dyDescent="0.2">
      <c r="A56" s="31"/>
      <c r="B56" s="5">
        <f t="shared" si="2"/>
        <v>0</v>
      </c>
      <c r="C56" s="5" t="s">
        <v>35</v>
      </c>
      <c r="D56" s="5">
        <v>0</v>
      </c>
    </row>
    <row r="57" spans="1:4" x14ac:dyDescent="0.2">
      <c r="A57" s="31"/>
      <c r="B57" s="5">
        <f t="shared" si="2"/>
        <v>0</v>
      </c>
      <c r="C57" s="5" t="s">
        <v>35</v>
      </c>
      <c r="D57" s="5">
        <v>0</v>
      </c>
    </row>
  </sheetData>
  <mergeCells count="8">
    <mergeCell ref="A48:A57"/>
    <mergeCell ref="A5:A6"/>
    <mergeCell ref="A7:A8"/>
    <mergeCell ref="A9:A10"/>
    <mergeCell ref="A11:A12"/>
    <mergeCell ref="A26:A35"/>
    <mergeCell ref="A36:A45"/>
    <mergeCell ref="A16:A25"/>
  </mergeCells>
  <phoneticPr fontId="5"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Tutorial-1</vt:lpstr>
      <vt:lpstr>Tutorial-2</vt:lpstr>
      <vt:lpstr>3-11 </vt:lpstr>
      <vt:lpstr>2-20</vt:lpstr>
      <vt:lpstr>3 -14</vt:lpstr>
      <vt:lpstr>3-18</vt:lpstr>
      <vt:lpstr>3-17</vt:lpstr>
      <vt:lpstr>3-20</vt:lpstr>
      <vt:lpstr>3-21</vt:lpstr>
      <vt:lpstr>3-24</vt:lpstr>
      <vt:lpstr>Sensitivity Report 1</vt:lpstr>
      <vt:lpstr>3-25</vt:lpstr>
      <vt:lpstr>3-43</vt:lpstr>
      <vt:lpstr>3-44</vt:lpstr>
      <vt:lpstr>3-45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2021-04-26T16:15:31Z</dcterms:created>
  <dcterms:modified xsi:type="dcterms:W3CDTF">2021-05-08T06:40:12Z</dcterms:modified>
</cp:coreProperties>
</file>