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dzb5732_psu_edu/Documents/PhD-dzb5732/projects/GirirajanLab/WGS/wgs_16p/power_analysis/data/"/>
    </mc:Choice>
  </mc:AlternateContent>
  <xr:revisionPtr revIDLastSave="2" documentId="13_ncr:1_{572A2ADA-A4DC-44D6-AECD-277ED0571FFF}" xr6:coauthVersionLast="47" xr6:coauthVersionMax="47" xr10:uidLastSave="{FB7C8538-1656-F143-BFC2-206D5F9E2981}"/>
  <bookViews>
    <workbookView xWindow="0" yWindow="500" windowWidth="31020" windowHeight="16780" activeTab="2" xr2:uid="{D39D5381-6956-44B0-A72D-6BADDE307864}"/>
  </bookViews>
  <sheets>
    <sheet name="Rare burden calc" sheetId="1" r:id="rId1"/>
    <sheet name="Rare burden plot rvis20" sheetId="10" r:id="rId2"/>
    <sheet name="Rare burden plot all" sheetId="11" r:id="rId3"/>
    <sheet name="Werling 2017" sheetId="9" r:id="rId4"/>
    <sheet name="Sample size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B11" i="12"/>
  <c r="C10" i="12"/>
  <c r="B10" i="12"/>
  <c r="C9" i="12"/>
  <c r="B9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" i="12"/>
  <c r="T13" i="1"/>
  <c r="S13" i="1"/>
  <c r="R13" i="1"/>
  <c r="Q13" i="1"/>
  <c r="E9" i="10"/>
  <c r="C9" i="10"/>
  <c r="D9" i="10"/>
  <c r="B9" i="10"/>
  <c r="Y13" i="1"/>
  <c r="F13" i="1"/>
  <c r="K13" i="1"/>
  <c r="O13" i="1"/>
  <c r="X13" i="1"/>
  <c r="D13" i="1"/>
  <c r="J13" i="1"/>
  <c r="N13" i="1"/>
  <c r="W13" i="1"/>
  <c r="I13" i="1"/>
  <c r="M13" i="1"/>
  <c r="V13" i="1"/>
  <c r="F12" i="1" l="1"/>
  <c r="F11" i="1"/>
  <c r="F10" i="1"/>
  <c r="F9" i="1"/>
  <c r="F8" i="1"/>
  <c r="F7" i="1"/>
  <c r="F6" i="1"/>
  <c r="F5" i="1"/>
  <c r="F4" i="1"/>
  <c r="F3" i="1"/>
  <c r="F25" i="1"/>
  <c r="F24" i="1"/>
  <c r="E8" i="9"/>
  <c r="E37" i="9"/>
  <c r="E36" i="9"/>
  <c r="E35" i="9"/>
  <c r="E34" i="9"/>
  <c r="E33" i="9"/>
  <c r="E32" i="9"/>
  <c r="E31" i="9"/>
  <c r="E29" i="9"/>
  <c r="E28" i="9"/>
  <c r="E26" i="9"/>
  <c r="E25" i="9"/>
  <c r="E24" i="9"/>
  <c r="E23" i="9"/>
  <c r="E22" i="9"/>
  <c r="E20" i="9"/>
  <c r="E3" i="9"/>
  <c r="E4" i="9"/>
  <c r="E5" i="9"/>
  <c r="E6" i="9"/>
  <c r="E7" i="9"/>
  <c r="E9" i="9"/>
  <c r="E10" i="9"/>
  <c r="E11" i="9"/>
  <c r="E12" i="9"/>
  <c r="E13" i="9"/>
  <c r="E14" i="9"/>
  <c r="E15" i="9"/>
  <c r="E16" i="9"/>
  <c r="E17" i="9"/>
  <c r="E18" i="9"/>
  <c r="E2" i="9"/>
  <c r="D12" i="1"/>
  <c r="D11" i="1"/>
  <c r="D10" i="1"/>
  <c r="D9" i="1"/>
  <c r="D8" i="1"/>
  <c r="D7" i="1"/>
  <c r="D6" i="1"/>
  <c r="D5" i="1"/>
  <c r="D4" i="1"/>
  <c r="D3" i="1"/>
  <c r="N35" i="9"/>
  <c r="N34" i="9"/>
  <c r="N33" i="9"/>
  <c r="N32" i="9"/>
  <c r="N31" i="9"/>
  <c r="N21" i="9"/>
  <c r="N22" i="9"/>
  <c r="N23" i="9"/>
  <c r="N24" i="9"/>
  <c r="N25" i="9"/>
  <c r="N26" i="9"/>
  <c r="N27" i="9"/>
  <c r="N28" i="9"/>
  <c r="N29" i="9"/>
  <c r="N20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Q13" i="9"/>
  <c r="H33" i="9"/>
  <c r="H6" i="9"/>
  <c r="H14" i="9"/>
  <c r="P29" i="9"/>
  <c r="O29" i="9"/>
  <c r="Q29" i="9" s="1"/>
  <c r="P28" i="9"/>
  <c r="O28" i="9"/>
  <c r="Q28" i="9" s="1"/>
  <c r="P35" i="9"/>
  <c r="O35" i="9"/>
  <c r="Q35" i="9" s="1"/>
  <c r="P34" i="9"/>
  <c r="O34" i="9"/>
  <c r="Q34" i="9" s="1"/>
  <c r="P33" i="9"/>
  <c r="O33" i="9"/>
  <c r="Q33" i="9" s="1"/>
  <c r="P32" i="9"/>
  <c r="O32" i="9"/>
  <c r="Q32" i="9" s="1"/>
  <c r="P31" i="9"/>
  <c r="O31" i="9"/>
  <c r="Q31" i="9" s="1"/>
  <c r="P27" i="9"/>
  <c r="O27" i="9"/>
  <c r="Q27" i="9" s="1"/>
  <c r="P26" i="9"/>
  <c r="O26" i="9"/>
  <c r="Q26" i="9" s="1"/>
  <c r="P25" i="9"/>
  <c r="O25" i="9"/>
  <c r="Q25" i="9" s="1"/>
  <c r="P24" i="9"/>
  <c r="O24" i="9"/>
  <c r="Q24" i="9" s="1"/>
  <c r="P23" i="9"/>
  <c r="O23" i="9"/>
  <c r="Q23" i="9" s="1"/>
  <c r="P22" i="9"/>
  <c r="O22" i="9"/>
  <c r="Q22" i="9" s="1"/>
  <c r="P21" i="9"/>
  <c r="O21" i="9"/>
  <c r="Q21" i="9" s="1"/>
  <c r="P20" i="9"/>
  <c r="O20" i="9"/>
  <c r="Q20" i="9" s="1"/>
  <c r="P16" i="9"/>
  <c r="O16" i="9"/>
  <c r="Q16" i="9" s="1"/>
  <c r="P15" i="9"/>
  <c r="O15" i="9"/>
  <c r="Q15" i="9" s="1"/>
  <c r="P14" i="9"/>
  <c r="O14" i="9"/>
  <c r="Q14" i="9" s="1"/>
  <c r="P13" i="9"/>
  <c r="O13" i="9"/>
  <c r="P12" i="9"/>
  <c r="O12" i="9"/>
  <c r="Q12" i="9" s="1"/>
  <c r="P11" i="9"/>
  <c r="O11" i="9"/>
  <c r="Q11" i="9" s="1"/>
  <c r="P10" i="9"/>
  <c r="O10" i="9"/>
  <c r="Q10" i="9" s="1"/>
  <c r="P9" i="9"/>
  <c r="O9" i="9"/>
  <c r="Q9" i="9" s="1"/>
  <c r="P8" i="9"/>
  <c r="O8" i="9"/>
  <c r="Q8" i="9" s="1"/>
  <c r="P7" i="9"/>
  <c r="O7" i="9"/>
  <c r="Q7" i="9" s="1"/>
  <c r="P6" i="9"/>
  <c r="O6" i="9"/>
  <c r="Q6" i="9" s="1"/>
  <c r="P5" i="9"/>
  <c r="O5" i="9"/>
  <c r="Q5" i="9" s="1"/>
  <c r="P4" i="9"/>
  <c r="O4" i="9"/>
  <c r="Q4" i="9" s="1"/>
  <c r="P3" i="9"/>
  <c r="O3" i="9"/>
  <c r="Q3" i="9" s="1"/>
  <c r="P2" i="9"/>
  <c r="O2" i="9"/>
  <c r="Q2" i="9" s="1"/>
  <c r="G37" i="9"/>
  <c r="F37" i="9"/>
  <c r="H37" i="9" s="1"/>
  <c r="G36" i="9"/>
  <c r="F36" i="9"/>
  <c r="H36" i="9" s="1"/>
  <c r="G35" i="9"/>
  <c r="F35" i="9"/>
  <c r="H35" i="9" s="1"/>
  <c r="G34" i="9"/>
  <c r="F34" i="9"/>
  <c r="H34" i="9" s="1"/>
  <c r="G33" i="9"/>
  <c r="F33" i="9"/>
  <c r="G32" i="9"/>
  <c r="F32" i="9"/>
  <c r="H32" i="9" s="1"/>
  <c r="G31" i="9"/>
  <c r="F31" i="9"/>
  <c r="H31" i="9" s="1"/>
  <c r="F29" i="9"/>
  <c r="H29" i="9" s="1"/>
  <c r="G29" i="9"/>
  <c r="G28" i="9"/>
  <c r="F28" i="9"/>
  <c r="H28" i="9" s="1"/>
  <c r="G26" i="9"/>
  <c r="F26" i="9"/>
  <c r="H26" i="9" s="1"/>
  <c r="G25" i="9"/>
  <c r="F25" i="9"/>
  <c r="H25" i="9" s="1"/>
  <c r="G24" i="9"/>
  <c r="F24" i="9"/>
  <c r="H24" i="9" s="1"/>
  <c r="G23" i="9"/>
  <c r="F23" i="9"/>
  <c r="H23" i="9" s="1"/>
  <c r="G22" i="9"/>
  <c r="F22" i="9"/>
  <c r="H22" i="9" s="1"/>
  <c r="G20" i="9"/>
  <c r="F20" i="9"/>
  <c r="H20" i="9" s="1"/>
  <c r="F3" i="9"/>
  <c r="H3" i="9" s="1"/>
  <c r="G3" i="9"/>
  <c r="F4" i="9"/>
  <c r="H4" i="9" s="1"/>
  <c r="G4" i="9"/>
  <c r="F5" i="9"/>
  <c r="H5" i="9" s="1"/>
  <c r="G5" i="9"/>
  <c r="F6" i="9"/>
  <c r="G6" i="9"/>
  <c r="F7" i="9"/>
  <c r="H7" i="9" s="1"/>
  <c r="G7" i="9"/>
  <c r="F8" i="9"/>
  <c r="H8" i="9" s="1"/>
  <c r="G8" i="9"/>
  <c r="F9" i="9"/>
  <c r="H9" i="9" s="1"/>
  <c r="G9" i="9"/>
  <c r="F10" i="9"/>
  <c r="H10" i="9" s="1"/>
  <c r="G10" i="9"/>
  <c r="F11" i="9"/>
  <c r="H11" i="9" s="1"/>
  <c r="G11" i="9"/>
  <c r="F12" i="9"/>
  <c r="H12" i="9" s="1"/>
  <c r="G12" i="9"/>
  <c r="F13" i="9"/>
  <c r="H13" i="9" s="1"/>
  <c r="G13" i="9"/>
  <c r="F14" i="9"/>
  <c r="G14" i="9"/>
  <c r="F15" i="9"/>
  <c r="H15" i="9" s="1"/>
  <c r="G15" i="9"/>
  <c r="F16" i="9"/>
  <c r="H16" i="9" s="1"/>
  <c r="G16" i="9"/>
  <c r="F17" i="9"/>
  <c r="H17" i="9" s="1"/>
  <c r="G17" i="9"/>
  <c r="F18" i="9"/>
  <c r="H18" i="9" s="1"/>
  <c r="G18" i="9"/>
  <c r="G2" i="9"/>
  <c r="F2" i="9"/>
  <c r="H2" i="9" s="1"/>
  <c r="Y12" i="1"/>
  <c r="J12" i="1"/>
  <c r="N12" i="1"/>
  <c r="W12" i="1"/>
  <c r="K12" i="1"/>
  <c r="O12" i="1"/>
  <c r="X12" i="1"/>
  <c r="I12" i="1"/>
  <c r="M12" i="1"/>
  <c r="V12" i="1"/>
  <c r="Y11" i="1"/>
  <c r="Y10" i="1"/>
  <c r="Y9" i="1"/>
  <c r="Y8" i="1"/>
  <c r="Y7" i="1"/>
  <c r="Y6" i="1"/>
  <c r="Y5" i="1"/>
  <c r="Y4" i="1"/>
  <c r="Y3" i="1"/>
  <c r="T4" i="1" l="1"/>
  <c r="T5" i="1"/>
  <c r="T6" i="1"/>
  <c r="T7" i="1"/>
  <c r="T8" i="1"/>
  <c r="T9" i="1"/>
  <c r="T10" i="1"/>
  <c r="T11" i="1"/>
  <c r="T3" i="1"/>
  <c r="X4" i="1" l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S5" i="1" l="1"/>
  <c r="R5" i="1"/>
  <c r="Q5" i="1"/>
  <c r="S4" i="1"/>
  <c r="S6" i="1"/>
  <c r="S7" i="1"/>
  <c r="S8" i="1"/>
  <c r="S9" i="1"/>
  <c r="S10" i="1"/>
  <c r="S11" i="1"/>
  <c r="S3" i="1"/>
  <c r="R4" i="1"/>
  <c r="R6" i="1"/>
  <c r="R7" i="1"/>
  <c r="R8" i="1"/>
  <c r="R9" i="1"/>
  <c r="R10" i="1"/>
  <c r="R11" i="1"/>
  <c r="R3" i="1"/>
  <c r="Q4" i="1"/>
  <c r="Q6" i="1"/>
  <c r="Q7" i="1"/>
  <c r="Q8" i="1"/>
  <c r="Q9" i="1"/>
  <c r="Q10" i="1"/>
  <c r="Q11" i="1"/>
  <c r="Q3" i="1"/>
  <c r="O4" i="1"/>
  <c r="O6" i="1"/>
  <c r="O7" i="1"/>
  <c r="O8" i="1"/>
  <c r="O9" i="1"/>
  <c r="O10" i="1"/>
  <c r="O11" i="1"/>
  <c r="O3" i="1"/>
  <c r="N4" i="1"/>
  <c r="N6" i="1"/>
  <c r="N7" i="1"/>
  <c r="N8" i="1"/>
  <c r="N9" i="1"/>
  <c r="N10" i="1"/>
  <c r="N11" i="1"/>
  <c r="N3" i="1"/>
  <c r="M11" i="1"/>
  <c r="M10" i="1"/>
  <c r="M9" i="1"/>
  <c r="M8" i="1"/>
  <c r="M7" i="1"/>
  <c r="M6" i="1"/>
  <c r="M4" i="1"/>
  <c r="M3" i="1"/>
  <c r="K4" i="1"/>
  <c r="K6" i="1"/>
  <c r="K7" i="1"/>
  <c r="K8" i="1"/>
  <c r="K9" i="1"/>
  <c r="K10" i="1"/>
  <c r="K11" i="1"/>
  <c r="K3" i="1"/>
  <c r="J11" i="1"/>
  <c r="J10" i="1"/>
  <c r="J9" i="1"/>
  <c r="J8" i="1"/>
  <c r="J7" i="1"/>
  <c r="J6" i="1"/>
  <c r="J4" i="1"/>
  <c r="J3" i="1"/>
  <c r="I11" i="1"/>
  <c r="I10" i="1"/>
  <c r="I9" i="1"/>
  <c r="I8" i="1"/>
  <c r="I7" i="1"/>
  <c r="I6" i="1"/>
  <c r="I4" i="1"/>
  <c r="I3" i="1"/>
</calcChain>
</file>

<file path=xl/sharedStrings.xml><?xml version="1.0" encoding="utf-8"?>
<sst xmlns="http://schemas.openxmlformats.org/spreadsheetml/2006/main" count="282" uniqueCount="142">
  <si>
    <t>Mutation type</t>
  </si>
  <si>
    <t>LOF</t>
  </si>
  <si>
    <t>Missense CADD&gt;30</t>
  </si>
  <si>
    <t>Deletion</t>
  </si>
  <si>
    <t>UTR</t>
  </si>
  <si>
    <t>3' UTR</t>
  </si>
  <si>
    <t>TFBS</t>
  </si>
  <si>
    <t>Fetal enhancer</t>
  </si>
  <si>
    <t>Fetal promoter</t>
  </si>
  <si>
    <t>Proband Avg.</t>
  </si>
  <si>
    <t>Sibling Avg.</t>
  </si>
  <si>
    <t>SD</t>
  </si>
  <si>
    <t>Turner et al, Cell 2017</t>
  </si>
  <si>
    <t>Carrier avg.</t>
  </si>
  <si>
    <t xml:space="preserve">For estimated values: </t>
  </si>
  <si>
    <t>Sample size</t>
  </si>
  <si>
    <t>Sample size: for power 0.9 at FDR &lt;0.05</t>
  </si>
  <si>
    <t>16p12.1 dataset (RVIS&lt;20)</t>
  </si>
  <si>
    <t>16p12.1 dataset (RVIS&lt;50)</t>
  </si>
  <si>
    <t>16p12.1 dataset (RVIS&lt;20 Missense/LOF)</t>
  </si>
  <si>
    <t>LOF+Missense</t>
  </si>
  <si>
    <t>16p12.1 dataset (All Missense/LOF)</t>
  </si>
  <si>
    <t>Calculator: https://clincalc.com/stats/samplesize.aspx</t>
  </si>
  <si>
    <t>Proband SD</t>
  </si>
  <si>
    <t>16p12.1 2nd hits (RVIS&lt;20 SNV): Proband avg=7.136, carrier avg=5.364, Proband SD=2.475; Carrier SD=2.30</t>
  </si>
  <si>
    <t>Carrier SD</t>
  </si>
  <si>
    <t>Eichler 2nd hits de novo (LOF/CADD30): Proband avg=0.083, Sibling avg=0.066, Proband SD=0.227, Carrier SD=0.207</t>
  </si>
  <si>
    <t>Comparison (RVIS&lt;20 SNV): Proband avg is 86X (7.136/0.083), carrier parent avg is 81X (5.364/0.066), Proband/Sibling SD is 11X (2.475/0.227; 2.30/0.207)</t>
  </si>
  <si>
    <t>Sibling SD</t>
  </si>
  <si>
    <t>CNV</t>
  </si>
  <si>
    <t>Promoter</t>
  </si>
  <si>
    <t>Enhancer</t>
  </si>
  <si>
    <t>Coding (LGD)</t>
  </si>
  <si>
    <t>All 2nd hits 16p12.1: (Proband avg=20.130, Proband SD=4.818, carrier avg=17.435, carrier SD=4.953)</t>
  </si>
  <si>
    <t>Comparison (All SNVs): Proband avg is 243X, Carrier parent avg is 264X, Proband SD is 21X, Carrier SD is 24X</t>
  </si>
  <si>
    <t>Power n=56</t>
  </si>
  <si>
    <t>SFARI ASD genes</t>
  </si>
  <si>
    <t>Autism gene</t>
  </si>
  <si>
    <t>CaseCount</t>
  </si>
  <si>
    <t>ControlCount</t>
  </si>
  <si>
    <t>Any</t>
  </si>
  <si>
    <t>CodingRegion</t>
  </si>
  <si>
    <t>LoFRegion</t>
  </si>
  <si>
    <t>NoncodingRegion</t>
  </si>
  <si>
    <t>PromoterRegion</t>
  </si>
  <si>
    <t>SpliceSiteNoncanonRegion</t>
  </si>
  <si>
    <t>UTRsRegion</t>
  </si>
  <si>
    <t>IntronRegion</t>
  </si>
  <si>
    <t>AntisenseRegion</t>
  </si>
  <si>
    <t>lincRnaRegion</t>
  </si>
  <si>
    <t>OtherTranscriptRegion</t>
  </si>
  <si>
    <t>IntergenicRegion</t>
  </si>
  <si>
    <t>MissenseHVARDRegionSimple</t>
  </si>
  <si>
    <t>MissenseRegion</t>
  </si>
  <si>
    <t>SilentRegion</t>
  </si>
  <si>
    <t>FrameshiftRegion</t>
  </si>
  <si>
    <t>InFrameRegion</t>
  </si>
  <si>
    <t>Dataset</t>
  </si>
  <si>
    <t>Location</t>
  </si>
  <si>
    <t>De novo SNV/INDEL</t>
  </si>
  <si>
    <t>De novo SNV/INDEL pLI&gt;0.9</t>
  </si>
  <si>
    <t>Inh. het. SNV/Indel</t>
  </si>
  <si>
    <t>All_PLI90Score_All_Any_Any</t>
  </si>
  <si>
    <t>All_PLI90Score_All_CodingRegion_Any</t>
  </si>
  <si>
    <t>All_PLI90Score_All_NoncodingRegion_Any</t>
  </si>
  <si>
    <t>All_PLI90Score_All_IntergenicRegion_Any</t>
  </si>
  <si>
    <t>All_PLI90Score_All_IntronRegion_Any</t>
  </si>
  <si>
    <t>All_PLI90Score_All_PromoterRegion_Any</t>
  </si>
  <si>
    <t>All_PLI90Score_All_OtherTranscriptRegion_Any</t>
  </si>
  <si>
    <t>All_PLI90Score_All_UTRsRegion_Any</t>
  </si>
  <si>
    <t>All_PLI90Score_All_LoFRegion_Any</t>
  </si>
  <si>
    <t>All_PLI90Score_All_SpliceSiteNoncanonRegion_Any</t>
  </si>
  <si>
    <t>All_Any_All_Any_Any</t>
  </si>
  <si>
    <t>All_Any_All_NoncodingRegion_Any</t>
  </si>
  <si>
    <t>All_Any_All_IntergenicRegion_Any</t>
  </si>
  <si>
    <t>All_Any_All_IntronRegion_Any</t>
  </si>
  <si>
    <t>All_Any_All_PromoterRegion_Any</t>
  </si>
  <si>
    <t>All_Any_All_OtherTranscriptRegion_Any</t>
  </si>
  <si>
    <t>All_Any_All_UTRsRegion_Any</t>
  </si>
  <si>
    <t>All_Any_All_SpliceSiteNoncanonRegion_Any</t>
  </si>
  <si>
    <t>Inh. het. SNV/INDEL pLI&gt;0.9</t>
  </si>
  <si>
    <t>Inh. hom. SNV/indel</t>
  </si>
  <si>
    <t>Inh. hom. SNV/indel pLI&gt;0.9</t>
  </si>
  <si>
    <t>CaseRate</t>
  </si>
  <si>
    <t>ControlRate</t>
  </si>
  <si>
    <t xml:space="preserve">St. Dev. </t>
  </si>
  <si>
    <t>*Data from tabe S7 of Werling paper</t>
  </si>
  <si>
    <t>*SD were not provided--estimated that SD were 50% of mean using variant data in table S1</t>
  </si>
  <si>
    <t>STR coding (Gymrek)</t>
  </si>
  <si>
    <t>STR coding</t>
  </si>
  <si>
    <t>STR</t>
  </si>
  <si>
    <t>STR values from Gymrek 2021; de novo coding STRs (calculated STDEV based on raw values)</t>
  </si>
  <si>
    <t>Family-based (probands)</t>
  </si>
  <si>
    <t>Family-based (parents)</t>
  </si>
  <si>
    <t>SCZ</t>
  </si>
  <si>
    <t>ASD</t>
  </si>
  <si>
    <t>Unselected pop.</t>
  </si>
  <si>
    <t>Probands vs. parents</t>
  </si>
  <si>
    <t>ASD vs. no ASD</t>
  </si>
  <si>
    <t>Phenotypic domains</t>
  </si>
  <si>
    <t>Total Y</t>
  </si>
  <si>
    <t>Total N</t>
  </si>
  <si>
    <t>Dysmorphic facial features</t>
  </si>
  <si>
    <t>Microcephaly/macrocephaly</t>
  </si>
  <si>
    <t>Growth</t>
  </si>
  <si>
    <t>FTT/IUGR/short stature</t>
  </si>
  <si>
    <t>Tall stature</t>
  </si>
  <si>
    <t>Obesity</t>
  </si>
  <si>
    <t>Developmental delay/ motor delay/ speech delay/intellectual disability</t>
  </si>
  <si>
    <t>Mild (learning difficutlies in school)</t>
  </si>
  <si>
    <t>Moderate</t>
  </si>
  <si>
    <t>Severe</t>
  </si>
  <si>
    <t>Pediatric-onset cognitive/behavioral</t>
  </si>
  <si>
    <t>ADHD / Sleep disturbance</t>
  </si>
  <si>
    <t>Aggression</t>
  </si>
  <si>
    <t>Autism</t>
  </si>
  <si>
    <t>Teenager/adult-onset cognitive/behavioral</t>
  </si>
  <si>
    <t>Schizophrenia</t>
  </si>
  <si>
    <t>Bipolar disorder</t>
  </si>
  <si>
    <t>Depression</t>
  </si>
  <si>
    <t>Alcohol/Drug addiction</t>
  </si>
  <si>
    <t>Anxiety</t>
  </si>
  <si>
    <t>Hypotonia/Hypertonia</t>
  </si>
  <si>
    <t>Epilepsy/Seizures</t>
  </si>
  <si>
    <t>Congenital anomalies</t>
  </si>
  <si>
    <t>Nervous system abnormalities</t>
  </si>
  <si>
    <t>Kidney and urinary tract defects</t>
  </si>
  <si>
    <t>Musculoskeletal features</t>
  </si>
  <si>
    <t>Cardiac defects</t>
  </si>
  <si>
    <t>Genital problems</t>
  </si>
  <si>
    <t>Vision abnormalities</t>
  </si>
  <si>
    <t>Sensory hearing loss</t>
  </si>
  <si>
    <t>Digestive system abnormalities</t>
  </si>
  <si>
    <t>Cleft lip and/or palate</t>
  </si>
  <si>
    <t>Family history</t>
  </si>
  <si>
    <t>16p12.1 domain frequencies:</t>
  </si>
  <si>
    <t>Case</t>
  </si>
  <si>
    <t>Control</t>
  </si>
  <si>
    <t>SCZ vs. no SCZ</t>
  </si>
  <si>
    <t>% Y</t>
  </si>
  <si>
    <t>% N</t>
  </si>
  <si>
    <t>ID vs. no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</si>
</sst>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1949-8C3A-40BC-89C4-F3EF2EA03CEC}">
  <dimension ref="A1:AA25"/>
  <sheetViews>
    <sheetView workbookViewId="0">
      <selection activeCell="G14" sqref="G14"/>
    </sheetView>
  </sheetViews>
  <sheetFormatPr baseColWidth="10" defaultColWidth="9.1640625" defaultRowHeight="14" x14ac:dyDescent="0.15"/>
  <cols>
    <col min="1" max="1" width="21.5" style="1" customWidth="1"/>
    <col min="2" max="2" width="13.5" style="1" bestFit="1" customWidth="1"/>
    <col min="3" max="3" width="11.6640625" style="1" bestFit="1" customWidth="1"/>
    <col min="4" max="4" width="11.6640625" style="1" customWidth="1"/>
    <col min="5" max="5" width="12.5" style="1" bestFit="1" customWidth="1"/>
    <col min="6" max="6" width="10.6640625" style="1" bestFit="1" customWidth="1"/>
    <col min="7" max="7" width="12.5" style="1" bestFit="1" customWidth="1"/>
    <col min="8" max="8" width="13.5" style="1" hidden="1" customWidth="1"/>
    <col min="9" max="9" width="11.83203125" style="1" hidden="1" customWidth="1"/>
    <col min="10" max="10" width="7.83203125" style="1" hidden="1" customWidth="1"/>
    <col min="11" max="11" width="12.5" style="1" hidden="1" customWidth="1"/>
    <col min="12" max="12" width="13.5" style="1" hidden="1" customWidth="1"/>
    <col min="13" max="13" width="11.83203125" style="1" hidden="1" customWidth="1"/>
    <col min="14" max="14" width="0" style="1" hidden="1" customWidth="1"/>
    <col min="15" max="15" width="12.5" style="1" hidden="1" customWidth="1"/>
    <col min="16" max="16" width="13.5" style="1" bestFit="1" customWidth="1"/>
    <col min="17" max="17" width="9.1640625" style="1"/>
    <col min="18" max="18" width="12.5" style="1" bestFit="1" customWidth="1"/>
    <col min="19" max="19" width="11" style="1" bestFit="1" customWidth="1"/>
    <col min="20" max="20" width="12.5" style="1" bestFit="1" customWidth="1"/>
    <col min="21" max="21" width="13.5" style="1" bestFit="1" customWidth="1"/>
    <col min="22" max="22" width="11.83203125" style="1" bestFit="1" customWidth="1"/>
    <col min="23" max="23" width="9" style="1" bestFit="1" customWidth="1"/>
    <col min="24" max="24" width="9" style="1" customWidth="1"/>
    <col min="25" max="25" width="12.5" style="1" bestFit="1" customWidth="1"/>
    <col min="26" max="26" width="12.33203125" style="1" bestFit="1" customWidth="1"/>
    <col min="27" max="16384" width="9.1640625" style="1"/>
  </cols>
  <sheetData>
    <row r="1" spans="1:27" x14ac:dyDescent="0.15">
      <c r="B1" s="5" t="s">
        <v>12</v>
      </c>
      <c r="C1" s="5"/>
      <c r="D1" s="5"/>
      <c r="E1" s="5"/>
      <c r="F1" s="5"/>
      <c r="G1" s="5"/>
      <c r="H1" s="5" t="s">
        <v>17</v>
      </c>
      <c r="I1" s="5"/>
      <c r="J1" s="5"/>
      <c r="K1" s="5"/>
      <c r="L1" s="5" t="s">
        <v>18</v>
      </c>
      <c r="M1" s="5"/>
      <c r="N1" s="5"/>
      <c r="O1" s="5"/>
      <c r="P1" s="6" t="s">
        <v>19</v>
      </c>
      <c r="Q1" s="6"/>
      <c r="R1" s="6"/>
      <c r="S1" s="6"/>
      <c r="T1" s="6"/>
      <c r="U1" s="5" t="s">
        <v>21</v>
      </c>
      <c r="V1" s="5"/>
      <c r="W1" s="5"/>
      <c r="X1" s="5"/>
      <c r="Y1" s="5"/>
      <c r="Z1" s="5"/>
    </row>
    <row r="2" spans="1:27" x14ac:dyDescent="0.15">
      <c r="A2" s="2" t="s">
        <v>0</v>
      </c>
      <c r="B2" s="1" t="s">
        <v>9</v>
      </c>
      <c r="C2" s="1" t="s">
        <v>10</v>
      </c>
      <c r="E2" s="1" t="s">
        <v>23</v>
      </c>
      <c r="G2" s="1" t="s">
        <v>28</v>
      </c>
      <c r="H2" s="1" t="s">
        <v>15</v>
      </c>
      <c r="I2" s="1" t="s">
        <v>9</v>
      </c>
      <c r="J2" s="1" t="s">
        <v>13</v>
      </c>
      <c r="K2" s="1" t="s">
        <v>11</v>
      </c>
      <c r="L2" s="1" t="s">
        <v>15</v>
      </c>
      <c r="M2" s="1" t="s">
        <v>9</v>
      </c>
      <c r="N2" s="1" t="s">
        <v>13</v>
      </c>
      <c r="O2" s="1" t="s">
        <v>11</v>
      </c>
      <c r="P2" s="1" t="s">
        <v>15</v>
      </c>
      <c r="Q2" s="1" t="s">
        <v>9</v>
      </c>
      <c r="R2" s="1" t="s">
        <v>13</v>
      </c>
      <c r="S2" s="1" t="s">
        <v>23</v>
      </c>
      <c r="T2" s="1" t="s">
        <v>25</v>
      </c>
      <c r="U2" s="1" t="s">
        <v>15</v>
      </c>
      <c r="V2" s="1" t="s">
        <v>9</v>
      </c>
      <c r="W2" s="1" t="s">
        <v>13</v>
      </c>
      <c r="X2" s="1" t="s">
        <v>23</v>
      </c>
      <c r="Y2" s="1" t="s">
        <v>25</v>
      </c>
      <c r="Z2" s="1" t="s">
        <v>15</v>
      </c>
      <c r="AA2" s="1" t="s">
        <v>35</v>
      </c>
    </row>
    <row r="3" spans="1:27" x14ac:dyDescent="0.15">
      <c r="A3" s="1" t="s">
        <v>1</v>
      </c>
      <c r="B3" s="1">
        <v>2.9000000000000001E-2</v>
      </c>
      <c r="C3" s="1">
        <v>4.1000000000000002E-2</v>
      </c>
      <c r="D3" s="1">
        <f t="shared" ref="D3:D13" si="0">B3/C3</f>
        <v>0.70731707317073167</v>
      </c>
      <c r="E3" s="1">
        <v>0.17899999999999999</v>
      </c>
      <c r="F3" s="1">
        <f t="shared" ref="F3:F13" si="1">E3/B3</f>
        <v>6.1724137931034475</v>
      </c>
      <c r="G3" s="1">
        <v>0.20699999999999999</v>
      </c>
      <c r="H3" s="1">
        <v>4676</v>
      </c>
      <c r="I3" s="1">
        <f>B3*50</f>
        <v>1.4500000000000002</v>
      </c>
      <c r="J3" s="1">
        <f>C3*70</f>
        <v>2.87</v>
      </c>
      <c r="K3" s="1">
        <f>E3*12</f>
        <v>2.1479999999999997</v>
      </c>
      <c r="L3" s="1">
        <v>48</v>
      </c>
      <c r="M3" s="1">
        <f>B3*112</f>
        <v>3.2480000000000002</v>
      </c>
      <c r="N3" s="1">
        <f>C3*133</f>
        <v>5.4530000000000003</v>
      </c>
      <c r="O3" s="1">
        <f>E3*14</f>
        <v>2.5059999999999998</v>
      </c>
      <c r="P3" s="1">
        <v>27</v>
      </c>
      <c r="Q3" s="1">
        <f t="shared" ref="Q3:Q11" si="2">B3*86</f>
        <v>2.4940000000000002</v>
      </c>
      <c r="R3" s="1">
        <f t="shared" ref="R3:R11" si="3">C3*81</f>
        <v>3.3210000000000002</v>
      </c>
      <c r="S3" s="1">
        <f t="shared" ref="S3:S11" si="4">E3*11</f>
        <v>1.9689999999999999</v>
      </c>
      <c r="T3" s="1">
        <f>G3*11</f>
        <v>2.2769999999999997</v>
      </c>
      <c r="U3" s="1">
        <v>119</v>
      </c>
      <c r="V3" s="1">
        <f>B3*243</f>
        <v>7.0470000000000006</v>
      </c>
      <c r="W3" s="1">
        <f>C3*264</f>
        <v>10.824</v>
      </c>
      <c r="X3" s="1">
        <f>E3*21</f>
        <v>3.7589999999999999</v>
      </c>
      <c r="Y3" s="1">
        <f t="shared" ref="Y3:Y13" si="5">G3*24</f>
        <v>4.968</v>
      </c>
      <c r="Z3" s="1">
        <v>21</v>
      </c>
    </row>
    <row r="4" spans="1:27" x14ac:dyDescent="0.15">
      <c r="A4" s="1" t="s">
        <v>2</v>
      </c>
      <c r="B4" s="1">
        <v>5.3999999999999999E-2</v>
      </c>
      <c r="C4" s="1">
        <v>2.5000000000000001E-2</v>
      </c>
      <c r="D4" s="1">
        <f t="shared" si="0"/>
        <v>2.1599999999999997</v>
      </c>
      <c r="E4" s="1">
        <v>0.22700000000000001</v>
      </c>
      <c r="F4" s="1">
        <f t="shared" si="1"/>
        <v>4.2037037037037042</v>
      </c>
      <c r="G4" s="1">
        <v>0.157</v>
      </c>
      <c r="H4" s="1">
        <v>1288</v>
      </c>
      <c r="I4" s="1">
        <f>B4*50</f>
        <v>2.7</v>
      </c>
      <c r="J4" s="1">
        <f>C4*70</f>
        <v>1.75</v>
      </c>
      <c r="K4" s="1">
        <f>E4*12</f>
        <v>2.7240000000000002</v>
      </c>
      <c r="L4" s="1">
        <v>173</v>
      </c>
      <c r="M4" s="1">
        <f>B4*112</f>
        <v>6.048</v>
      </c>
      <c r="N4" s="1">
        <f>C4*133</f>
        <v>3.3250000000000002</v>
      </c>
      <c r="O4" s="1">
        <f>E4*14</f>
        <v>3.1779999999999999</v>
      </c>
      <c r="P4" s="1">
        <v>29</v>
      </c>
      <c r="Q4" s="1">
        <f t="shared" si="2"/>
        <v>4.6440000000000001</v>
      </c>
      <c r="R4" s="1">
        <f t="shared" si="3"/>
        <v>2.0249999999999999</v>
      </c>
      <c r="S4" s="1">
        <f t="shared" si="4"/>
        <v>2.4969999999999999</v>
      </c>
      <c r="T4" s="1">
        <f t="shared" ref="T4:T11" si="6">G4*11</f>
        <v>1.7270000000000001</v>
      </c>
      <c r="U4" s="1">
        <v>19</v>
      </c>
      <c r="V4" s="1">
        <f t="shared" ref="V4:V13" si="7">B4*243</f>
        <v>13.122</v>
      </c>
      <c r="W4" s="1">
        <f t="shared" ref="W4:W13" si="8">C4*264</f>
        <v>6.6000000000000005</v>
      </c>
      <c r="X4" s="1">
        <f t="shared" ref="X4:X13" si="9">E4*21</f>
        <v>4.7670000000000003</v>
      </c>
      <c r="Y4" s="1">
        <f t="shared" si="5"/>
        <v>3.7679999999999998</v>
      </c>
      <c r="Z4" s="1">
        <v>11</v>
      </c>
    </row>
    <row r="5" spans="1:27" x14ac:dyDescent="0.15">
      <c r="A5" s="1" t="s">
        <v>20</v>
      </c>
      <c r="B5" s="1">
        <v>8.3000000000000004E-2</v>
      </c>
      <c r="C5" s="1">
        <v>6.6000000000000003E-2</v>
      </c>
      <c r="D5" s="1">
        <f t="shared" si="0"/>
        <v>1.2575757575757576</v>
      </c>
      <c r="E5" s="1">
        <v>0.22700000000000001</v>
      </c>
      <c r="F5" s="1">
        <f t="shared" si="1"/>
        <v>2.7349397590361444</v>
      </c>
      <c r="G5" s="1">
        <v>0.20699999999999999</v>
      </c>
      <c r="H5" s="1">
        <v>3747</v>
      </c>
      <c r="Q5" s="1">
        <f t="shared" si="2"/>
        <v>7.1380000000000008</v>
      </c>
      <c r="R5" s="1">
        <f t="shared" si="3"/>
        <v>5.3460000000000001</v>
      </c>
      <c r="S5" s="1">
        <f t="shared" si="4"/>
        <v>2.4969999999999999</v>
      </c>
      <c r="T5" s="1">
        <f t="shared" si="6"/>
        <v>2.2769999999999997</v>
      </c>
      <c r="U5" s="1">
        <v>41</v>
      </c>
      <c r="V5" s="1">
        <f t="shared" si="7"/>
        <v>20.169</v>
      </c>
      <c r="W5" s="1">
        <f t="shared" si="8"/>
        <v>17.423999999999999</v>
      </c>
      <c r="X5" s="1">
        <f t="shared" si="9"/>
        <v>4.7670000000000003</v>
      </c>
      <c r="Y5" s="1">
        <f t="shared" si="5"/>
        <v>4.968</v>
      </c>
      <c r="Z5" s="1">
        <v>63</v>
      </c>
      <c r="AA5" s="1">
        <v>0.84699999999999998</v>
      </c>
    </row>
    <row r="6" spans="1:27" x14ac:dyDescent="0.15">
      <c r="A6" s="1" t="s">
        <v>3</v>
      </c>
      <c r="B6" s="1">
        <v>4.2000000000000003E-2</v>
      </c>
      <c r="C6" s="1">
        <v>1.9E-2</v>
      </c>
      <c r="D6" s="1">
        <f t="shared" si="0"/>
        <v>2.2105263157894739</v>
      </c>
      <c r="E6" s="1">
        <v>0.21099999999999999</v>
      </c>
      <c r="F6" s="1">
        <f t="shared" si="1"/>
        <v>5.0238095238095237</v>
      </c>
      <c r="G6" s="1">
        <v>0.13600000000000001</v>
      </c>
      <c r="H6" s="1">
        <v>1769</v>
      </c>
      <c r="I6" s="1">
        <f t="shared" ref="I6:I13" si="10">B6*50</f>
        <v>2.1</v>
      </c>
      <c r="J6" s="1">
        <f t="shared" ref="J6:J13" si="11">C6*70</f>
        <v>1.33</v>
      </c>
      <c r="K6" s="1">
        <f t="shared" ref="K6:K13" si="12">E6*12</f>
        <v>2.532</v>
      </c>
      <c r="L6" s="1">
        <v>227</v>
      </c>
      <c r="M6" s="1">
        <f t="shared" ref="M6:M13" si="13">B6*112</f>
        <v>4.7040000000000006</v>
      </c>
      <c r="N6" s="1">
        <f t="shared" ref="N6:N13" si="14">C6*133</f>
        <v>2.5270000000000001</v>
      </c>
      <c r="O6" s="1">
        <f t="shared" ref="O6:O13" si="15">E6*14</f>
        <v>2.9539999999999997</v>
      </c>
      <c r="P6" s="1">
        <v>39</v>
      </c>
      <c r="Q6" s="1">
        <f t="shared" si="2"/>
        <v>3.6120000000000001</v>
      </c>
      <c r="R6" s="1">
        <f t="shared" si="3"/>
        <v>1.5389999999999999</v>
      </c>
      <c r="S6" s="1">
        <f t="shared" si="4"/>
        <v>2.3209999999999997</v>
      </c>
      <c r="T6" s="1">
        <f t="shared" si="6"/>
        <v>1.496</v>
      </c>
      <c r="U6" s="1">
        <v>26</v>
      </c>
      <c r="V6" s="1">
        <f t="shared" si="7"/>
        <v>10.206000000000001</v>
      </c>
      <c r="W6" s="1">
        <f t="shared" si="8"/>
        <v>5.016</v>
      </c>
      <c r="X6" s="1">
        <f t="shared" si="9"/>
        <v>4.431</v>
      </c>
      <c r="Y6" s="1">
        <f t="shared" si="5"/>
        <v>3.2640000000000002</v>
      </c>
      <c r="Z6" s="1">
        <v>15</v>
      </c>
      <c r="AA6" s="1">
        <v>1</v>
      </c>
    </row>
    <row r="7" spans="1:27" x14ac:dyDescent="0.15">
      <c r="A7" s="1" t="s">
        <v>4</v>
      </c>
      <c r="B7" s="1">
        <v>1.24</v>
      </c>
      <c r="C7" s="1">
        <v>1.101</v>
      </c>
      <c r="D7" s="1">
        <f t="shared" si="0"/>
        <v>1.1262488646684832</v>
      </c>
      <c r="E7" s="1">
        <v>1.149</v>
      </c>
      <c r="F7" s="1">
        <f t="shared" si="1"/>
        <v>0.92661290322580647</v>
      </c>
      <c r="G7" s="1">
        <v>1.0669999999999999</v>
      </c>
      <c r="H7" s="1">
        <v>1436</v>
      </c>
      <c r="I7" s="1">
        <f t="shared" si="10"/>
        <v>62</v>
      </c>
      <c r="J7" s="1">
        <f t="shared" si="11"/>
        <v>77.069999999999993</v>
      </c>
      <c r="K7" s="1">
        <f t="shared" si="12"/>
        <v>13.788</v>
      </c>
      <c r="L7" s="1">
        <v>18</v>
      </c>
      <c r="M7" s="1">
        <f t="shared" si="13"/>
        <v>138.88</v>
      </c>
      <c r="N7" s="1">
        <f t="shared" si="14"/>
        <v>146.43299999999999</v>
      </c>
      <c r="O7" s="1">
        <f t="shared" si="15"/>
        <v>16.085999999999999</v>
      </c>
      <c r="P7" s="1">
        <v>95</v>
      </c>
      <c r="Q7" s="1">
        <f t="shared" si="2"/>
        <v>106.64</v>
      </c>
      <c r="R7" s="1">
        <f t="shared" si="3"/>
        <v>89.180999999999997</v>
      </c>
      <c r="S7" s="1">
        <f t="shared" si="4"/>
        <v>12.638999999999999</v>
      </c>
      <c r="T7" s="1">
        <f t="shared" si="6"/>
        <v>11.737</v>
      </c>
      <c r="U7" s="1">
        <v>11</v>
      </c>
      <c r="V7" s="1">
        <f t="shared" si="7"/>
        <v>301.32</v>
      </c>
      <c r="W7" s="1">
        <f t="shared" si="8"/>
        <v>290.66399999999999</v>
      </c>
      <c r="X7" s="1">
        <f t="shared" si="9"/>
        <v>24.129000000000001</v>
      </c>
      <c r="Y7" s="1">
        <f t="shared" si="5"/>
        <v>25.607999999999997</v>
      </c>
      <c r="Z7" s="1">
        <v>108</v>
      </c>
      <c r="AA7" s="1">
        <v>0.62</v>
      </c>
    </row>
    <row r="8" spans="1:27" x14ac:dyDescent="0.15">
      <c r="A8" s="1" t="s">
        <v>5</v>
      </c>
      <c r="B8" s="1">
        <v>1.0289999999999999</v>
      </c>
      <c r="C8" s="1">
        <v>0.90900000000000003</v>
      </c>
      <c r="D8" s="1">
        <f t="shared" si="0"/>
        <v>1.1320132013201318</v>
      </c>
      <c r="E8" s="1">
        <v>1.038</v>
      </c>
      <c r="F8" s="1">
        <f t="shared" si="1"/>
        <v>1.0087463556851313</v>
      </c>
      <c r="G8" s="1">
        <v>0.96599999999999997</v>
      </c>
      <c r="H8" s="1">
        <v>1572</v>
      </c>
      <c r="I8" s="1">
        <f t="shared" si="10"/>
        <v>51.449999999999996</v>
      </c>
      <c r="J8" s="1">
        <f t="shared" si="11"/>
        <v>63.63</v>
      </c>
      <c r="K8" s="1">
        <f t="shared" si="12"/>
        <v>12.456</v>
      </c>
      <c r="L8" s="1">
        <v>22</v>
      </c>
      <c r="M8" s="1">
        <f t="shared" si="13"/>
        <v>115.24799999999999</v>
      </c>
      <c r="N8" s="1">
        <f t="shared" si="14"/>
        <v>120.89700000000001</v>
      </c>
      <c r="O8" s="1">
        <f t="shared" si="15"/>
        <v>14.532</v>
      </c>
      <c r="P8" s="1">
        <v>139</v>
      </c>
      <c r="Q8" s="1">
        <f t="shared" si="2"/>
        <v>88.494</v>
      </c>
      <c r="R8" s="1">
        <f t="shared" si="3"/>
        <v>73.629000000000005</v>
      </c>
      <c r="S8" s="1">
        <f t="shared" si="4"/>
        <v>11.418000000000001</v>
      </c>
      <c r="T8" s="1">
        <f t="shared" si="6"/>
        <v>10.625999999999999</v>
      </c>
      <c r="U8" s="1">
        <v>22</v>
      </c>
      <c r="V8" s="1">
        <f t="shared" si="7"/>
        <v>250.04699999999997</v>
      </c>
      <c r="W8" s="1">
        <f t="shared" si="8"/>
        <v>239.976</v>
      </c>
      <c r="X8" s="1">
        <f t="shared" si="9"/>
        <v>21.798000000000002</v>
      </c>
      <c r="Y8" s="1">
        <f t="shared" si="5"/>
        <v>23.183999999999997</v>
      </c>
      <c r="Z8" s="1">
        <v>98</v>
      </c>
    </row>
    <row r="9" spans="1:27" x14ac:dyDescent="0.15">
      <c r="A9" s="1" t="s">
        <v>6</v>
      </c>
      <c r="B9" s="1">
        <v>0.29499999999999998</v>
      </c>
      <c r="C9" s="1">
        <v>0.25600000000000001</v>
      </c>
      <c r="D9" s="1">
        <f t="shared" si="0"/>
        <v>1.15234375</v>
      </c>
      <c r="E9" s="1">
        <v>0.51200000000000001</v>
      </c>
      <c r="F9" s="1">
        <f t="shared" si="1"/>
        <v>1.7355932203389832</v>
      </c>
      <c r="G9" s="1">
        <v>0.51800000000000002</v>
      </c>
      <c r="H9" s="1">
        <v>3622</v>
      </c>
      <c r="I9" s="1">
        <f t="shared" si="10"/>
        <v>14.75</v>
      </c>
      <c r="J9" s="1">
        <f t="shared" si="11"/>
        <v>17.920000000000002</v>
      </c>
      <c r="K9" s="1">
        <f t="shared" si="12"/>
        <v>6.1440000000000001</v>
      </c>
      <c r="L9" s="1">
        <v>79</v>
      </c>
      <c r="M9" s="1">
        <f t="shared" si="13"/>
        <v>33.04</v>
      </c>
      <c r="N9" s="1">
        <f t="shared" si="14"/>
        <v>34.048000000000002</v>
      </c>
      <c r="O9" s="1">
        <f t="shared" si="15"/>
        <v>7.1680000000000001</v>
      </c>
      <c r="P9" s="1">
        <v>1063</v>
      </c>
      <c r="Q9" s="1">
        <f t="shared" si="2"/>
        <v>25.369999999999997</v>
      </c>
      <c r="R9" s="1">
        <f t="shared" si="3"/>
        <v>20.736000000000001</v>
      </c>
      <c r="S9" s="1">
        <f t="shared" si="4"/>
        <v>5.6319999999999997</v>
      </c>
      <c r="T9" s="1">
        <f t="shared" si="6"/>
        <v>5.6980000000000004</v>
      </c>
      <c r="U9" s="1">
        <v>31</v>
      </c>
      <c r="V9" s="1">
        <f t="shared" si="7"/>
        <v>71.685000000000002</v>
      </c>
      <c r="W9" s="1">
        <f t="shared" si="8"/>
        <v>67.584000000000003</v>
      </c>
      <c r="X9" s="1">
        <f t="shared" si="9"/>
        <v>10.752000000000001</v>
      </c>
      <c r="Y9" s="1">
        <f t="shared" si="5"/>
        <v>12.432</v>
      </c>
      <c r="Z9" s="1">
        <v>144</v>
      </c>
      <c r="AA9" s="1">
        <v>0.46300000000000002</v>
      </c>
    </row>
    <row r="10" spans="1:27" x14ac:dyDescent="0.15">
      <c r="A10" s="1" t="s">
        <v>8</v>
      </c>
      <c r="B10" s="1">
        <v>6.6000000000000003E-2</v>
      </c>
      <c r="C10" s="1">
        <v>3.6999999999999998E-2</v>
      </c>
      <c r="D10" s="1">
        <f t="shared" si="0"/>
        <v>1.783783783783784</v>
      </c>
      <c r="E10" s="1">
        <v>0.26400000000000001</v>
      </c>
      <c r="F10" s="1">
        <f t="shared" si="1"/>
        <v>4</v>
      </c>
      <c r="G10" s="1">
        <v>0.189</v>
      </c>
      <c r="H10" s="1">
        <v>1742</v>
      </c>
      <c r="I10" s="1">
        <f t="shared" si="10"/>
        <v>3.3000000000000003</v>
      </c>
      <c r="J10" s="1">
        <f t="shared" si="11"/>
        <v>2.59</v>
      </c>
      <c r="K10" s="1">
        <f t="shared" si="12"/>
        <v>3.1680000000000001</v>
      </c>
      <c r="L10" s="1">
        <v>418</v>
      </c>
      <c r="M10" s="1">
        <f t="shared" si="13"/>
        <v>7.3920000000000003</v>
      </c>
      <c r="N10" s="1">
        <f t="shared" si="14"/>
        <v>4.9209999999999994</v>
      </c>
      <c r="O10" s="1">
        <f t="shared" si="15"/>
        <v>3.6960000000000002</v>
      </c>
      <c r="P10" s="1">
        <v>47</v>
      </c>
      <c r="Q10" s="1">
        <f t="shared" si="2"/>
        <v>5.6760000000000002</v>
      </c>
      <c r="R10" s="1">
        <f t="shared" si="3"/>
        <v>2.9969999999999999</v>
      </c>
      <c r="S10" s="1">
        <f t="shared" si="4"/>
        <v>2.9039999999999999</v>
      </c>
      <c r="T10" s="1">
        <f t="shared" si="6"/>
        <v>2.0790000000000002</v>
      </c>
      <c r="U10" s="1">
        <v>25</v>
      </c>
      <c r="V10" s="1">
        <f t="shared" si="7"/>
        <v>16.038</v>
      </c>
      <c r="W10" s="1">
        <f t="shared" si="8"/>
        <v>9.7679999999999989</v>
      </c>
      <c r="X10" s="1">
        <f t="shared" si="9"/>
        <v>5.5440000000000005</v>
      </c>
      <c r="Y10" s="1">
        <f t="shared" si="5"/>
        <v>4.5359999999999996</v>
      </c>
      <c r="Z10" s="1">
        <v>16</v>
      </c>
      <c r="AA10" s="1">
        <v>1</v>
      </c>
    </row>
    <row r="11" spans="1:27" x14ac:dyDescent="0.15">
      <c r="A11" s="1" t="s">
        <v>7</v>
      </c>
      <c r="B11" s="1">
        <v>1.6E-2</v>
      </c>
      <c r="C11" s="1">
        <v>2E-3</v>
      </c>
      <c r="D11" s="1">
        <f t="shared" si="0"/>
        <v>8</v>
      </c>
      <c r="E11" s="1">
        <v>0.124</v>
      </c>
      <c r="F11" s="1">
        <f t="shared" si="1"/>
        <v>7.75</v>
      </c>
      <c r="G11" s="1">
        <v>4.3999999999999997E-2</v>
      </c>
      <c r="H11" s="1">
        <v>1649</v>
      </c>
      <c r="I11" s="1">
        <f t="shared" si="10"/>
        <v>0.8</v>
      </c>
      <c r="J11" s="1">
        <f t="shared" si="11"/>
        <v>0.14000000000000001</v>
      </c>
      <c r="K11" s="1">
        <f t="shared" si="12"/>
        <v>1.488</v>
      </c>
      <c r="L11" s="1">
        <v>107</v>
      </c>
      <c r="M11" s="1">
        <f t="shared" si="13"/>
        <v>1.792</v>
      </c>
      <c r="N11" s="1">
        <f t="shared" si="14"/>
        <v>0.26600000000000001</v>
      </c>
      <c r="O11" s="1">
        <f t="shared" si="15"/>
        <v>1.736</v>
      </c>
      <c r="P11" s="1">
        <v>27</v>
      </c>
      <c r="Q11" s="1">
        <f t="shared" si="2"/>
        <v>1.3760000000000001</v>
      </c>
      <c r="R11" s="1">
        <f t="shared" si="3"/>
        <v>0.16200000000000001</v>
      </c>
      <c r="S11" s="1">
        <f t="shared" si="4"/>
        <v>1.3639999999999999</v>
      </c>
      <c r="T11" s="1">
        <f t="shared" si="6"/>
        <v>0.48399999999999999</v>
      </c>
      <c r="U11" s="1">
        <v>27</v>
      </c>
      <c r="V11" s="1">
        <f t="shared" si="7"/>
        <v>3.8879999999999999</v>
      </c>
      <c r="W11" s="1">
        <f t="shared" si="8"/>
        <v>0.52800000000000002</v>
      </c>
      <c r="X11" s="1">
        <f t="shared" si="9"/>
        <v>2.6040000000000001</v>
      </c>
      <c r="Y11" s="1">
        <f t="shared" si="5"/>
        <v>1.056</v>
      </c>
      <c r="Z11" s="1">
        <v>13</v>
      </c>
      <c r="AA11" s="1">
        <v>1</v>
      </c>
    </row>
    <row r="12" spans="1:27" x14ac:dyDescent="0.15">
      <c r="A12" s="1" t="s">
        <v>36</v>
      </c>
      <c r="B12" s="1">
        <v>0.55200000000000005</v>
      </c>
      <c r="C12" s="1">
        <v>0.41699999999999998</v>
      </c>
      <c r="D12" s="1">
        <f t="shared" si="0"/>
        <v>1.3237410071942448</v>
      </c>
      <c r="E12" s="1">
        <v>0.76300000000000001</v>
      </c>
      <c r="F12" s="1">
        <f t="shared" si="1"/>
        <v>1.382246376811594</v>
      </c>
      <c r="G12" s="1">
        <v>0.628</v>
      </c>
      <c r="H12" s="1">
        <v>501</v>
      </c>
      <c r="I12" s="1">
        <f t="shared" si="10"/>
        <v>27.6</v>
      </c>
      <c r="J12" s="1">
        <f t="shared" si="11"/>
        <v>29.189999999999998</v>
      </c>
      <c r="K12" s="1">
        <f t="shared" si="12"/>
        <v>9.1560000000000006</v>
      </c>
      <c r="M12" s="1">
        <f t="shared" si="13"/>
        <v>61.824000000000005</v>
      </c>
      <c r="N12" s="1">
        <f t="shared" si="14"/>
        <v>55.460999999999999</v>
      </c>
      <c r="O12" s="1">
        <f t="shared" si="15"/>
        <v>10.682</v>
      </c>
      <c r="V12" s="1">
        <f t="shared" si="7"/>
        <v>134.13600000000002</v>
      </c>
      <c r="W12" s="1">
        <f t="shared" si="8"/>
        <v>110.08799999999999</v>
      </c>
      <c r="X12" s="1">
        <f t="shared" si="9"/>
        <v>16.023</v>
      </c>
      <c r="Y12" s="1">
        <f t="shared" si="5"/>
        <v>15.071999999999999</v>
      </c>
      <c r="Z12" s="1">
        <v>7</v>
      </c>
      <c r="AA12" s="1">
        <v>1</v>
      </c>
    </row>
    <row r="13" spans="1:27" x14ac:dyDescent="0.15">
      <c r="A13" s="1" t="s">
        <v>88</v>
      </c>
      <c r="B13" s="1">
        <v>1.2999999999999999E-2</v>
      </c>
      <c r="C13" s="1">
        <v>8.0000000000000002E-3</v>
      </c>
      <c r="D13" s="1">
        <f t="shared" si="0"/>
        <v>1.625</v>
      </c>
      <c r="E13" s="1">
        <v>0.114</v>
      </c>
      <c r="F13" s="1">
        <f t="shared" si="1"/>
        <v>8.7692307692307701</v>
      </c>
      <c r="G13" s="1">
        <v>8.5999999999999993E-2</v>
      </c>
      <c r="I13" s="1">
        <f t="shared" si="10"/>
        <v>0.65</v>
      </c>
      <c r="J13" s="1">
        <f t="shared" si="11"/>
        <v>0.56000000000000005</v>
      </c>
      <c r="K13" s="1">
        <f t="shared" si="12"/>
        <v>1.3680000000000001</v>
      </c>
      <c r="M13" s="1">
        <f t="shared" si="13"/>
        <v>1.456</v>
      </c>
      <c r="N13" s="1">
        <f t="shared" si="14"/>
        <v>1.0640000000000001</v>
      </c>
      <c r="O13" s="1">
        <f t="shared" si="15"/>
        <v>1.5960000000000001</v>
      </c>
      <c r="Q13" s="1">
        <f>B13*86</f>
        <v>1.1179999999999999</v>
      </c>
      <c r="R13" s="1">
        <f>C13*81</f>
        <v>0.64800000000000002</v>
      </c>
      <c r="S13" s="1">
        <f>E13*11</f>
        <v>1.254</v>
      </c>
      <c r="T13" s="1">
        <f t="shared" ref="T13" si="16">G13*11</f>
        <v>0.94599999999999995</v>
      </c>
      <c r="V13" s="1">
        <f t="shared" si="7"/>
        <v>3.1589999999999998</v>
      </c>
      <c r="W13" s="1">
        <f t="shared" si="8"/>
        <v>2.1120000000000001</v>
      </c>
      <c r="X13" s="1">
        <f t="shared" si="9"/>
        <v>2.3940000000000001</v>
      </c>
      <c r="Y13" s="1">
        <f t="shared" si="5"/>
        <v>2.0640000000000001</v>
      </c>
    </row>
    <row r="15" spans="1:27" x14ac:dyDescent="0.15">
      <c r="A15" s="1" t="s">
        <v>14</v>
      </c>
    </row>
    <row r="16" spans="1:27" x14ac:dyDescent="0.15">
      <c r="A16" s="1" t="s">
        <v>24</v>
      </c>
    </row>
    <row r="17" spans="1:6" x14ac:dyDescent="0.15">
      <c r="A17" s="1" t="s">
        <v>33</v>
      </c>
    </row>
    <row r="18" spans="1:6" x14ac:dyDescent="0.15">
      <c r="A18" s="1" t="s">
        <v>26</v>
      </c>
    </row>
    <row r="19" spans="1:6" x14ac:dyDescent="0.15">
      <c r="A19" s="1" t="s">
        <v>27</v>
      </c>
    </row>
    <row r="20" spans="1:6" x14ac:dyDescent="0.15">
      <c r="A20" s="1" t="s">
        <v>34</v>
      </c>
    </row>
    <row r="21" spans="1:6" x14ac:dyDescent="0.15">
      <c r="A21" s="1" t="s">
        <v>91</v>
      </c>
    </row>
    <row r="23" spans="1:6" x14ac:dyDescent="0.15">
      <c r="A23" s="1" t="s">
        <v>16</v>
      </c>
    </row>
    <row r="24" spans="1:6" x14ac:dyDescent="0.15">
      <c r="A24" s="1" t="s">
        <v>22</v>
      </c>
      <c r="F24" s="1">
        <f>7.136/5.164</f>
        <v>1.3818745158791634</v>
      </c>
    </row>
    <row r="25" spans="1:6" x14ac:dyDescent="0.15">
      <c r="F25" s="1">
        <f>2.475/7.136</f>
        <v>0.3468329596412556</v>
      </c>
    </row>
  </sheetData>
  <mergeCells count="5">
    <mergeCell ref="U1:Z1"/>
    <mergeCell ref="B1:G1"/>
    <mergeCell ref="H1:K1"/>
    <mergeCell ref="L1:O1"/>
    <mergeCell ref="P1:T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B74D-7AA2-407B-BCB7-10C65B57C7D2}">
  <dimension ref="A2:O17"/>
  <sheetViews>
    <sheetView workbookViewId="0">
      <selection activeCell="O3" sqref="O3:O17"/>
    </sheetView>
  </sheetViews>
  <sheetFormatPr baseColWidth="10" defaultColWidth="8.83203125" defaultRowHeight="15" x14ac:dyDescent="0.2"/>
  <cols>
    <col min="1" max="1" width="15.5" bestFit="1" customWidth="1"/>
    <col min="2" max="2" width="13.5" bestFit="1" customWidth="1"/>
    <col min="3" max="3" width="12.5" bestFit="1" customWidth="1"/>
    <col min="4" max="4" width="11.83203125" bestFit="1" customWidth="1"/>
    <col min="5" max="5" width="12.5" customWidth="1"/>
    <col min="6" max="6" width="12.5" bestFit="1" customWidth="1"/>
    <col min="7" max="7" width="3.5" customWidth="1"/>
    <col min="8" max="8" width="11.5" bestFit="1" customWidth="1"/>
    <col min="9" max="9" width="15.5" customWidth="1"/>
    <col min="10" max="10" width="8.5" customWidth="1"/>
    <col min="11" max="11" width="6.6640625" customWidth="1"/>
    <col min="12" max="12" width="6.5" customWidth="1"/>
    <col min="13" max="13" width="14.6640625" customWidth="1"/>
    <col min="14" max="14" width="15" bestFit="1" customWidth="1"/>
  </cols>
  <sheetData>
    <row r="2" spans="1:15" x14ac:dyDescent="0.2">
      <c r="B2" s="1" t="s">
        <v>9</v>
      </c>
      <c r="C2" s="1" t="s">
        <v>23</v>
      </c>
      <c r="D2" s="1" t="s">
        <v>13</v>
      </c>
      <c r="E2" s="1" t="s">
        <v>28</v>
      </c>
      <c r="F2" s="1" t="s">
        <v>15</v>
      </c>
      <c r="H2" t="s">
        <v>15</v>
      </c>
      <c r="I2" s="1" t="s">
        <v>32</v>
      </c>
      <c r="J2" s="1" t="s">
        <v>29</v>
      </c>
      <c r="K2" s="1" t="s">
        <v>30</v>
      </c>
      <c r="L2" s="1" t="s">
        <v>31</v>
      </c>
      <c r="M2" s="1" t="s">
        <v>8</v>
      </c>
      <c r="N2" s="1" t="s">
        <v>7</v>
      </c>
      <c r="O2" s="1" t="s">
        <v>90</v>
      </c>
    </row>
    <row r="3" spans="1:15" x14ac:dyDescent="0.2">
      <c r="A3" s="1" t="s">
        <v>20</v>
      </c>
      <c r="B3" s="1">
        <v>7.1380000000000008</v>
      </c>
      <c r="C3" s="1">
        <v>2.4969999999999999</v>
      </c>
      <c r="D3" s="1">
        <v>5.3460000000000001</v>
      </c>
      <c r="E3" s="1">
        <v>2.2770000000000001</v>
      </c>
      <c r="F3" s="1">
        <v>41</v>
      </c>
      <c r="H3">
        <v>10</v>
      </c>
      <c r="I3" s="1">
        <v>0.38900000000000001</v>
      </c>
      <c r="J3" s="1">
        <v>0.66100000000000003</v>
      </c>
      <c r="K3" s="1">
        <v>0.89300000000000002</v>
      </c>
      <c r="L3" s="1">
        <v>0.44800000000000001</v>
      </c>
      <c r="M3" s="1">
        <v>0.66</v>
      </c>
      <c r="N3" s="1">
        <v>0.75600000000000001</v>
      </c>
      <c r="O3" s="1">
        <v>0.182</v>
      </c>
    </row>
    <row r="4" spans="1:15" x14ac:dyDescent="0.2">
      <c r="A4" s="1" t="s">
        <v>3</v>
      </c>
      <c r="B4" s="1">
        <v>3.6120000000000001</v>
      </c>
      <c r="C4" s="1">
        <v>2.3209999999999997</v>
      </c>
      <c r="D4" s="1">
        <v>1.5389999999999999</v>
      </c>
      <c r="E4" s="1">
        <v>1.496</v>
      </c>
      <c r="F4" s="1">
        <v>26</v>
      </c>
      <c r="H4">
        <v>20</v>
      </c>
      <c r="I4" s="1">
        <v>0.66</v>
      </c>
      <c r="J4" s="1">
        <v>0.91900000000000004</v>
      </c>
      <c r="K4" s="1">
        <v>0.995</v>
      </c>
      <c r="L4" s="1">
        <v>0.73499999999999999</v>
      </c>
      <c r="M4" s="1">
        <v>0.91800000000000004</v>
      </c>
      <c r="N4" s="1">
        <v>0.96299999999999997</v>
      </c>
      <c r="O4" s="1">
        <v>0.318</v>
      </c>
    </row>
    <row r="5" spans="1:15" x14ac:dyDescent="0.2">
      <c r="A5" s="1" t="s">
        <v>4</v>
      </c>
      <c r="B5" s="1">
        <v>106.64</v>
      </c>
      <c r="C5" s="1">
        <v>12.638999999999999</v>
      </c>
      <c r="D5" s="1">
        <v>89.180999999999997</v>
      </c>
      <c r="E5" s="1">
        <v>11.737</v>
      </c>
      <c r="F5" s="1">
        <v>11</v>
      </c>
      <c r="H5">
        <v>30</v>
      </c>
      <c r="I5" s="1">
        <v>0.82799999999999996</v>
      </c>
      <c r="J5" s="1">
        <v>0.98399999999999999</v>
      </c>
      <c r="K5" s="1">
        <v>1</v>
      </c>
      <c r="L5" s="1">
        <v>0.88600000000000001</v>
      </c>
      <c r="M5" s="1">
        <v>0.98399999999999999</v>
      </c>
      <c r="N5" s="1">
        <v>0.996</v>
      </c>
      <c r="O5" s="1">
        <v>0.44500000000000001</v>
      </c>
    </row>
    <row r="6" spans="1:15" x14ac:dyDescent="0.2">
      <c r="A6" s="1" t="s">
        <v>6</v>
      </c>
      <c r="B6" s="1">
        <v>25.369999999999997</v>
      </c>
      <c r="C6" s="1">
        <v>5.6319999999999997</v>
      </c>
      <c r="D6" s="1">
        <v>20.736000000000001</v>
      </c>
      <c r="E6" s="1">
        <v>5.6980000000000004</v>
      </c>
      <c r="F6" s="1">
        <v>31</v>
      </c>
      <c r="H6">
        <v>40</v>
      </c>
      <c r="I6" s="1">
        <v>0.91800000000000004</v>
      </c>
      <c r="J6" s="1">
        <v>0.997</v>
      </c>
      <c r="K6" s="1">
        <v>1</v>
      </c>
      <c r="L6" s="1">
        <v>0.95499999999999996</v>
      </c>
      <c r="M6" s="1">
        <v>0.997</v>
      </c>
      <c r="N6" s="1">
        <v>1</v>
      </c>
      <c r="O6" s="1">
        <v>0.55700000000000005</v>
      </c>
    </row>
    <row r="7" spans="1:15" x14ac:dyDescent="0.2">
      <c r="A7" s="1" t="s">
        <v>8</v>
      </c>
      <c r="B7" s="1">
        <v>5.6760000000000002</v>
      </c>
      <c r="C7" s="1">
        <v>2.9039999999999999</v>
      </c>
      <c r="D7" s="1">
        <v>2.9969999999999999</v>
      </c>
      <c r="E7" s="1">
        <v>2.0790000000000002</v>
      </c>
      <c r="F7" s="1">
        <v>25</v>
      </c>
      <c r="H7">
        <v>50</v>
      </c>
      <c r="I7" s="1">
        <v>0.96299999999999997</v>
      </c>
      <c r="J7" s="1">
        <v>1</v>
      </c>
      <c r="K7" s="1">
        <v>1</v>
      </c>
      <c r="L7" s="1">
        <v>0.98299999999999998</v>
      </c>
      <c r="M7" s="1">
        <v>1</v>
      </c>
      <c r="N7" s="1">
        <v>1</v>
      </c>
      <c r="O7" s="1">
        <v>0.65200000000000002</v>
      </c>
    </row>
    <row r="8" spans="1:15" x14ac:dyDescent="0.2">
      <c r="A8" s="1" t="s">
        <v>7</v>
      </c>
      <c r="B8" s="1">
        <v>1.3760000000000001</v>
      </c>
      <c r="C8" s="1">
        <v>1.3639999999999999</v>
      </c>
      <c r="D8" s="1">
        <v>0.16200000000000001</v>
      </c>
      <c r="E8" s="1">
        <v>0.48399999999999999</v>
      </c>
      <c r="F8" s="1">
        <v>27</v>
      </c>
      <c r="H8">
        <v>60</v>
      </c>
      <c r="I8" s="1">
        <v>0.98399999999999999</v>
      </c>
      <c r="J8" s="1">
        <v>1</v>
      </c>
      <c r="K8" s="1">
        <v>1</v>
      </c>
      <c r="L8" s="1">
        <v>0.99399999999999999</v>
      </c>
      <c r="M8" s="1">
        <v>1</v>
      </c>
      <c r="N8" s="1">
        <v>1</v>
      </c>
      <c r="O8" s="1">
        <v>0.73099999999999998</v>
      </c>
    </row>
    <row r="9" spans="1:15" x14ac:dyDescent="0.2">
      <c r="A9" s="1" t="s">
        <v>89</v>
      </c>
      <c r="B9" s="1">
        <f>'Rare burden calc'!B13*86</f>
        <v>1.1179999999999999</v>
      </c>
      <c r="C9" s="1">
        <f>'Rare burden calc'!E13*11</f>
        <v>1.254</v>
      </c>
      <c r="D9" s="1">
        <f>'Rare burden calc'!C13*81</f>
        <v>0.64800000000000002</v>
      </c>
      <c r="E9" s="1">
        <f>'Rare burden calc'!G13*11</f>
        <v>0.94599999999999995</v>
      </c>
      <c r="H9">
        <v>70</v>
      </c>
      <c r="I9" s="1">
        <v>0.99299999999999999</v>
      </c>
      <c r="J9" s="1">
        <v>1</v>
      </c>
      <c r="K9" s="1">
        <v>1</v>
      </c>
      <c r="L9" s="1">
        <v>0.998</v>
      </c>
      <c r="M9" s="1">
        <v>1</v>
      </c>
      <c r="N9" s="1">
        <v>1</v>
      </c>
      <c r="O9" s="1">
        <v>0.79400000000000004</v>
      </c>
    </row>
    <row r="10" spans="1:15" x14ac:dyDescent="0.2">
      <c r="H10">
        <v>80</v>
      </c>
      <c r="I10" s="1">
        <v>0.998</v>
      </c>
      <c r="J10" s="1">
        <v>1</v>
      </c>
      <c r="K10" s="1">
        <v>1</v>
      </c>
      <c r="L10" s="1">
        <v>0.999</v>
      </c>
      <c r="M10" s="1">
        <v>1</v>
      </c>
      <c r="N10" s="1">
        <v>1</v>
      </c>
      <c r="O10" s="1">
        <v>0.84499999999999997</v>
      </c>
    </row>
    <row r="11" spans="1:15" x14ac:dyDescent="0.2">
      <c r="H11">
        <v>90</v>
      </c>
      <c r="I11" s="1">
        <v>0.999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0.88400000000000001</v>
      </c>
    </row>
    <row r="12" spans="1:15" x14ac:dyDescent="0.2">
      <c r="H12">
        <v>100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0.91400000000000003</v>
      </c>
    </row>
    <row r="13" spans="1:15" x14ac:dyDescent="0.2">
      <c r="H13">
        <v>110</v>
      </c>
      <c r="I13" s="1">
        <v>1</v>
      </c>
      <c r="J13" s="1">
        <v>1</v>
      </c>
      <c r="K13" s="1">
        <v>1</v>
      </c>
      <c r="M13" s="1">
        <v>1</v>
      </c>
      <c r="N13" s="1">
        <v>1</v>
      </c>
      <c r="O13" s="1">
        <v>0.93700000000000006</v>
      </c>
    </row>
    <row r="14" spans="1:15" x14ac:dyDescent="0.2">
      <c r="H14">
        <v>120</v>
      </c>
      <c r="I14" s="1">
        <v>1</v>
      </c>
      <c r="J14" s="1">
        <v>1</v>
      </c>
      <c r="K14" s="1">
        <v>1</v>
      </c>
      <c r="M14" s="1">
        <v>1</v>
      </c>
      <c r="N14" s="1">
        <v>1</v>
      </c>
      <c r="O14" s="1">
        <v>0.95399999999999996</v>
      </c>
    </row>
    <row r="15" spans="1:15" x14ac:dyDescent="0.2">
      <c r="H15">
        <v>130</v>
      </c>
      <c r="I15" s="1">
        <v>1</v>
      </c>
      <c r="J15" s="1">
        <v>1</v>
      </c>
      <c r="K15" s="1">
        <v>1</v>
      </c>
      <c r="M15" s="1">
        <v>1</v>
      </c>
      <c r="N15" s="1">
        <v>1</v>
      </c>
      <c r="O15" s="1">
        <v>0.96599999999999997</v>
      </c>
    </row>
    <row r="16" spans="1:15" x14ac:dyDescent="0.2">
      <c r="H16">
        <v>140</v>
      </c>
      <c r="I16" s="1">
        <v>1</v>
      </c>
      <c r="J16" s="1">
        <v>1</v>
      </c>
      <c r="K16" s="1">
        <v>1</v>
      </c>
      <c r="M16" s="1">
        <v>1</v>
      </c>
      <c r="N16" s="1">
        <v>1</v>
      </c>
      <c r="O16" s="1">
        <v>0.97599999999999998</v>
      </c>
    </row>
    <row r="17" spans="8:15" x14ac:dyDescent="0.2">
      <c r="H17">
        <v>150</v>
      </c>
      <c r="I17" s="1">
        <v>1</v>
      </c>
      <c r="J17" s="1">
        <v>1</v>
      </c>
      <c r="K17" s="1">
        <v>1</v>
      </c>
      <c r="M17" s="1">
        <v>1</v>
      </c>
      <c r="N17" s="1">
        <v>1</v>
      </c>
      <c r="O17" s="1">
        <v>0.98299999999999998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0142-9729-47F8-862D-B8B8805737FD}">
  <dimension ref="A2:P17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15.5" bestFit="1" customWidth="1"/>
    <col min="2" max="2" width="13.5" bestFit="1" customWidth="1"/>
    <col min="3" max="3" width="11.83203125" bestFit="1" customWidth="1"/>
    <col min="4" max="4" width="12.5" bestFit="1" customWidth="1"/>
    <col min="5" max="5" width="12.5" customWidth="1"/>
    <col min="6" max="6" width="12.5" hidden="1" customWidth="1"/>
    <col min="7" max="7" width="3.5" customWidth="1"/>
    <col min="8" max="8" width="11.5" bestFit="1" customWidth="1"/>
    <col min="9" max="9" width="15.5" customWidth="1"/>
    <col min="10" max="10" width="8.5" customWidth="1"/>
    <col min="11" max="11" width="8.6640625" bestFit="1" customWidth="1"/>
    <col min="12" max="12" width="9" bestFit="1" customWidth="1"/>
    <col min="13" max="13" width="14.6640625" customWidth="1"/>
    <col min="14" max="14" width="15" bestFit="1" customWidth="1"/>
    <col min="15" max="15" width="15" customWidth="1"/>
  </cols>
  <sheetData>
    <row r="2" spans="1:16" x14ac:dyDescent="0.2">
      <c r="B2" s="1" t="s">
        <v>9</v>
      </c>
      <c r="C2" s="1" t="s">
        <v>23</v>
      </c>
      <c r="D2" s="1" t="s">
        <v>13</v>
      </c>
      <c r="E2" s="1" t="s">
        <v>25</v>
      </c>
      <c r="F2" s="1" t="s">
        <v>15</v>
      </c>
      <c r="H2" t="s">
        <v>15</v>
      </c>
      <c r="I2" s="1" t="s">
        <v>32</v>
      </c>
      <c r="J2" s="1" t="s">
        <v>29</v>
      </c>
      <c r="K2" s="1" t="s">
        <v>30</v>
      </c>
      <c r="L2" s="1" t="s">
        <v>31</v>
      </c>
      <c r="M2" s="1" t="s">
        <v>8</v>
      </c>
      <c r="N2" s="1" t="s">
        <v>7</v>
      </c>
      <c r="O2" s="1" t="s">
        <v>37</v>
      </c>
      <c r="P2" s="1" t="s">
        <v>90</v>
      </c>
    </row>
    <row r="3" spans="1:16" x14ac:dyDescent="0.2">
      <c r="A3" s="1" t="s">
        <v>20</v>
      </c>
      <c r="B3" s="1">
        <v>20.169</v>
      </c>
      <c r="C3" s="1">
        <v>4.7670000000000003</v>
      </c>
      <c r="D3" s="1">
        <v>17.423999999999999</v>
      </c>
      <c r="E3" s="1">
        <v>4.968</v>
      </c>
      <c r="F3" s="1">
        <v>63</v>
      </c>
      <c r="H3">
        <v>10</v>
      </c>
      <c r="I3" s="1">
        <v>0.24199999999999999</v>
      </c>
      <c r="J3" s="1">
        <v>0.84699999999999998</v>
      </c>
      <c r="K3" s="1">
        <v>0.158</v>
      </c>
      <c r="L3" s="1">
        <v>0.121</v>
      </c>
      <c r="M3" s="1">
        <v>0.79</v>
      </c>
      <c r="N3" s="1">
        <v>0.96599999999999997</v>
      </c>
      <c r="O3" s="1">
        <v>0.93300000000000005</v>
      </c>
      <c r="P3" s="1">
        <v>0.22700000000000001</v>
      </c>
    </row>
    <row r="4" spans="1:16" x14ac:dyDescent="0.2">
      <c r="A4" s="1" t="s">
        <v>3</v>
      </c>
      <c r="B4" s="1">
        <v>10.206000000000001</v>
      </c>
      <c r="C4" s="1">
        <v>4.431</v>
      </c>
      <c r="D4" s="1">
        <v>5.016</v>
      </c>
      <c r="E4" s="1">
        <v>3.2640000000000002</v>
      </c>
      <c r="F4" s="1">
        <v>15</v>
      </c>
      <c r="H4">
        <v>20</v>
      </c>
      <c r="I4" s="1">
        <v>0.43</v>
      </c>
      <c r="J4" s="1">
        <v>0.98799999999999999</v>
      </c>
      <c r="K4" s="1">
        <v>0.27200000000000002</v>
      </c>
      <c r="L4" s="1">
        <v>0.19900000000000001</v>
      </c>
      <c r="M4" s="1">
        <v>0.97499999999999998</v>
      </c>
      <c r="N4" s="1">
        <v>1</v>
      </c>
      <c r="O4" s="1">
        <v>0.998</v>
      </c>
      <c r="P4" s="1">
        <v>0.40200000000000002</v>
      </c>
    </row>
    <row r="5" spans="1:16" x14ac:dyDescent="0.2">
      <c r="A5" s="1" t="s">
        <v>4</v>
      </c>
      <c r="B5" s="1">
        <v>301.32</v>
      </c>
      <c r="C5" s="1">
        <v>24.129000000000001</v>
      </c>
      <c r="D5" s="1">
        <v>290.66399999999999</v>
      </c>
      <c r="E5" s="1">
        <v>25.607999999999997</v>
      </c>
      <c r="F5" s="1">
        <v>108</v>
      </c>
      <c r="H5">
        <v>30</v>
      </c>
      <c r="I5" s="1">
        <v>0.58899999999999997</v>
      </c>
      <c r="J5" s="1">
        <v>0.999</v>
      </c>
      <c r="K5" s="1">
        <v>0.38200000000000001</v>
      </c>
      <c r="L5" s="1">
        <v>0.27600000000000002</v>
      </c>
      <c r="M5" s="1">
        <v>0.998</v>
      </c>
      <c r="N5" s="1">
        <v>1</v>
      </c>
      <c r="O5" s="1">
        <v>1</v>
      </c>
      <c r="P5" s="1">
        <v>0.55500000000000005</v>
      </c>
    </row>
    <row r="6" spans="1:16" x14ac:dyDescent="0.2">
      <c r="A6" s="1" t="s">
        <v>6</v>
      </c>
      <c r="B6" s="1">
        <v>71.685000000000002</v>
      </c>
      <c r="C6" s="1">
        <v>10.752000000000001</v>
      </c>
      <c r="D6" s="1">
        <v>67.584000000000003</v>
      </c>
      <c r="E6" s="1">
        <v>12.432</v>
      </c>
      <c r="F6" s="1">
        <v>144</v>
      </c>
      <c r="H6">
        <v>40</v>
      </c>
      <c r="I6" s="1">
        <v>0.71299999999999997</v>
      </c>
      <c r="J6" s="1">
        <v>1</v>
      </c>
      <c r="K6" s="1">
        <v>0.48199999999999998</v>
      </c>
      <c r="L6" s="1">
        <v>0.35099999999999998</v>
      </c>
      <c r="M6" s="1">
        <v>1</v>
      </c>
      <c r="N6" s="1">
        <v>1</v>
      </c>
      <c r="O6" s="1">
        <v>1</v>
      </c>
      <c r="P6" s="1">
        <v>0.67800000000000005</v>
      </c>
    </row>
    <row r="7" spans="1:16" x14ac:dyDescent="0.2">
      <c r="A7" s="1" t="s">
        <v>8</v>
      </c>
      <c r="B7" s="1">
        <v>16.038</v>
      </c>
      <c r="C7" s="1">
        <v>5.5440000000000005</v>
      </c>
      <c r="D7" s="1">
        <v>9.7679999999999989</v>
      </c>
      <c r="E7" s="1">
        <v>4.5359999999999996</v>
      </c>
      <c r="F7" s="1">
        <v>16</v>
      </c>
      <c r="H7">
        <v>50</v>
      </c>
      <c r="I7" s="1">
        <v>0.80500000000000005</v>
      </c>
      <c r="J7" s="1">
        <v>1</v>
      </c>
      <c r="K7" s="1">
        <v>0.57199999999999995</v>
      </c>
      <c r="L7" s="1">
        <v>0.42199999999999999</v>
      </c>
      <c r="M7" s="1">
        <v>1</v>
      </c>
      <c r="N7" s="1">
        <v>1</v>
      </c>
      <c r="O7" s="1">
        <v>1</v>
      </c>
      <c r="P7" s="1">
        <v>0.77300000000000002</v>
      </c>
    </row>
    <row r="8" spans="1:16" x14ac:dyDescent="0.2">
      <c r="A8" s="1" t="s">
        <v>7</v>
      </c>
      <c r="B8" s="1">
        <v>3.8879999999999999</v>
      </c>
      <c r="C8" s="1">
        <v>2.6040000000000001</v>
      </c>
      <c r="D8" s="1">
        <v>0.52800000000000002</v>
      </c>
      <c r="E8" s="1">
        <v>1.056</v>
      </c>
      <c r="F8" s="1">
        <v>13</v>
      </c>
      <c r="H8">
        <v>60</v>
      </c>
      <c r="I8" s="1">
        <v>0.87</v>
      </c>
      <c r="J8" s="1">
        <v>1</v>
      </c>
      <c r="K8" s="1">
        <v>0.65</v>
      </c>
      <c r="L8" s="1">
        <v>0.48899999999999999</v>
      </c>
      <c r="M8" s="1">
        <v>1</v>
      </c>
      <c r="N8" s="1">
        <v>1</v>
      </c>
      <c r="O8" s="1">
        <v>1</v>
      </c>
      <c r="P8" s="1">
        <v>0.84299999999999997</v>
      </c>
    </row>
    <row r="9" spans="1:16" x14ac:dyDescent="0.2">
      <c r="A9" s="1" t="s">
        <v>36</v>
      </c>
      <c r="B9" s="1">
        <v>134.13600000000002</v>
      </c>
      <c r="C9" s="1">
        <v>16.023</v>
      </c>
      <c r="D9" s="1">
        <v>110.08799999999999</v>
      </c>
      <c r="E9" s="1">
        <v>15.071999999999999</v>
      </c>
      <c r="F9" s="1">
        <v>7</v>
      </c>
      <c r="H9">
        <v>70</v>
      </c>
      <c r="I9" s="1">
        <v>0.91600000000000004</v>
      </c>
      <c r="J9" s="1">
        <v>1</v>
      </c>
      <c r="K9" s="1">
        <v>0.71699999999999997</v>
      </c>
      <c r="L9" s="1">
        <v>0.55100000000000005</v>
      </c>
      <c r="M9" s="1">
        <v>1</v>
      </c>
      <c r="N9" s="1">
        <v>1</v>
      </c>
      <c r="O9" s="1">
        <v>1</v>
      </c>
      <c r="P9" s="1">
        <v>0.89300000000000002</v>
      </c>
    </row>
    <row r="10" spans="1:16" x14ac:dyDescent="0.2">
      <c r="A10" s="1" t="s">
        <v>89</v>
      </c>
      <c r="B10" s="1">
        <v>3.2029999999999998</v>
      </c>
      <c r="C10" s="1">
        <v>2.3959999999999999</v>
      </c>
      <c r="D10" s="1">
        <v>1.9890000000000001</v>
      </c>
      <c r="E10" s="1">
        <v>2.0760000000000001</v>
      </c>
      <c r="F10" s="1">
        <v>2.0758079999999999</v>
      </c>
      <c r="H10">
        <v>80</v>
      </c>
      <c r="I10" s="1">
        <v>0.94599999999999995</v>
      </c>
      <c r="J10" s="1">
        <v>1</v>
      </c>
      <c r="K10" s="1">
        <v>0.77300000000000002</v>
      </c>
      <c r="L10" s="1">
        <v>0.60699999999999998</v>
      </c>
      <c r="M10" s="1">
        <v>1</v>
      </c>
      <c r="N10" s="1">
        <v>1</v>
      </c>
      <c r="O10" s="1">
        <v>1</v>
      </c>
      <c r="P10" s="1">
        <v>0.92900000000000005</v>
      </c>
    </row>
    <row r="11" spans="1:16" x14ac:dyDescent="0.2">
      <c r="H11">
        <v>90</v>
      </c>
      <c r="I11" s="1">
        <v>0.96599999999999997</v>
      </c>
      <c r="J11" s="1">
        <v>1</v>
      </c>
      <c r="K11" s="1">
        <v>0.82</v>
      </c>
      <c r="L11" s="1">
        <v>0.65800000000000003</v>
      </c>
      <c r="M11" s="1">
        <v>1</v>
      </c>
      <c r="N11" s="1">
        <v>1</v>
      </c>
      <c r="O11" s="1">
        <v>1</v>
      </c>
      <c r="P11" s="1">
        <v>0.95299999999999996</v>
      </c>
    </row>
    <row r="12" spans="1:16" x14ac:dyDescent="0.2">
      <c r="H12">
        <v>100</v>
      </c>
      <c r="I12" s="1">
        <v>0.97899999999999998</v>
      </c>
      <c r="J12" s="1">
        <v>1</v>
      </c>
      <c r="K12" s="1">
        <v>0.85799999999999998</v>
      </c>
      <c r="L12" s="1">
        <v>0.70399999999999996</v>
      </c>
      <c r="M12" s="1">
        <v>1</v>
      </c>
      <c r="N12" s="1">
        <v>1</v>
      </c>
      <c r="O12" s="1">
        <v>1</v>
      </c>
      <c r="P12" s="1">
        <v>0.96899999999999997</v>
      </c>
    </row>
    <row r="13" spans="1:16" x14ac:dyDescent="0.2">
      <c r="H13">
        <v>110</v>
      </c>
      <c r="I13" s="1">
        <v>0.98699999999999999</v>
      </c>
      <c r="J13" s="1">
        <v>1</v>
      </c>
      <c r="K13" s="1">
        <v>0.88800000000000001</v>
      </c>
      <c r="L13" s="1">
        <v>0.74399999999999999</v>
      </c>
      <c r="M13" s="1">
        <v>1</v>
      </c>
      <c r="N13" s="1">
        <v>1</v>
      </c>
      <c r="O13" s="1">
        <v>1</v>
      </c>
      <c r="P13" s="1">
        <v>0.98</v>
      </c>
    </row>
    <row r="14" spans="1:16" x14ac:dyDescent="0.2">
      <c r="H14">
        <v>120</v>
      </c>
      <c r="I14" s="1">
        <v>0.99199999999999999</v>
      </c>
      <c r="J14" s="1">
        <v>1</v>
      </c>
      <c r="K14" s="1">
        <v>0.91300000000000003</v>
      </c>
      <c r="L14" s="1">
        <v>0.78</v>
      </c>
      <c r="M14" s="1">
        <v>1</v>
      </c>
      <c r="N14" s="1">
        <v>1</v>
      </c>
      <c r="O14" s="1">
        <v>1</v>
      </c>
      <c r="P14" s="1">
        <v>0.98699999999999999</v>
      </c>
    </row>
    <row r="15" spans="1:16" x14ac:dyDescent="0.2">
      <c r="H15">
        <v>130</v>
      </c>
      <c r="I15" s="1">
        <v>0.995</v>
      </c>
      <c r="J15" s="1">
        <v>1</v>
      </c>
      <c r="K15" s="1">
        <v>0.93200000000000005</v>
      </c>
      <c r="L15" s="1">
        <v>0.81200000000000006</v>
      </c>
      <c r="M15" s="1">
        <v>1</v>
      </c>
      <c r="N15" s="1">
        <v>1</v>
      </c>
      <c r="O15" s="1">
        <v>1</v>
      </c>
      <c r="P15" s="1">
        <v>0.99199999999999999</v>
      </c>
    </row>
    <row r="16" spans="1:16" x14ac:dyDescent="0.2">
      <c r="H16">
        <v>140</v>
      </c>
      <c r="I16" s="1">
        <v>0.997</v>
      </c>
      <c r="J16" s="1">
        <v>1</v>
      </c>
      <c r="K16" s="1">
        <v>0.94799999999999995</v>
      </c>
      <c r="L16" s="1">
        <v>0.83899999999999997</v>
      </c>
      <c r="M16" s="1">
        <v>1</v>
      </c>
      <c r="N16" s="1">
        <v>1</v>
      </c>
      <c r="O16" s="1">
        <v>1</v>
      </c>
      <c r="P16" s="1">
        <v>0.995</v>
      </c>
    </row>
    <row r="17" spans="8:16" x14ac:dyDescent="0.2">
      <c r="H17">
        <v>150</v>
      </c>
      <c r="I17" s="1">
        <v>0.998</v>
      </c>
      <c r="J17" s="1">
        <v>1</v>
      </c>
      <c r="K17" s="1">
        <v>0.96</v>
      </c>
      <c r="L17" s="1">
        <v>0.86299999999999999</v>
      </c>
      <c r="M17" s="1">
        <v>1</v>
      </c>
      <c r="N17" s="1">
        <v>1</v>
      </c>
      <c r="O17" s="1">
        <v>1</v>
      </c>
      <c r="P17" s="1">
        <v>0.997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3E11-8BF8-4CE2-80D1-16E1CBCFD32F}">
  <dimension ref="A1:Q41"/>
  <sheetViews>
    <sheetView topLeftCell="G1" workbookViewId="0">
      <selection activeCell="F6" sqref="F6"/>
    </sheetView>
  </sheetViews>
  <sheetFormatPr baseColWidth="10" defaultColWidth="8.83203125" defaultRowHeight="15" x14ac:dyDescent="0.2"/>
  <cols>
    <col min="1" max="1" width="18.6640625" bestFit="1" customWidth="1"/>
    <col min="2" max="2" width="41.5" bestFit="1" customWidth="1"/>
    <col min="3" max="3" width="10.5" bestFit="1" customWidth="1"/>
    <col min="4" max="4" width="12.83203125" bestFit="1" customWidth="1"/>
    <col min="5" max="9" width="12.83203125" customWidth="1"/>
    <col min="10" max="10" width="25.5" bestFit="1" customWidth="1"/>
    <col min="11" max="11" width="47.83203125" bestFit="1" customWidth="1"/>
    <col min="15" max="17" width="12.83203125" customWidth="1"/>
  </cols>
  <sheetData>
    <row r="1" spans="1:17" x14ac:dyDescent="0.2">
      <c r="A1" t="s">
        <v>57</v>
      </c>
      <c r="B1" t="s">
        <v>58</v>
      </c>
      <c r="C1" t="s">
        <v>38</v>
      </c>
      <c r="D1" t="s">
        <v>39</v>
      </c>
      <c r="F1" t="s">
        <v>83</v>
      </c>
      <c r="G1" t="s">
        <v>84</v>
      </c>
      <c r="H1" t="s">
        <v>85</v>
      </c>
      <c r="J1" t="s">
        <v>57</v>
      </c>
      <c r="K1" t="s">
        <v>58</v>
      </c>
      <c r="L1" t="s">
        <v>38</v>
      </c>
      <c r="M1" t="s">
        <v>39</v>
      </c>
      <c r="O1" t="s">
        <v>83</v>
      </c>
      <c r="P1" t="s">
        <v>84</v>
      </c>
      <c r="Q1" t="s">
        <v>85</v>
      </c>
    </row>
    <row r="2" spans="1:17" x14ac:dyDescent="0.2">
      <c r="A2" t="s">
        <v>59</v>
      </c>
      <c r="B2" t="s">
        <v>40</v>
      </c>
      <c r="C2">
        <v>36627</v>
      </c>
      <c r="D2">
        <v>35658</v>
      </c>
      <c r="E2">
        <f>C2/D2</f>
        <v>1.0271748275281845</v>
      </c>
      <c r="F2">
        <f>C2/519</f>
        <v>70.572254335260112</v>
      </c>
      <c r="G2">
        <f>D2/519</f>
        <v>68.705202312138724</v>
      </c>
      <c r="H2">
        <f>F2/2</f>
        <v>35.286127167630056</v>
      </c>
      <c r="J2" t="s">
        <v>60</v>
      </c>
      <c r="K2" t="s">
        <v>40</v>
      </c>
      <c r="L2">
        <v>6194</v>
      </c>
      <c r="M2">
        <v>6149</v>
      </c>
      <c r="N2">
        <f>L2/M2</f>
        <v>1.0073182631322166</v>
      </c>
      <c r="O2">
        <f t="shared" ref="O2:O16" si="0">L2/519</f>
        <v>11.934489402697496</v>
      </c>
      <c r="P2">
        <f t="shared" ref="P2:P16" si="1">M2/519</f>
        <v>11.847784200385357</v>
      </c>
      <c r="Q2">
        <f>O2/2</f>
        <v>5.967244701348748</v>
      </c>
    </row>
    <row r="3" spans="1:17" x14ac:dyDescent="0.2">
      <c r="A3" t="s">
        <v>59</v>
      </c>
      <c r="B3" t="s">
        <v>41</v>
      </c>
      <c r="C3">
        <v>599</v>
      </c>
      <c r="D3">
        <v>554</v>
      </c>
      <c r="E3">
        <f t="shared" ref="E3:E37" si="2">C3/D3</f>
        <v>1.0812274368231047</v>
      </c>
      <c r="F3">
        <f t="shared" ref="F3:F18" si="3">C3/519</f>
        <v>1.1541425818882467</v>
      </c>
      <c r="G3">
        <f t="shared" ref="G3:G18" si="4">D3/519</f>
        <v>1.0674373795761078</v>
      </c>
      <c r="H3">
        <f t="shared" ref="H3:H37" si="5">F3/2</f>
        <v>0.57707129094412335</v>
      </c>
      <c r="J3" t="s">
        <v>60</v>
      </c>
      <c r="K3" t="s">
        <v>41</v>
      </c>
      <c r="L3">
        <v>165</v>
      </c>
      <c r="M3">
        <v>131</v>
      </c>
      <c r="N3">
        <f t="shared" ref="N3:N16" si="6">L3/M3</f>
        <v>1.2595419847328244</v>
      </c>
      <c r="O3">
        <f t="shared" si="0"/>
        <v>0.31791907514450868</v>
      </c>
      <c r="P3">
        <f t="shared" si="1"/>
        <v>0.25240847784200388</v>
      </c>
      <c r="Q3">
        <f t="shared" ref="Q3:Q35" si="7">O3/2</f>
        <v>0.15895953757225434</v>
      </c>
    </row>
    <row r="4" spans="1:17" x14ac:dyDescent="0.2">
      <c r="A4" t="s">
        <v>59</v>
      </c>
      <c r="B4" t="s">
        <v>42</v>
      </c>
      <c r="C4">
        <v>9</v>
      </c>
      <c r="D4">
        <v>13</v>
      </c>
      <c r="E4">
        <f t="shared" si="2"/>
        <v>0.69230769230769229</v>
      </c>
      <c r="F4">
        <f t="shared" si="3"/>
        <v>1.7341040462427744E-2</v>
      </c>
      <c r="G4">
        <f t="shared" si="4"/>
        <v>2.5048169556840076E-2</v>
      </c>
      <c r="H4">
        <f t="shared" si="5"/>
        <v>8.670520231213872E-3</v>
      </c>
      <c r="J4" t="s">
        <v>60</v>
      </c>
      <c r="K4" t="s">
        <v>52</v>
      </c>
      <c r="L4">
        <v>61</v>
      </c>
      <c r="M4">
        <v>32</v>
      </c>
      <c r="N4">
        <f t="shared" si="6"/>
        <v>1.90625</v>
      </c>
      <c r="O4">
        <f t="shared" si="0"/>
        <v>0.11753371868978806</v>
      </c>
      <c r="P4">
        <f t="shared" si="1"/>
        <v>6.1657032755298651E-2</v>
      </c>
      <c r="Q4">
        <f t="shared" si="7"/>
        <v>5.8766859344894028E-2</v>
      </c>
    </row>
    <row r="5" spans="1:17" x14ac:dyDescent="0.2">
      <c r="A5" t="s">
        <v>59</v>
      </c>
      <c r="B5" t="s">
        <v>52</v>
      </c>
      <c r="C5">
        <v>158</v>
      </c>
      <c r="D5">
        <v>131</v>
      </c>
      <c r="E5">
        <f t="shared" si="2"/>
        <v>1.2061068702290076</v>
      </c>
      <c r="F5">
        <f t="shared" si="3"/>
        <v>0.30443159922928709</v>
      </c>
      <c r="G5">
        <f t="shared" si="4"/>
        <v>0.25240847784200388</v>
      </c>
      <c r="H5">
        <f t="shared" si="5"/>
        <v>0.15221579961464354</v>
      </c>
      <c r="J5" t="s">
        <v>60</v>
      </c>
      <c r="K5" t="s">
        <v>53</v>
      </c>
      <c r="L5">
        <v>117</v>
      </c>
      <c r="M5">
        <v>105</v>
      </c>
      <c r="N5">
        <f t="shared" si="6"/>
        <v>1.1142857142857143</v>
      </c>
      <c r="O5">
        <f t="shared" si="0"/>
        <v>0.22543352601156069</v>
      </c>
      <c r="P5">
        <f t="shared" si="1"/>
        <v>0.20231213872832371</v>
      </c>
      <c r="Q5">
        <f t="shared" si="7"/>
        <v>0.11271676300578035</v>
      </c>
    </row>
    <row r="6" spans="1:17" x14ac:dyDescent="0.2">
      <c r="A6" t="s">
        <v>59</v>
      </c>
      <c r="B6" t="s">
        <v>53</v>
      </c>
      <c r="C6">
        <v>417</v>
      </c>
      <c r="D6">
        <v>404</v>
      </c>
      <c r="E6">
        <f t="shared" si="2"/>
        <v>1.0321782178217822</v>
      </c>
      <c r="F6">
        <f t="shared" si="3"/>
        <v>0.80346820809248554</v>
      </c>
      <c r="G6">
        <f t="shared" si="4"/>
        <v>0.77842003853564545</v>
      </c>
      <c r="H6">
        <f t="shared" si="5"/>
        <v>0.40173410404624277</v>
      </c>
      <c r="J6" t="s">
        <v>60</v>
      </c>
      <c r="K6" t="s">
        <v>54</v>
      </c>
      <c r="L6">
        <v>39</v>
      </c>
      <c r="M6">
        <v>24</v>
      </c>
      <c r="N6">
        <f t="shared" si="6"/>
        <v>1.625</v>
      </c>
      <c r="O6">
        <f t="shared" si="0"/>
        <v>7.5144508670520235E-2</v>
      </c>
      <c r="P6">
        <f t="shared" si="1"/>
        <v>4.6242774566473986E-2</v>
      </c>
      <c r="Q6">
        <f t="shared" si="7"/>
        <v>3.7572254335260118E-2</v>
      </c>
    </row>
    <row r="7" spans="1:17" x14ac:dyDescent="0.2">
      <c r="A7" t="s">
        <v>59</v>
      </c>
      <c r="B7" t="s">
        <v>54</v>
      </c>
      <c r="C7">
        <v>157</v>
      </c>
      <c r="D7">
        <v>126</v>
      </c>
      <c r="E7">
        <f t="shared" si="2"/>
        <v>1.246031746031746</v>
      </c>
      <c r="F7">
        <f t="shared" si="3"/>
        <v>0.30250481695568399</v>
      </c>
      <c r="G7">
        <f t="shared" si="4"/>
        <v>0.24277456647398843</v>
      </c>
      <c r="H7">
        <f t="shared" si="5"/>
        <v>0.15125240847784199</v>
      </c>
      <c r="J7" t="s">
        <v>60</v>
      </c>
      <c r="K7" t="s">
        <v>43</v>
      </c>
      <c r="L7">
        <v>6029</v>
      </c>
      <c r="M7">
        <v>6018</v>
      </c>
      <c r="N7">
        <f t="shared" si="6"/>
        <v>1.0018278497839814</v>
      </c>
      <c r="O7">
        <f t="shared" si="0"/>
        <v>11.616570327552987</v>
      </c>
      <c r="P7">
        <f t="shared" si="1"/>
        <v>11.595375722543352</v>
      </c>
      <c r="Q7">
        <f t="shared" si="7"/>
        <v>5.8082851637764934</v>
      </c>
    </row>
    <row r="8" spans="1:17" x14ac:dyDescent="0.2">
      <c r="A8" t="s">
        <v>59</v>
      </c>
      <c r="B8" t="s">
        <v>56</v>
      </c>
      <c r="C8">
        <v>16</v>
      </c>
      <c r="D8">
        <v>11</v>
      </c>
      <c r="E8">
        <f t="shared" si="2"/>
        <v>1.4545454545454546</v>
      </c>
      <c r="F8">
        <f t="shared" si="3"/>
        <v>3.0828516377649325E-2</v>
      </c>
      <c r="G8">
        <f t="shared" si="4"/>
        <v>2.119460500963391E-2</v>
      </c>
      <c r="H8">
        <f t="shared" si="5"/>
        <v>1.5414258188824663E-2</v>
      </c>
      <c r="J8" t="s">
        <v>60</v>
      </c>
      <c r="K8" t="s">
        <v>44</v>
      </c>
      <c r="L8">
        <v>218</v>
      </c>
      <c r="M8">
        <v>205</v>
      </c>
      <c r="N8">
        <f t="shared" si="6"/>
        <v>1.0634146341463415</v>
      </c>
      <c r="O8">
        <f t="shared" si="0"/>
        <v>0.42003853564547206</v>
      </c>
      <c r="P8">
        <f t="shared" si="1"/>
        <v>0.39499036608863197</v>
      </c>
      <c r="Q8">
        <f t="shared" si="7"/>
        <v>0.21001926782273603</v>
      </c>
    </row>
    <row r="9" spans="1:17" x14ac:dyDescent="0.2">
      <c r="A9" t="s">
        <v>59</v>
      </c>
      <c r="B9" t="s">
        <v>43</v>
      </c>
      <c r="C9">
        <v>36028</v>
      </c>
      <c r="D9">
        <v>35104</v>
      </c>
      <c r="E9">
        <f t="shared" si="2"/>
        <v>1.0263217866909753</v>
      </c>
      <c r="F9">
        <f t="shared" si="3"/>
        <v>69.418111753371875</v>
      </c>
      <c r="G9">
        <f t="shared" si="4"/>
        <v>67.637764932562618</v>
      </c>
      <c r="H9">
        <f t="shared" si="5"/>
        <v>34.709055876685937</v>
      </c>
      <c r="J9" t="s">
        <v>60</v>
      </c>
      <c r="K9" t="s">
        <v>45</v>
      </c>
      <c r="L9">
        <v>8</v>
      </c>
      <c r="M9">
        <v>10</v>
      </c>
      <c r="N9">
        <f t="shared" si="6"/>
        <v>0.8</v>
      </c>
      <c r="O9">
        <f t="shared" si="0"/>
        <v>1.5414258188824663E-2</v>
      </c>
      <c r="P9">
        <f t="shared" si="1"/>
        <v>1.9267822736030827E-2</v>
      </c>
      <c r="Q9">
        <f t="shared" si="7"/>
        <v>7.7071290944123313E-3</v>
      </c>
    </row>
    <row r="10" spans="1:17" x14ac:dyDescent="0.2">
      <c r="A10" t="s">
        <v>59</v>
      </c>
      <c r="B10" t="s">
        <v>44</v>
      </c>
      <c r="C10">
        <v>1217</v>
      </c>
      <c r="D10">
        <v>1136</v>
      </c>
      <c r="E10">
        <f t="shared" si="2"/>
        <v>1.0713028169014085</v>
      </c>
      <c r="F10">
        <f t="shared" si="3"/>
        <v>2.3448940269749516</v>
      </c>
      <c r="G10">
        <f t="shared" si="4"/>
        <v>2.1888246628131021</v>
      </c>
      <c r="H10">
        <f t="shared" si="5"/>
        <v>1.1724470134874758</v>
      </c>
      <c r="J10" t="s">
        <v>60</v>
      </c>
      <c r="K10" t="s">
        <v>46</v>
      </c>
      <c r="L10">
        <v>101</v>
      </c>
      <c r="M10">
        <v>93</v>
      </c>
      <c r="N10">
        <f t="shared" si="6"/>
        <v>1.086021505376344</v>
      </c>
      <c r="O10">
        <f t="shared" si="0"/>
        <v>0.19460500963391136</v>
      </c>
      <c r="P10">
        <f t="shared" si="1"/>
        <v>0.1791907514450867</v>
      </c>
      <c r="Q10">
        <f t="shared" si="7"/>
        <v>9.7302504816955682E-2</v>
      </c>
    </row>
    <row r="11" spans="1:17" x14ac:dyDescent="0.2">
      <c r="A11" t="s">
        <v>59</v>
      </c>
      <c r="B11" t="s">
        <v>45</v>
      </c>
      <c r="C11">
        <v>37</v>
      </c>
      <c r="D11">
        <v>36</v>
      </c>
      <c r="E11">
        <f t="shared" si="2"/>
        <v>1.0277777777777777</v>
      </c>
      <c r="F11">
        <f t="shared" si="3"/>
        <v>7.1290944123314062E-2</v>
      </c>
      <c r="G11">
        <f t="shared" si="4"/>
        <v>6.9364161849710976E-2</v>
      </c>
      <c r="H11">
        <f t="shared" si="5"/>
        <v>3.5645472061657031E-2</v>
      </c>
      <c r="J11" t="s">
        <v>60</v>
      </c>
      <c r="K11" t="s">
        <v>47</v>
      </c>
      <c r="L11">
        <v>4487</v>
      </c>
      <c r="M11">
        <v>4602</v>
      </c>
      <c r="N11">
        <f t="shared" si="6"/>
        <v>0.97501086484137334</v>
      </c>
      <c r="O11">
        <f t="shared" si="0"/>
        <v>8.6454720616570331</v>
      </c>
      <c r="P11">
        <f t="shared" si="1"/>
        <v>8.8670520231213867</v>
      </c>
      <c r="Q11">
        <f t="shared" si="7"/>
        <v>4.3227360308285165</v>
      </c>
    </row>
    <row r="12" spans="1:17" x14ac:dyDescent="0.2">
      <c r="A12" t="s">
        <v>59</v>
      </c>
      <c r="B12" t="s">
        <v>46</v>
      </c>
      <c r="C12">
        <v>380</v>
      </c>
      <c r="D12">
        <v>357</v>
      </c>
      <c r="E12">
        <f t="shared" si="2"/>
        <v>1.0644257703081232</v>
      </c>
      <c r="F12">
        <f t="shared" si="3"/>
        <v>0.73217726396917149</v>
      </c>
      <c r="G12">
        <f t="shared" si="4"/>
        <v>0.68786127167630062</v>
      </c>
      <c r="H12">
        <f t="shared" si="5"/>
        <v>0.36608863198458574</v>
      </c>
      <c r="J12" t="s">
        <v>60</v>
      </c>
      <c r="K12" t="s">
        <v>50</v>
      </c>
      <c r="L12">
        <v>64</v>
      </c>
      <c r="M12">
        <v>56</v>
      </c>
      <c r="N12">
        <f t="shared" si="6"/>
        <v>1.1428571428571428</v>
      </c>
      <c r="O12">
        <f t="shared" si="0"/>
        <v>0.1233140655105973</v>
      </c>
      <c r="P12">
        <f t="shared" si="1"/>
        <v>0.10789980732177264</v>
      </c>
      <c r="Q12">
        <f t="shared" si="7"/>
        <v>6.1657032755298651E-2</v>
      </c>
    </row>
    <row r="13" spans="1:17" x14ac:dyDescent="0.2">
      <c r="A13" t="s">
        <v>59</v>
      </c>
      <c r="B13" t="s">
        <v>47</v>
      </c>
      <c r="C13">
        <v>17886</v>
      </c>
      <c r="D13">
        <v>17804</v>
      </c>
      <c r="E13">
        <f t="shared" si="2"/>
        <v>1.0046057065827905</v>
      </c>
      <c r="F13">
        <f t="shared" si="3"/>
        <v>34.462427745664741</v>
      </c>
      <c r="G13">
        <f t="shared" si="4"/>
        <v>34.304431599229289</v>
      </c>
      <c r="H13">
        <f t="shared" si="5"/>
        <v>17.23121387283237</v>
      </c>
      <c r="J13" t="s">
        <v>60</v>
      </c>
      <c r="K13" t="s">
        <v>51</v>
      </c>
      <c r="L13">
        <v>1151</v>
      </c>
      <c r="M13">
        <v>1052</v>
      </c>
      <c r="N13">
        <f t="shared" si="6"/>
        <v>1.0941064638783271</v>
      </c>
      <c r="O13">
        <f t="shared" si="0"/>
        <v>2.2177263969171483</v>
      </c>
      <c r="P13">
        <f t="shared" si="1"/>
        <v>2.026974951830443</v>
      </c>
      <c r="Q13">
        <f t="shared" si="7"/>
        <v>1.1088631984585742</v>
      </c>
    </row>
    <row r="14" spans="1:17" x14ac:dyDescent="0.2">
      <c r="A14" t="s">
        <v>59</v>
      </c>
      <c r="B14" t="s">
        <v>48</v>
      </c>
      <c r="C14">
        <v>54</v>
      </c>
      <c r="D14">
        <v>60</v>
      </c>
      <c r="E14">
        <f t="shared" si="2"/>
        <v>0.9</v>
      </c>
      <c r="F14">
        <f t="shared" si="3"/>
        <v>0.10404624277456648</v>
      </c>
      <c r="G14">
        <f t="shared" si="4"/>
        <v>0.11560693641618497</v>
      </c>
      <c r="H14">
        <f t="shared" si="5"/>
        <v>5.2023121387283239E-2</v>
      </c>
      <c r="J14" t="s">
        <v>60</v>
      </c>
      <c r="K14" t="s">
        <v>55</v>
      </c>
      <c r="L14">
        <v>3</v>
      </c>
      <c r="M14">
        <v>1</v>
      </c>
      <c r="N14">
        <f t="shared" si="6"/>
        <v>3</v>
      </c>
      <c r="O14">
        <f t="shared" si="0"/>
        <v>5.7803468208092483E-3</v>
      </c>
      <c r="P14">
        <f t="shared" si="1"/>
        <v>1.9267822736030828E-3</v>
      </c>
      <c r="Q14">
        <f t="shared" si="7"/>
        <v>2.8901734104046241E-3</v>
      </c>
    </row>
    <row r="15" spans="1:17" x14ac:dyDescent="0.2">
      <c r="A15" t="s">
        <v>59</v>
      </c>
      <c r="B15" t="s">
        <v>49</v>
      </c>
      <c r="C15">
        <v>135</v>
      </c>
      <c r="D15">
        <v>110</v>
      </c>
      <c r="E15">
        <f t="shared" si="2"/>
        <v>1.2272727272727273</v>
      </c>
      <c r="F15">
        <f t="shared" si="3"/>
        <v>0.26011560693641617</v>
      </c>
      <c r="G15">
        <f t="shared" si="4"/>
        <v>0.2119460500963391</v>
      </c>
      <c r="H15">
        <f t="shared" si="5"/>
        <v>0.13005780346820808</v>
      </c>
      <c r="J15" t="s">
        <v>60</v>
      </c>
      <c r="K15" t="s">
        <v>56</v>
      </c>
      <c r="L15">
        <v>6</v>
      </c>
      <c r="M15">
        <v>1</v>
      </c>
      <c r="N15">
        <f t="shared" si="6"/>
        <v>6</v>
      </c>
      <c r="O15">
        <f t="shared" si="0"/>
        <v>1.1560693641618497E-2</v>
      </c>
      <c r="P15">
        <f t="shared" si="1"/>
        <v>1.9267822736030828E-3</v>
      </c>
      <c r="Q15">
        <f t="shared" si="7"/>
        <v>5.7803468208092483E-3</v>
      </c>
    </row>
    <row r="16" spans="1:17" x14ac:dyDescent="0.2">
      <c r="A16" t="s">
        <v>59</v>
      </c>
      <c r="B16" t="s">
        <v>50</v>
      </c>
      <c r="C16">
        <v>309</v>
      </c>
      <c r="D16">
        <v>298</v>
      </c>
      <c r="E16">
        <f t="shared" si="2"/>
        <v>1.0369127516778522</v>
      </c>
      <c r="F16">
        <f t="shared" si="3"/>
        <v>0.59537572254335258</v>
      </c>
      <c r="G16">
        <f t="shared" si="4"/>
        <v>0.5741811175337187</v>
      </c>
      <c r="H16">
        <f t="shared" si="5"/>
        <v>0.29768786127167629</v>
      </c>
      <c r="J16" t="s">
        <v>60</v>
      </c>
      <c r="K16" t="s">
        <v>42</v>
      </c>
      <c r="L16">
        <v>3</v>
      </c>
      <c r="M16">
        <v>1</v>
      </c>
      <c r="N16">
        <f t="shared" si="6"/>
        <v>3</v>
      </c>
      <c r="O16">
        <f t="shared" si="0"/>
        <v>5.7803468208092483E-3</v>
      </c>
      <c r="P16">
        <f t="shared" si="1"/>
        <v>1.9267822736030828E-3</v>
      </c>
      <c r="Q16">
        <f t="shared" si="7"/>
        <v>2.8901734104046241E-3</v>
      </c>
    </row>
    <row r="17" spans="1:17" x14ac:dyDescent="0.2">
      <c r="A17" t="s">
        <v>59</v>
      </c>
      <c r="B17" t="s">
        <v>51</v>
      </c>
      <c r="C17">
        <v>16010</v>
      </c>
      <c r="D17">
        <v>15303</v>
      </c>
      <c r="E17">
        <f t="shared" si="2"/>
        <v>1.0462000914853298</v>
      </c>
      <c r="F17">
        <f t="shared" si="3"/>
        <v>30.847784200385355</v>
      </c>
      <c r="G17">
        <f t="shared" si="4"/>
        <v>29.485549132947977</v>
      </c>
      <c r="H17">
        <f t="shared" si="5"/>
        <v>15.423892100192678</v>
      </c>
    </row>
    <row r="18" spans="1:17" x14ac:dyDescent="0.2">
      <c r="A18" t="s">
        <v>59</v>
      </c>
      <c r="B18" t="s">
        <v>55</v>
      </c>
      <c r="C18">
        <v>5</v>
      </c>
      <c r="D18">
        <v>7</v>
      </c>
      <c r="E18">
        <f t="shared" si="2"/>
        <v>0.7142857142857143</v>
      </c>
      <c r="F18">
        <f t="shared" si="3"/>
        <v>9.6339113680154135E-3</v>
      </c>
      <c r="G18">
        <f t="shared" si="4"/>
        <v>1.348747591522158E-2</v>
      </c>
      <c r="H18">
        <f t="shared" si="5"/>
        <v>4.8169556840077067E-3</v>
      </c>
    </row>
    <row r="20" spans="1:17" x14ac:dyDescent="0.2">
      <c r="A20" t="s">
        <v>61</v>
      </c>
      <c r="B20" t="s">
        <v>72</v>
      </c>
      <c r="C20">
        <v>3865935</v>
      </c>
      <c r="D20">
        <v>3862537</v>
      </c>
      <c r="E20">
        <f t="shared" si="2"/>
        <v>1.0008797326731109</v>
      </c>
      <c r="F20">
        <f>C20/519</f>
        <v>7448.815028901734</v>
      </c>
      <c r="G20">
        <f>D20/519</f>
        <v>7442.2678227360311</v>
      </c>
      <c r="H20">
        <f t="shared" si="5"/>
        <v>3724.407514450867</v>
      </c>
      <c r="J20" t="s">
        <v>80</v>
      </c>
      <c r="K20" t="s">
        <v>62</v>
      </c>
      <c r="L20">
        <v>645521</v>
      </c>
      <c r="M20">
        <v>643939</v>
      </c>
      <c r="N20">
        <f t="shared" ref="N20:N35" si="8">L20/M20</f>
        <v>1.0024567544441321</v>
      </c>
      <c r="O20">
        <f t="shared" ref="O20:O29" si="9">L20/519</f>
        <v>1243.7784200385356</v>
      </c>
      <c r="P20">
        <f t="shared" ref="P20:P29" si="10">M20/519</f>
        <v>1240.7302504816955</v>
      </c>
      <c r="Q20">
        <f t="shared" si="7"/>
        <v>621.88921001926781</v>
      </c>
    </row>
    <row r="21" spans="1:17" x14ac:dyDescent="0.2">
      <c r="J21" t="s">
        <v>80</v>
      </c>
      <c r="K21" t="s">
        <v>63</v>
      </c>
      <c r="L21">
        <v>10559</v>
      </c>
      <c r="M21">
        <v>10420</v>
      </c>
      <c r="N21">
        <f t="shared" si="8"/>
        <v>1.0133397312859884</v>
      </c>
      <c r="O21">
        <f t="shared" si="9"/>
        <v>20.344894026974952</v>
      </c>
      <c r="P21">
        <f t="shared" si="10"/>
        <v>20.077071290944122</v>
      </c>
      <c r="Q21">
        <f t="shared" si="7"/>
        <v>10.172447013487476</v>
      </c>
    </row>
    <row r="22" spans="1:17" x14ac:dyDescent="0.2">
      <c r="A22" t="s">
        <v>61</v>
      </c>
      <c r="B22" t="s">
        <v>73</v>
      </c>
      <c r="C22">
        <v>3817494</v>
      </c>
      <c r="D22">
        <v>3814098</v>
      </c>
      <c r="E22">
        <f t="shared" si="2"/>
        <v>1.000890380897397</v>
      </c>
      <c r="F22">
        <f t="shared" ref="F22:G26" si="11">C22/519</f>
        <v>7355.4797687861274</v>
      </c>
      <c r="G22">
        <f t="shared" si="11"/>
        <v>7348.9364161849708</v>
      </c>
      <c r="H22">
        <f t="shared" si="5"/>
        <v>3677.7398843930637</v>
      </c>
      <c r="J22" t="s">
        <v>80</v>
      </c>
      <c r="K22" t="s">
        <v>64</v>
      </c>
      <c r="L22">
        <v>634962</v>
      </c>
      <c r="M22">
        <v>633519</v>
      </c>
      <c r="N22">
        <f t="shared" si="8"/>
        <v>1.0022777533112661</v>
      </c>
      <c r="O22">
        <f t="shared" si="9"/>
        <v>1223.4335260115606</v>
      </c>
      <c r="P22">
        <f t="shared" si="10"/>
        <v>1220.6531791907514</v>
      </c>
      <c r="Q22">
        <f t="shared" si="7"/>
        <v>611.71676300578031</v>
      </c>
    </row>
    <row r="23" spans="1:17" x14ac:dyDescent="0.2">
      <c r="A23" t="s">
        <v>61</v>
      </c>
      <c r="B23" t="s">
        <v>74</v>
      </c>
      <c r="C23">
        <v>1717156</v>
      </c>
      <c r="D23">
        <v>1714545</v>
      </c>
      <c r="E23">
        <f t="shared" si="2"/>
        <v>1.0015228530018168</v>
      </c>
      <c r="F23">
        <f t="shared" si="11"/>
        <v>3308.5857418111755</v>
      </c>
      <c r="G23">
        <f t="shared" si="11"/>
        <v>3303.5549132947976</v>
      </c>
      <c r="H23">
        <f t="shared" si="5"/>
        <v>1654.2928709055877</v>
      </c>
      <c r="J23" t="s">
        <v>80</v>
      </c>
      <c r="K23" t="s">
        <v>65</v>
      </c>
      <c r="L23">
        <v>119938</v>
      </c>
      <c r="M23">
        <v>119451</v>
      </c>
      <c r="N23">
        <f t="shared" si="8"/>
        <v>1.0040769855421889</v>
      </c>
      <c r="O23">
        <f t="shared" si="9"/>
        <v>231.09441233140655</v>
      </c>
      <c r="P23">
        <f t="shared" si="10"/>
        <v>230.15606936416185</v>
      </c>
      <c r="Q23">
        <f t="shared" si="7"/>
        <v>115.54720616570327</v>
      </c>
    </row>
    <row r="24" spans="1:17" x14ac:dyDescent="0.2">
      <c r="A24" t="s">
        <v>61</v>
      </c>
      <c r="B24" t="s">
        <v>75</v>
      </c>
      <c r="C24">
        <v>1885502</v>
      </c>
      <c r="D24">
        <v>1885226</v>
      </c>
      <c r="E24">
        <f t="shared" si="2"/>
        <v>1.0001464015454911</v>
      </c>
      <c r="F24">
        <f t="shared" si="11"/>
        <v>3632.9518304431599</v>
      </c>
      <c r="G24">
        <f t="shared" si="11"/>
        <v>3632.4200385356453</v>
      </c>
      <c r="H24">
        <f t="shared" si="5"/>
        <v>1816.47591522158</v>
      </c>
      <c r="J24" t="s">
        <v>80</v>
      </c>
      <c r="K24" t="s">
        <v>66</v>
      </c>
      <c r="L24">
        <v>476608</v>
      </c>
      <c r="M24">
        <v>475716</v>
      </c>
      <c r="N24">
        <f t="shared" si="8"/>
        <v>1.0018750683180722</v>
      </c>
      <c r="O24">
        <f t="shared" si="9"/>
        <v>918.31984585741816</v>
      </c>
      <c r="P24">
        <f t="shared" si="10"/>
        <v>916.60115606936415</v>
      </c>
      <c r="Q24">
        <f t="shared" si="7"/>
        <v>459.15992292870908</v>
      </c>
    </row>
    <row r="25" spans="1:17" x14ac:dyDescent="0.2">
      <c r="A25" t="s">
        <v>61</v>
      </c>
      <c r="B25" t="s">
        <v>76</v>
      </c>
      <c r="C25">
        <v>125850</v>
      </c>
      <c r="D25">
        <v>125815</v>
      </c>
      <c r="E25">
        <f t="shared" si="2"/>
        <v>1.0002781862258077</v>
      </c>
      <c r="F25">
        <f t="shared" si="11"/>
        <v>242.48554913294797</v>
      </c>
      <c r="G25">
        <f t="shared" si="11"/>
        <v>242.41811175337187</v>
      </c>
      <c r="H25">
        <f t="shared" si="5"/>
        <v>121.24277456647398</v>
      </c>
      <c r="J25" t="s">
        <v>80</v>
      </c>
      <c r="K25" t="s">
        <v>67</v>
      </c>
      <c r="L25">
        <v>21915</v>
      </c>
      <c r="M25">
        <v>22022</v>
      </c>
      <c r="N25">
        <f t="shared" si="8"/>
        <v>0.99514122241394964</v>
      </c>
      <c r="O25">
        <f t="shared" si="9"/>
        <v>42.225433526011564</v>
      </c>
      <c r="P25">
        <f t="shared" si="10"/>
        <v>42.431599229287087</v>
      </c>
      <c r="Q25">
        <f t="shared" si="7"/>
        <v>21.112716763005782</v>
      </c>
    </row>
    <row r="26" spans="1:17" x14ac:dyDescent="0.2">
      <c r="A26" t="s">
        <v>61</v>
      </c>
      <c r="B26" t="s">
        <v>77</v>
      </c>
      <c r="C26">
        <v>32268</v>
      </c>
      <c r="D26">
        <v>31905</v>
      </c>
      <c r="E26">
        <f t="shared" si="2"/>
        <v>1.0113775270333802</v>
      </c>
      <c r="F26">
        <f t="shared" si="11"/>
        <v>62.173410404624278</v>
      </c>
      <c r="G26">
        <f t="shared" si="11"/>
        <v>61.47398843930636</v>
      </c>
      <c r="H26">
        <f t="shared" si="5"/>
        <v>31.086705202312139</v>
      </c>
      <c r="J26" t="s">
        <v>80</v>
      </c>
      <c r="K26" t="s">
        <v>68</v>
      </c>
      <c r="L26">
        <v>6676</v>
      </c>
      <c r="M26">
        <v>6444</v>
      </c>
      <c r="N26">
        <f t="shared" si="8"/>
        <v>1.0360024829298573</v>
      </c>
      <c r="O26">
        <f t="shared" si="9"/>
        <v>12.863198458574182</v>
      </c>
      <c r="P26">
        <f t="shared" si="10"/>
        <v>12.416184971098266</v>
      </c>
      <c r="Q26">
        <f t="shared" si="7"/>
        <v>6.4315992292870909</v>
      </c>
    </row>
    <row r="27" spans="1:17" x14ac:dyDescent="0.2">
      <c r="J27" t="s">
        <v>80</v>
      </c>
      <c r="K27" t="s">
        <v>69</v>
      </c>
      <c r="L27">
        <v>9112</v>
      </c>
      <c r="M27">
        <v>9102</v>
      </c>
      <c r="N27">
        <f t="shared" si="8"/>
        <v>1.0010986596352449</v>
      </c>
      <c r="O27">
        <f t="shared" si="9"/>
        <v>17.556840077071293</v>
      </c>
      <c r="P27">
        <f t="shared" si="10"/>
        <v>17.537572254335259</v>
      </c>
      <c r="Q27">
        <f t="shared" si="7"/>
        <v>8.7784200385356463</v>
      </c>
    </row>
    <row r="28" spans="1:17" x14ac:dyDescent="0.2">
      <c r="A28" t="s">
        <v>61</v>
      </c>
      <c r="B28" t="s">
        <v>78</v>
      </c>
      <c r="C28">
        <v>34960</v>
      </c>
      <c r="D28">
        <v>34882</v>
      </c>
      <c r="E28">
        <f t="shared" si="2"/>
        <v>1.0022361103147754</v>
      </c>
      <c r="F28">
        <f>C28/519</f>
        <v>67.360308285163782</v>
      </c>
      <c r="G28">
        <f>D28/519</f>
        <v>67.21001926782273</v>
      </c>
      <c r="H28">
        <f t="shared" si="5"/>
        <v>33.680154142581891</v>
      </c>
      <c r="J28" t="s">
        <v>80</v>
      </c>
      <c r="K28" t="s">
        <v>70</v>
      </c>
      <c r="L28">
        <v>142</v>
      </c>
      <c r="M28">
        <v>132</v>
      </c>
      <c r="N28">
        <f t="shared" si="8"/>
        <v>1.0757575757575757</v>
      </c>
      <c r="O28">
        <f t="shared" si="9"/>
        <v>0.27360308285163776</v>
      </c>
      <c r="P28">
        <f t="shared" si="10"/>
        <v>0.25433526011560692</v>
      </c>
      <c r="Q28">
        <f t="shared" si="7"/>
        <v>0.13680154142581888</v>
      </c>
    </row>
    <row r="29" spans="1:17" x14ac:dyDescent="0.2">
      <c r="A29" t="s">
        <v>61</v>
      </c>
      <c r="B29" t="s">
        <v>79</v>
      </c>
      <c r="C29">
        <v>3497</v>
      </c>
      <c r="D29">
        <v>3676</v>
      </c>
      <c r="E29">
        <f t="shared" si="2"/>
        <v>0.9513057671381937</v>
      </c>
      <c r="F29">
        <f>C29/519</f>
        <v>6.737957610789981</v>
      </c>
      <c r="G29">
        <f>D29/519</f>
        <v>7.0828516377649322</v>
      </c>
      <c r="H29">
        <f t="shared" si="5"/>
        <v>3.3689788053949905</v>
      </c>
      <c r="J29" t="s">
        <v>80</v>
      </c>
      <c r="K29" t="s">
        <v>71</v>
      </c>
      <c r="L29">
        <v>713</v>
      </c>
      <c r="M29">
        <v>784</v>
      </c>
      <c r="N29">
        <f t="shared" si="8"/>
        <v>0.90943877551020413</v>
      </c>
      <c r="O29">
        <f t="shared" si="9"/>
        <v>1.3737957610789981</v>
      </c>
      <c r="P29">
        <f t="shared" si="10"/>
        <v>1.5105973025048169</v>
      </c>
      <c r="Q29">
        <f t="shared" si="7"/>
        <v>0.68689788053949907</v>
      </c>
    </row>
    <row r="31" spans="1:17" x14ac:dyDescent="0.2">
      <c r="A31" t="s">
        <v>81</v>
      </c>
      <c r="B31" t="s">
        <v>72</v>
      </c>
      <c r="C31">
        <v>4000</v>
      </c>
      <c r="D31">
        <v>3721</v>
      </c>
      <c r="E31">
        <f t="shared" si="2"/>
        <v>1.0749798441279226</v>
      </c>
      <c r="F31">
        <f t="shared" ref="F31:F37" si="12">C31/519</f>
        <v>7.7071290944123314</v>
      </c>
      <c r="G31">
        <f t="shared" ref="G31:G37" si="13">D31/519</f>
        <v>7.1695568400770711</v>
      </c>
      <c r="H31">
        <f t="shared" si="5"/>
        <v>3.8535645472061657</v>
      </c>
      <c r="J31" t="s">
        <v>82</v>
      </c>
      <c r="K31" t="s">
        <v>62</v>
      </c>
      <c r="L31">
        <v>180</v>
      </c>
      <c r="M31">
        <v>168</v>
      </c>
      <c r="N31">
        <f t="shared" si="8"/>
        <v>1.0714285714285714</v>
      </c>
      <c r="O31">
        <f t="shared" ref="O31:P35" si="14">L31/519</f>
        <v>0.34682080924855491</v>
      </c>
      <c r="P31">
        <f t="shared" si="14"/>
        <v>0.32369942196531792</v>
      </c>
      <c r="Q31">
        <f t="shared" si="7"/>
        <v>0.17341040462427745</v>
      </c>
    </row>
    <row r="32" spans="1:17" x14ac:dyDescent="0.2">
      <c r="A32" t="s">
        <v>81</v>
      </c>
      <c r="B32" t="s">
        <v>73</v>
      </c>
      <c r="C32">
        <v>4000</v>
      </c>
      <c r="D32">
        <v>3721</v>
      </c>
      <c r="E32">
        <f t="shared" si="2"/>
        <v>1.0749798441279226</v>
      </c>
      <c r="F32">
        <f t="shared" si="12"/>
        <v>7.7071290944123314</v>
      </c>
      <c r="G32">
        <f t="shared" si="13"/>
        <v>7.1695568400770711</v>
      </c>
      <c r="H32">
        <f t="shared" si="5"/>
        <v>3.8535645472061657</v>
      </c>
      <c r="J32" t="s">
        <v>82</v>
      </c>
      <c r="K32" t="s">
        <v>64</v>
      </c>
      <c r="L32">
        <v>180</v>
      </c>
      <c r="M32">
        <v>168</v>
      </c>
      <c r="N32">
        <f t="shared" si="8"/>
        <v>1.0714285714285714</v>
      </c>
      <c r="O32">
        <f t="shared" si="14"/>
        <v>0.34682080924855491</v>
      </c>
      <c r="P32">
        <f t="shared" si="14"/>
        <v>0.32369942196531792</v>
      </c>
      <c r="Q32">
        <f t="shared" si="7"/>
        <v>0.17341040462427745</v>
      </c>
    </row>
    <row r="33" spans="1:17" x14ac:dyDescent="0.2">
      <c r="A33" t="s">
        <v>81</v>
      </c>
      <c r="B33" t="s">
        <v>74</v>
      </c>
      <c r="C33">
        <v>3084</v>
      </c>
      <c r="D33">
        <v>2817</v>
      </c>
      <c r="E33">
        <f t="shared" si="2"/>
        <v>1.0947816826411076</v>
      </c>
      <c r="F33">
        <f t="shared" si="12"/>
        <v>5.9421965317919074</v>
      </c>
      <c r="G33">
        <f t="shared" si="13"/>
        <v>5.4277456647398843</v>
      </c>
      <c r="H33">
        <f t="shared" si="5"/>
        <v>2.9710982658959537</v>
      </c>
      <c r="J33" t="s">
        <v>82</v>
      </c>
      <c r="K33" t="s">
        <v>65</v>
      </c>
      <c r="L33">
        <v>77</v>
      </c>
      <c r="M33">
        <v>75</v>
      </c>
      <c r="N33">
        <f t="shared" si="8"/>
        <v>1.0266666666666666</v>
      </c>
      <c r="O33">
        <f t="shared" si="14"/>
        <v>0.14836223506743737</v>
      </c>
      <c r="P33">
        <f t="shared" si="14"/>
        <v>0.14450867052023122</v>
      </c>
      <c r="Q33">
        <f t="shared" si="7"/>
        <v>7.4181117533718685E-2</v>
      </c>
    </row>
    <row r="34" spans="1:17" x14ac:dyDescent="0.2">
      <c r="A34" t="s">
        <v>81</v>
      </c>
      <c r="B34" t="s">
        <v>75</v>
      </c>
      <c r="C34">
        <v>874</v>
      </c>
      <c r="D34">
        <v>867</v>
      </c>
      <c r="E34">
        <f t="shared" si="2"/>
        <v>1.0080738177623991</v>
      </c>
      <c r="F34">
        <f t="shared" si="12"/>
        <v>1.6840077071290944</v>
      </c>
      <c r="G34">
        <f t="shared" si="13"/>
        <v>1.6705202312138729</v>
      </c>
      <c r="H34">
        <f t="shared" si="5"/>
        <v>0.84200385356454721</v>
      </c>
      <c r="J34" t="s">
        <v>82</v>
      </c>
      <c r="K34" t="s">
        <v>66</v>
      </c>
      <c r="L34">
        <v>100</v>
      </c>
      <c r="M34">
        <v>91</v>
      </c>
      <c r="N34">
        <f t="shared" si="8"/>
        <v>1.098901098901099</v>
      </c>
      <c r="O34">
        <f t="shared" si="14"/>
        <v>0.19267822736030829</v>
      </c>
      <c r="P34">
        <f t="shared" si="14"/>
        <v>0.17533718689788053</v>
      </c>
      <c r="Q34">
        <f t="shared" si="7"/>
        <v>9.6339113680154145E-2</v>
      </c>
    </row>
    <row r="35" spans="1:17" x14ac:dyDescent="0.2">
      <c r="A35" t="s">
        <v>81</v>
      </c>
      <c r="B35" t="s">
        <v>76</v>
      </c>
      <c r="C35">
        <v>23</v>
      </c>
      <c r="D35">
        <v>27</v>
      </c>
      <c r="E35">
        <f t="shared" si="2"/>
        <v>0.85185185185185186</v>
      </c>
      <c r="F35">
        <f t="shared" si="12"/>
        <v>4.4315992292870907E-2</v>
      </c>
      <c r="G35">
        <f t="shared" si="13"/>
        <v>5.2023121387283239E-2</v>
      </c>
      <c r="H35">
        <f t="shared" si="5"/>
        <v>2.2157996146435453E-2</v>
      </c>
      <c r="J35" t="s">
        <v>82</v>
      </c>
      <c r="K35" t="s">
        <v>67</v>
      </c>
      <c r="L35">
        <v>3</v>
      </c>
      <c r="M35">
        <v>2</v>
      </c>
      <c r="N35">
        <f t="shared" si="8"/>
        <v>1.5</v>
      </c>
      <c r="O35">
        <f t="shared" si="14"/>
        <v>5.7803468208092483E-3</v>
      </c>
      <c r="P35">
        <f t="shared" si="14"/>
        <v>3.8535645472061657E-3</v>
      </c>
      <c r="Q35">
        <f t="shared" si="7"/>
        <v>2.8901734104046241E-3</v>
      </c>
    </row>
    <row r="36" spans="1:17" x14ac:dyDescent="0.2">
      <c r="A36" t="s">
        <v>81</v>
      </c>
      <c r="B36" t="s">
        <v>77</v>
      </c>
      <c r="C36">
        <v>3</v>
      </c>
      <c r="D36">
        <v>0</v>
      </c>
      <c r="E36" t="e">
        <f t="shared" si="2"/>
        <v>#DIV/0!</v>
      </c>
      <c r="F36">
        <f t="shared" si="12"/>
        <v>5.7803468208092483E-3</v>
      </c>
      <c r="G36">
        <f t="shared" si="13"/>
        <v>0</v>
      </c>
      <c r="H36">
        <f t="shared" si="5"/>
        <v>2.8901734104046241E-3</v>
      </c>
    </row>
    <row r="37" spans="1:17" x14ac:dyDescent="0.2">
      <c r="A37" t="s">
        <v>81</v>
      </c>
      <c r="B37" t="s">
        <v>79</v>
      </c>
      <c r="C37">
        <v>1</v>
      </c>
      <c r="D37">
        <v>0</v>
      </c>
      <c r="E37" t="e">
        <f t="shared" si="2"/>
        <v>#DIV/0!</v>
      </c>
      <c r="F37">
        <f t="shared" si="12"/>
        <v>1.9267822736030828E-3</v>
      </c>
      <c r="G37">
        <f t="shared" si="13"/>
        <v>0</v>
      </c>
      <c r="H37">
        <f t="shared" si="5"/>
        <v>9.6339113680154141E-4</v>
      </c>
    </row>
    <row r="40" spans="1:17" x14ac:dyDescent="0.2">
      <c r="A40" t="s">
        <v>86</v>
      </c>
    </row>
    <row r="41" spans="1:17" x14ac:dyDescent="0.2">
      <c r="A41" t="s">
        <v>87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9B3A-FB43-4B46-9066-AE124B3485A2}">
  <dimension ref="A1:J34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3.5" bestFit="1" customWidth="1"/>
    <col min="5" max="5" width="27.83203125" bestFit="1" customWidth="1"/>
    <col min="6" max="6" width="40.1640625" customWidth="1"/>
    <col min="7" max="7" width="6.83203125" bestFit="1" customWidth="1"/>
    <col min="8" max="8" width="7.33203125" bestFit="1" customWidth="1"/>
    <col min="9" max="9" width="7.1640625" style="4" bestFit="1" customWidth="1"/>
  </cols>
  <sheetData>
    <row r="1" spans="1:10" x14ac:dyDescent="0.2">
      <c r="A1" t="s">
        <v>92</v>
      </c>
      <c r="B1">
        <v>350</v>
      </c>
      <c r="E1" t="s">
        <v>135</v>
      </c>
      <c r="F1" t="s">
        <v>99</v>
      </c>
      <c r="G1" t="s">
        <v>100</v>
      </c>
      <c r="H1" t="s">
        <v>101</v>
      </c>
      <c r="I1" s="4" t="s">
        <v>139</v>
      </c>
      <c r="J1" t="s">
        <v>140</v>
      </c>
    </row>
    <row r="2" spans="1:10" x14ac:dyDescent="0.2">
      <c r="A2" t="s">
        <v>93</v>
      </c>
      <c r="B2">
        <v>350</v>
      </c>
      <c r="F2" t="s">
        <v>102</v>
      </c>
      <c r="G2">
        <v>61</v>
      </c>
      <c r="H2">
        <v>257</v>
      </c>
      <c r="I2" s="4">
        <v>0.1918238993710692</v>
      </c>
      <c r="J2" s="4">
        <f>1-I2</f>
        <v>0.80817610062893075</v>
      </c>
    </row>
    <row r="3" spans="1:10" x14ac:dyDescent="0.2">
      <c r="A3" t="s">
        <v>94</v>
      </c>
      <c r="B3">
        <v>95</v>
      </c>
      <c r="F3" t="s">
        <v>103</v>
      </c>
      <c r="G3">
        <v>32</v>
      </c>
      <c r="H3">
        <v>286</v>
      </c>
      <c r="I3" s="4">
        <v>0.10062893081761007</v>
      </c>
      <c r="J3" s="4">
        <f t="shared" ref="J3:J34" si="0">1-I3</f>
        <v>0.89937106918238996</v>
      </c>
    </row>
    <row r="4" spans="1:10" x14ac:dyDescent="0.2">
      <c r="A4" t="s">
        <v>95</v>
      </c>
      <c r="B4">
        <v>59</v>
      </c>
      <c r="F4" t="s">
        <v>104</v>
      </c>
      <c r="G4">
        <v>51</v>
      </c>
      <c r="H4">
        <v>267</v>
      </c>
      <c r="I4" s="4">
        <v>0.16037735849056603</v>
      </c>
      <c r="J4" s="4">
        <f t="shared" si="0"/>
        <v>0.839622641509434</v>
      </c>
    </row>
    <row r="5" spans="1:10" x14ac:dyDescent="0.2">
      <c r="A5" t="s">
        <v>96</v>
      </c>
      <c r="B5">
        <v>514</v>
      </c>
      <c r="F5" t="s">
        <v>105</v>
      </c>
      <c r="G5">
        <v>30</v>
      </c>
      <c r="H5">
        <v>288</v>
      </c>
      <c r="I5" s="4">
        <v>9.4339622641509441E-2</v>
      </c>
      <c r="J5" s="4">
        <f t="shared" si="0"/>
        <v>0.90566037735849059</v>
      </c>
    </row>
    <row r="6" spans="1:10" x14ac:dyDescent="0.2">
      <c r="F6" t="s">
        <v>106</v>
      </c>
      <c r="G6">
        <v>4</v>
      </c>
      <c r="H6">
        <v>314</v>
      </c>
      <c r="I6" s="4">
        <v>1.2578616352201259E-2</v>
      </c>
      <c r="J6" s="4">
        <f t="shared" si="0"/>
        <v>0.98742138364779874</v>
      </c>
    </row>
    <row r="7" spans="1:10" x14ac:dyDescent="0.2">
      <c r="B7" t="s">
        <v>136</v>
      </c>
      <c r="C7" t="s">
        <v>137</v>
      </c>
      <c r="F7" t="s">
        <v>107</v>
      </c>
      <c r="G7">
        <v>26</v>
      </c>
      <c r="H7">
        <v>292</v>
      </c>
      <c r="I7" s="4">
        <v>8.1761006289308172E-2</v>
      </c>
      <c r="J7" s="4">
        <f t="shared" si="0"/>
        <v>0.91823899371069184</v>
      </c>
    </row>
    <row r="8" spans="1:10" x14ac:dyDescent="0.2">
      <c r="A8" t="s">
        <v>97</v>
      </c>
      <c r="B8">
        <v>350</v>
      </c>
      <c r="C8">
        <v>350</v>
      </c>
      <c r="F8" s="3" t="s">
        <v>108</v>
      </c>
      <c r="G8">
        <v>172</v>
      </c>
      <c r="H8">
        <v>146</v>
      </c>
      <c r="I8" s="4">
        <v>0.54088050314465408</v>
      </c>
      <c r="J8" s="4">
        <f t="shared" si="0"/>
        <v>0.45911949685534592</v>
      </c>
    </row>
    <row r="9" spans="1:10" x14ac:dyDescent="0.2">
      <c r="A9" t="s">
        <v>98</v>
      </c>
      <c r="B9">
        <f>59+(350*0.1415)</f>
        <v>108.52500000000001</v>
      </c>
      <c r="C9">
        <f>514+95+(350*0.8585)</f>
        <v>909.47500000000002</v>
      </c>
      <c r="F9" t="s">
        <v>109</v>
      </c>
      <c r="G9">
        <v>79</v>
      </c>
      <c r="H9">
        <v>239</v>
      </c>
      <c r="I9" s="4">
        <v>0.24842767295597484</v>
      </c>
      <c r="J9" s="4">
        <f t="shared" si="0"/>
        <v>0.7515723270440251</v>
      </c>
    </row>
    <row r="10" spans="1:10" x14ac:dyDescent="0.2">
      <c r="A10" t="s">
        <v>138</v>
      </c>
      <c r="B10">
        <f>95+(0.0786*350)</f>
        <v>122.51</v>
      </c>
      <c r="C10">
        <f>59+514+(350*0.9214)</f>
        <v>895.49</v>
      </c>
      <c r="F10" t="s">
        <v>110</v>
      </c>
      <c r="G10">
        <v>110</v>
      </c>
      <c r="H10">
        <v>208</v>
      </c>
      <c r="I10" s="4">
        <v>0.34591194968553457</v>
      </c>
      <c r="J10" s="4">
        <f t="shared" si="0"/>
        <v>0.65408805031446549</v>
      </c>
    </row>
    <row r="11" spans="1:10" x14ac:dyDescent="0.2">
      <c r="A11" t="s">
        <v>141</v>
      </c>
      <c r="B11">
        <f>(0.5409*350)+59</f>
        <v>248.31500000000003</v>
      </c>
      <c r="C11">
        <f>(0.4591*350)+95+514</f>
        <v>769.68499999999995</v>
      </c>
      <c r="F11" t="s">
        <v>111</v>
      </c>
      <c r="G11">
        <v>76</v>
      </c>
      <c r="H11">
        <v>242</v>
      </c>
      <c r="I11" s="4">
        <v>0.2389937106918239</v>
      </c>
      <c r="J11" s="4">
        <f t="shared" si="0"/>
        <v>0.76100628930817615</v>
      </c>
    </row>
    <row r="12" spans="1:10" x14ac:dyDescent="0.2">
      <c r="F12" t="s">
        <v>112</v>
      </c>
      <c r="G12">
        <v>160</v>
      </c>
      <c r="H12">
        <v>158</v>
      </c>
      <c r="I12" s="4">
        <v>0.50314465408805031</v>
      </c>
      <c r="J12" s="4">
        <f t="shared" si="0"/>
        <v>0.49685534591194969</v>
      </c>
    </row>
    <row r="13" spans="1:10" x14ac:dyDescent="0.2">
      <c r="F13" t="s">
        <v>113</v>
      </c>
      <c r="G13">
        <v>142</v>
      </c>
      <c r="H13">
        <v>176</v>
      </c>
      <c r="I13" s="4">
        <v>0.44654088050314467</v>
      </c>
      <c r="J13" s="4">
        <f t="shared" si="0"/>
        <v>0.55345911949685533</v>
      </c>
    </row>
    <row r="14" spans="1:10" x14ac:dyDescent="0.2">
      <c r="F14" t="s">
        <v>114</v>
      </c>
      <c r="G14">
        <v>39</v>
      </c>
      <c r="H14">
        <v>279</v>
      </c>
      <c r="I14" s="4">
        <v>0.12264150943396226</v>
      </c>
      <c r="J14" s="4">
        <f t="shared" si="0"/>
        <v>0.87735849056603776</v>
      </c>
    </row>
    <row r="15" spans="1:10" x14ac:dyDescent="0.2">
      <c r="F15" s="3" t="s">
        <v>115</v>
      </c>
      <c r="G15">
        <v>45</v>
      </c>
      <c r="H15">
        <v>273</v>
      </c>
      <c r="I15" s="4">
        <v>0.14150943396226415</v>
      </c>
      <c r="J15" s="4">
        <f t="shared" si="0"/>
        <v>0.85849056603773588</v>
      </c>
    </row>
    <row r="16" spans="1:10" x14ac:dyDescent="0.2">
      <c r="F16" t="s">
        <v>116</v>
      </c>
      <c r="G16">
        <v>94</v>
      </c>
      <c r="H16">
        <v>224</v>
      </c>
      <c r="I16" s="4">
        <v>0.29559748427672955</v>
      </c>
      <c r="J16" s="4">
        <f t="shared" si="0"/>
        <v>0.70440251572327051</v>
      </c>
    </row>
    <row r="17" spans="6:10" x14ac:dyDescent="0.2">
      <c r="F17" s="3" t="s">
        <v>117</v>
      </c>
      <c r="G17">
        <v>20</v>
      </c>
      <c r="H17">
        <v>298</v>
      </c>
      <c r="I17" s="4">
        <v>6.2893081761006289E-2</v>
      </c>
      <c r="J17" s="4">
        <f t="shared" si="0"/>
        <v>0.93710691823899372</v>
      </c>
    </row>
    <row r="18" spans="6:10" x14ac:dyDescent="0.2">
      <c r="F18" s="3" t="s">
        <v>118</v>
      </c>
      <c r="G18">
        <v>5</v>
      </c>
      <c r="H18">
        <v>313</v>
      </c>
      <c r="I18" s="4">
        <v>1.5723270440251572E-2</v>
      </c>
      <c r="J18" s="4">
        <f t="shared" si="0"/>
        <v>0.98427672955974843</v>
      </c>
    </row>
    <row r="19" spans="6:10" x14ac:dyDescent="0.2">
      <c r="F19" t="s">
        <v>119</v>
      </c>
      <c r="G19">
        <v>50</v>
      </c>
      <c r="H19">
        <v>268</v>
      </c>
      <c r="I19" s="4">
        <v>0.15723270440251572</v>
      </c>
      <c r="J19" s="4">
        <f t="shared" si="0"/>
        <v>0.84276729559748431</v>
      </c>
    </row>
    <row r="20" spans="6:10" x14ac:dyDescent="0.2">
      <c r="F20" t="s">
        <v>120</v>
      </c>
      <c r="G20">
        <v>15</v>
      </c>
      <c r="H20">
        <v>303</v>
      </c>
      <c r="I20" s="4">
        <v>4.716981132075472E-2</v>
      </c>
      <c r="J20" s="4">
        <f t="shared" si="0"/>
        <v>0.95283018867924529</v>
      </c>
    </row>
    <row r="21" spans="6:10" x14ac:dyDescent="0.2">
      <c r="F21" t="s">
        <v>121</v>
      </c>
      <c r="G21">
        <v>73</v>
      </c>
      <c r="H21">
        <v>245</v>
      </c>
      <c r="I21" s="4">
        <v>0.22955974842767296</v>
      </c>
      <c r="J21" s="4">
        <f t="shared" si="0"/>
        <v>0.77044025157232698</v>
      </c>
    </row>
    <row r="22" spans="6:10" x14ac:dyDescent="0.2">
      <c r="F22" t="s">
        <v>122</v>
      </c>
      <c r="G22">
        <v>43</v>
      </c>
      <c r="H22">
        <v>275</v>
      </c>
      <c r="I22" s="4">
        <v>0.13522012578616352</v>
      </c>
      <c r="J22" s="4">
        <f t="shared" si="0"/>
        <v>0.86477987421383651</v>
      </c>
    </row>
    <row r="23" spans="6:10" x14ac:dyDescent="0.2">
      <c r="F23" t="s">
        <v>123</v>
      </c>
      <c r="G23">
        <v>31</v>
      </c>
      <c r="H23">
        <v>287</v>
      </c>
      <c r="I23" s="4">
        <v>9.7484276729559755E-2</v>
      </c>
      <c r="J23" s="4">
        <f t="shared" si="0"/>
        <v>0.90251572327044027</v>
      </c>
    </row>
    <row r="24" spans="6:10" x14ac:dyDescent="0.2">
      <c r="F24" t="s">
        <v>124</v>
      </c>
      <c r="G24">
        <v>108</v>
      </c>
      <c r="H24">
        <v>210</v>
      </c>
      <c r="I24" s="4">
        <v>0.33962264150943394</v>
      </c>
      <c r="J24" s="4">
        <f t="shared" si="0"/>
        <v>0.66037735849056611</v>
      </c>
    </row>
    <row r="25" spans="6:10" x14ac:dyDescent="0.2">
      <c r="F25" t="s">
        <v>125</v>
      </c>
      <c r="G25">
        <v>54</v>
      </c>
      <c r="H25">
        <v>264</v>
      </c>
      <c r="I25" s="4">
        <v>0.16981132075471697</v>
      </c>
      <c r="J25" s="4">
        <f t="shared" si="0"/>
        <v>0.83018867924528306</v>
      </c>
    </row>
    <row r="26" spans="6:10" x14ac:dyDescent="0.2">
      <c r="F26" t="s">
        <v>126</v>
      </c>
      <c r="G26">
        <v>9</v>
      </c>
      <c r="H26">
        <v>309</v>
      </c>
      <c r="I26" s="4">
        <v>2.8301886792452831E-2</v>
      </c>
      <c r="J26" s="4">
        <f t="shared" si="0"/>
        <v>0.97169811320754718</v>
      </c>
    </row>
    <row r="27" spans="6:10" x14ac:dyDescent="0.2">
      <c r="F27" t="s">
        <v>127</v>
      </c>
      <c r="G27">
        <v>65</v>
      </c>
      <c r="H27">
        <v>253</v>
      </c>
      <c r="I27" s="4">
        <v>0.20440251572327045</v>
      </c>
      <c r="J27" s="4">
        <f t="shared" si="0"/>
        <v>0.79559748427672949</v>
      </c>
    </row>
    <row r="28" spans="6:10" x14ac:dyDescent="0.2">
      <c r="F28" t="s">
        <v>128</v>
      </c>
      <c r="G28">
        <v>14</v>
      </c>
      <c r="H28">
        <v>304</v>
      </c>
      <c r="I28" s="4">
        <v>4.40251572327044E-2</v>
      </c>
      <c r="J28" s="4">
        <f t="shared" si="0"/>
        <v>0.95597484276729561</v>
      </c>
    </row>
    <row r="29" spans="6:10" x14ac:dyDescent="0.2">
      <c r="F29" t="s">
        <v>129</v>
      </c>
      <c r="G29">
        <v>16</v>
      </c>
      <c r="H29">
        <v>302</v>
      </c>
      <c r="I29" s="4">
        <v>5.0314465408805034E-2</v>
      </c>
      <c r="J29" s="4">
        <f t="shared" si="0"/>
        <v>0.94968553459119498</v>
      </c>
    </row>
    <row r="30" spans="6:10" x14ac:dyDescent="0.2">
      <c r="F30" t="s">
        <v>130</v>
      </c>
      <c r="G30">
        <v>42</v>
      </c>
      <c r="H30">
        <v>276</v>
      </c>
      <c r="I30" s="4">
        <v>0.13207547169811321</v>
      </c>
      <c r="J30" s="4">
        <f t="shared" si="0"/>
        <v>0.86792452830188682</v>
      </c>
    </row>
    <row r="31" spans="6:10" x14ac:dyDescent="0.2">
      <c r="F31" t="s">
        <v>131</v>
      </c>
      <c r="G31">
        <v>5</v>
      </c>
      <c r="H31">
        <v>313</v>
      </c>
      <c r="I31" s="4">
        <v>1.5723270440251572E-2</v>
      </c>
      <c r="J31" s="4">
        <f t="shared" si="0"/>
        <v>0.98427672955974843</v>
      </c>
    </row>
    <row r="32" spans="6:10" x14ac:dyDescent="0.2">
      <c r="F32" t="s">
        <v>132</v>
      </c>
      <c r="G32">
        <v>43</v>
      </c>
      <c r="H32">
        <v>275</v>
      </c>
      <c r="I32" s="4">
        <v>0.13522012578616352</v>
      </c>
      <c r="J32" s="4">
        <f t="shared" si="0"/>
        <v>0.86477987421383651</v>
      </c>
    </row>
    <row r="33" spans="6:10" x14ac:dyDescent="0.2">
      <c r="F33" t="s">
        <v>133</v>
      </c>
      <c r="G33">
        <v>0</v>
      </c>
      <c r="H33">
        <v>318</v>
      </c>
      <c r="I33" s="4">
        <v>0</v>
      </c>
      <c r="J33" s="4">
        <f t="shared" si="0"/>
        <v>1</v>
      </c>
    </row>
    <row r="34" spans="6:10" x14ac:dyDescent="0.2">
      <c r="F34" t="s">
        <v>134</v>
      </c>
      <c r="G34">
        <v>156</v>
      </c>
      <c r="H34">
        <v>162</v>
      </c>
      <c r="I34" s="4">
        <v>0.49056603773584906</v>
      </c>
      <c r="J34" s="4">
        <f t="shared" si="0"/>
        <v>0.50943396226415094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Rare burden calc</vt:lpstr>
      <vt:lpstr>Rare burden plot rvis20</vt:lpstr>
      <vt:lpstr>Rare burden plot all</vt:lpstr>
      <vt:lpstr>Werling 2017</vt:lpstr>
      <vt:lpstr>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Banerjee, Deepro</cp:lastModifiedBy>
  <dcterms:created xsi:type="dcterms:W3CDTF">2020-05-13T22:19:54Z</dcterms:created>
  <dcterms:modified xsi:type="dcterms:W3CDTF">2023-05-24T20:28:36Z</dcterms:modified>
</cp:coreProperties>
</file>