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autoCompressPictures="0"/>
  <workbookProtection workbookPassword="F5C1" lockStructure="1"/>
  <bookViews>
    <workbookView xWindow="-1740" yWindow="2145" windowWidth="15480" windowHeight="8220"/>
  </bookViews>
  <sheets>
    <sheet name="Charts" sheetId="21" r:id="rId1"/>
    <sheet name="Tables" sheetId="22" r:id="rId2"/>
    <sheet name="Calculations" sheetId="26" r:id="rId3"/>
    <sheet name="Controls" sheetId="23" state="hidden" r:id="rId4"/>
    <sheet name="Follower List" sheetId="15" r:id="rId5"/>
    <sheet name="Follower Count" sheetId="9" r:id="rId6"/>
    <sheet name="Klout" sheetId="18" r:id="rId7"/>
    <sheet name="Topics" sheetId="20" r:id="rId8"/>
    <sheet name="User" sheetId="27" r:id="rId9"/>
  </sheets>
  <definedNames>
    <definedName name="_xlnm._FilterDatabase" localSheetId="0" hidden="1">Charts!#REF!</definedName>
    <definedName name="_xlnm._FilterDatabase" localSheetId="4" hidden="1">'Follower List'!$A$1:$U$1</definedName>
    <definedName name="calculations.influencer_sort">Calculations!$A$97:$A$102</definedName>
    <definedName name="calculations.influencers">Calculations!$E$299:$E$439</definedName>
    <definedName name="calculations.most_followed_users_count">OFFSET(Calculations!$C$123,1,0,COUNT(Calculations!$C$123:$C$133))</definedName>
    <definedName name="calculations.most_followed_users_name">OFFSET(Calculations!$B$123,1,0,COUNT(Calculations!$C$123:$C$133))</definedName>
    <definedName name="calculations.top_time_zones_followers_pct">OFFSET(Calculations!$M$298,1,0,COUNT(Calculations!$M$298:$M$308))</definedName>
    <definedName name="calculations.top_time_zones_followers_zone">OFFSET(Calculations!$L$298,1,0,COUNT(Calculations!$M$298:$M$308))</definedName>
    <definedName name="calculations.top_time_zones_influencers_pct">OFFSET(Calculations!$M$327,1,0,COUNT(Calculations!$M$327:$M$337))</definedName>
    <definedName name="calculations.top_time_zones_influencers_zone">OFFSET(Calculations!$L$327,1,0,COUNT(Calculations!$M$327:$M$337))</definedName>
    <definedName name="calculations.topic_sort">Calculations!$A$267:$A$268</definedName>
    <definedName name="calculations.zone_followers">Calculations!$D$299:$D$439</definedName>
    <definedName name="calculations.zone_name">Calculations!$A$299:$E$439</definedName>
    <definedName name="column_to_sort">OFFSET('Follower List'!$A$1,VLOOKUP(Charts!$F$151,Calculations!$A$97:$E$102,2,FALSE),VLOOKUP(Charts!$F$151,Calculations!$A$97:$E$102,3,FALSE),VLOOKUP(Charts!$F$151,Calculations!$A$97:$E$102,4,FALSE),VLOOKUP(Charts!$F$151,Calculations!$A$97:$E$102,5,FALSE))</definedName>
    <definedName name="column_to_sort2">OFFSET(Topics!$A$1,VLOOKUP(Calculations!$G$245,Calculations!$A$267:$E$268,2,FALSE),VLOOKUP(Calculations!$G$245,Calculations!$A$267:$E$268,3,FALSE),VLOOKUP(Calculations!$G$245,Calculations!$A$267:$E$268,4,FALSE),VLOOKUP(Calculations!$G$245,Calculations!$A$267:$E$268,5,FALSE))</definedName>
    <definedName name="follower_count.date">OFFSET('Follower Count'!$A$1,1,0,COUNT('Follower Count'!$A:$A))</definedName>
    <definedName name="follower_count.total_followers">OFFSET('Follower Count'!$B$1,1,0,COUNT('Follower Count'!$A:$A))</definedName>
    <definedName name="follower_count.total_friends">OFFSET('Follower Count'!$C$1,1,0,COUNT('Follower Count'!$A:$A))</definedName>
    <definedName name="follower_list.created_at">OFFSET('Follower List'!$L$1,1,0,COUNT('Follower List'!$L:$L))</definedName>
    <definedName name="follower_list.followers">OFFSET('Follower List'!$F$1,1,0,COUNT('Follower List'!$L:$L))</definedName>
    <definedName name="follower_list.friends">OFFSET('Follower List'!$G$1,1,0,COUNT('Follower List'!$L:$L))</definedName>
    <definedName name="follower_list.klout_score">OFFSET('Follower List'!$O$1,1,0,COUNT('Follower List'!$L:$L))</definedName>
    <definedName name="follower_list.last_tweeted">OFFSET('Follower List'!$M$1,1,0,COUNT('Follower List'!$L:$L))</definedName>
    <definedName name="follower_list.listed">OFFSET('Follower List'!$I$1,1,0,COUNT('Follower List'!$L:$L))</definedName>
    <definedName name="follower_list.name">OFFSET('Follower List'!$B$1,1,0,COUNT('Follower List'!$L:$L))</definedName>
    <definedName name="follower_list.screen_name">OFFSET('Follower List'!$A$1,1,0,COUNT('Follower List'!$L:$L))</definedName>
    <definedName name="follower_list.time_zone">OFFSET('Follower List'!$K$1,1,0,COUNT('Follower List'!$L:$L))</definedName>
    <definedName name="follower_list.topic1">OFFSET('Follower List'!$Q$1,1,0,COUNT('Follower List'!$L:$L))</definedName>
    <definedName name="follower_list.topic2">OFFSET('Follower List'!$R$1,1,0,COUNT('Follower List'!$L:$L))</definedName>
    <definedName name="follower_list.topic3">OFFSET('Follower List'!$S$1,1,0,COUNT('Follower List'!$L:$L))</definedName>
    <definedName name="follower_list.topic4">OFFSET('Follower List'!$T$1,1,0,COUNT('Follower List'!$L:$L))</definedName>
    <definedName name="follower_list.topic5">OFFSET('Follower List'!$U$1,1,0,COUNT('Follower List'!$L:$L))</definedName>
    <definedName name="follower_list.topics">OFFSET('Follower List'!$P$1,1,0,COUNT('Follower List'!$L:$L))</definedName>
    <definedName name="follower_list.topics_count">OFFSET('Follower List'!$P$1,1,0,COUNT('Follower List'!$L:$L))</definedName>
    <definedName name="follower_list.tweets">OFFSET('Follower List'!$J$1,1,0,COUNT('Follower List'!$L:$L))</definedName>
    <definedName name="klout.date">OFFSET(Klout!$A$1,1,0,COUNT(Klout!$A:$A))</definedName>
    <definedName name="klout.klout_score">OFFSET(Klout!$B$1,1,0,COUNT(Klout!$A:$A))</definedName>
    <definedName name="newtimes">OFFSET(Tables!$A$1,Controls!$E$24,Controls!$F$24,Controls!$G$24,Controls!$H$24)</definedName>
    <definedName name="_xlnm.Print_Area" localSheetId="0">Charts!$A$8:$X$110</definedName>
    <definedName name="tables.day">OFFSET(Tables!$A$1,Controls!$E$24,Controls!$F$24,Controls!$G$24,Controls!$H$24)</definedName>
    <definedName name="tables.followers">OFFSET(Tables!$E$1,Controls!$E$24,0,Controls!$G$24,Controls!$H$24)</definedName>
    <definedName name="tables.followerschange">OFFSET(Tables!$H$1,Controls!$E$24,0,Controls!$G$24,Controls!$H$24)</definedName>
    <definedName name="tables.highestfollowers">OFFSET(Tables!$F$1,Controls!$E$24,0,Controls!$G$24,Controls!$H$24)</definedName>
    <definedName name="tables.highestfollowerschange">OFFSET(Tables!$I$1,Controls!$E$24,0,Controls!$G$24,Controls!$H$24)</definedName>
    <definedName name="tables.highestklout">OFFSET(Tables!$K$1,Controls!$E$24,0,Controls!$G$24,Controls!$H$24)</definedName>
    <definedName name="tables.highestkloutchange">OFFSET(Tables!$N$1,Controls!$E$24,0,Controls!$G$24,Controls!$H$24)</definedName>
    <definedName name="tables.klout_score">OFFSET(Tables!$J$1,Controls!$E$24,0,Controls!$G$24,Controls!$H$24)</definedName>
    <definedName name="tables.kloutchange">OFFSET(Tables!$M$1,Controls!$E$24,0,Controls!$G$24,Controls!$H$24)</definedName>
    <definedName name="tables.lowestfollowers">OFFSET(Tables!$G$1,Controls!$E$24,0,Controls!$G$24,Controls!$H$24)</definedName>
    <definedName name="tables.lowestklout">OFFSET(Tables!$L$1,Controls!$E$24,0,Controls!$G$24,Controls!$H$24)</definedName>
    <definedName name="topics.count">OFFSET(Topics!$B$1,1,0,COUNT(Topics!$C:$C))</definedName>
    <definedName name="topics.pct_total_matches">OFFSET(Topics!$C$1,1,0,COUNT(Topics!$C:$C))</definedName>
    <definedName name="topics.topic">OFFSET(Topics!$A$1,1,0,COUNT(Topics!$C:$C))</definedName>
    <definedName name="user.date">OFFSET(User!$B$1,1,0,COUNT(User!$B:$B))</definedName>
    <definedName name="user.followers">OFFSET(User!$D$1,1,0,COUNT(User!$B:$B))</definedName>
    <definedName name="user.tweets">OFFSET(User!$C$1,1,0,COUNT(User!$B:$B))</definedName>
  </definedNames>
  <calcPr calcId="145621"/>
</workbook>
</file>

<file path=xl/calcChain.xml><?xml version="1.0" encoding="utf-8"?>
<calcChain xmlns="http://schemas.openxmlformats.org/spreadsheetml/2006/main">
  <c r="P151" i="15" l="1"/>
  <c r="H151" i="15"/>
  <c r="E151" i="15"/>
  <c r="P150" i="15"/>
  <c r="H150" i="15"/>
  <c r="E150" i="15"/>
  <c r="P149" i="15"/>
  <c r="H149" i="15"/>
  <c r="E149" i="15"/>
  <c r="P148" i="15"/>
  <c r="H148" i="15"/>
  <c r="E148" i="15"/>
  <c r="P147" i="15"/>
  <c r="H147" i="15"/>
  <c r="E147" i="15"/>
  <c r="P146" i="15"/>
  <c r="H146" i="15"/>
  <c r="E146" i="15"/>
  <c r="P145" i="15"/>
  <c r="H145" i="15"/>
  <c r="E145" i="15"/>
  <c r="P144" i="15"/>
  <c r="H144" i="15"/>
  <c r="E144" i="15"/>
  <c r="P143" i="15"/>
  <c r="H143" i="15"/>
  <c r="P142" i="15"/>
  <c r="H142" i="15"/>
  <c r="E142" i="15"/>
  <c r="P141" i="15"/>
  <c r="H141" i="15"/>
  <c r="P140" i="15"/>
  <c r="H140" i="15"/>
  <c r="P139" i="15"/>
  <c r="H139" i="15"/>
  <c r="E139" i="15"/>
  <c r="P138" i="15"/>
  <c r="H138" i="15"/>
  <c r="P137" i="15"/>
  <c r="H137" i="15"/>
  <c r="E137" i="15"/>
  <c r="P136" i="15"/>
  <c r="H136" i="15"/>
  <c r="P135" i="15"/>
  <c r="H135" i="15"/>
  <c r="P134" i="15"/>
  <c r="H134" i="15"/>
  <c r="E134" i="15"/>
  <c r="P133" i="15"/>
  <c r="H133" i="15"/>
  <c r="P132" i="15"/>
  <c r="H132" i="15"/>
  <c r="E132" i="15"/>
  <c r="P131" i="15"/>
  <c r="H131" i="15"/>
  <c r="E131" i="15"/>
  <c r="P130" i="15"/>
  <c r="H130" i="15"/>
  <c r="E130" i="15"/>
  <c r="P129" i="15"/>
  <c r="H129" i="15"/>
  <c r="P128" i="15"/>
  <c r="H128" i="15"/>
  <c r="E128" i="15"/>
  <c r="P127" i="15"/>
  <c r="H127" i="15"/>
  <c r="P126" i="15"/>
  <c r="H126" i="15"/>
  <c r="E126" i="15"/>
  <c r="P125" i="15"/>
  <c r="H125" i="15"/>
  <c r="P124" i="15"/>
  <c r="H124" i="15"/>
  <c r="E124" i="15"/>
  <c r="P123" i="15"/>
  <c r="H123" i="15"/>
  <c r="E123" i="15"/>
  <c r="P122" i="15"/>
  <c r="H122" i="15"/>
  <c r="P121" i="15"/>
  <c r="H121" i="15"/>
  <c r="P120" i="15"/>
  <c r="H120" i="15"/>
  <c r="E120" i="15"/>
  <c r="P119" i="15"/>
  <c r="H119" i="15"/>
  <c r="P118" i="15"/>
  <c r="H118" i="15"/>
  <c r="P117" i="15"/>
  <c r="H117" i="15"/>
  <c r="E117" i="15"/>
  <c r="P116" i="15"/>
  <c r="H116" i="15"/>
  <c r="E116" i="15"/>
  <c r="P115" i="15"/>
  <c r="H115" i="15"/>
  <c r="P114" i="15"/>
  <c r="H114" i="15"/>
  <c r="E114" i="15"/>
  <c r="P113" i="15"/>
  <c r="H113" i="15"/>
  <c r="E113" i="15"/>
  <c r="P112" i="15"/>
  <c r="H112" i="15"/>
  <c r="P111" i="15"/>
  <c r="H111" i="15"/>
  <c r="E111" i="15"/>
  <c r="P110" i="15"/>
  <c r="H110" i="15"/>
  <c r="E110" i="15"/>
  <c r="P109" i="15"/>
  <c r="H109" i="15"/>
  <c r="E109" i="15"/>
  <c r="P108" i="15"/>
  <c r="H108" i="15"/>
  <c r="E108" i="15"/>
  <c r="P107" i="15"/>
  <c r="H107" i="15"/>
  <c r="E107" i="15"/>
  <c r="P106" i="15"/>
  <c r="H106" i="15"/>
  <c r="P105" i="15"/>
  <c r="H105" i="15"/>
  <c r="E105" i="15"/>
  <c r="P104" i="15"/>
  <c r="H104" i="15"/>
  <c r="P103" i="15"/>
  <c r="H103" i="15"/>
  <c r="E103" i="15"/>
  <c r="P102" i="15"/>
  <c r="H102" i="15"/>
  <c r="E102" i="15"/>
  <c r="P101" i="15"/>
  <c r="H101" i="15"/>
  <c r="E101" i="15"/>
  <c r="P100" i="15"/>
  <c r="H100" i="15"/>
  <c r="E100" i="15"/>
  <c r="P99" i="15"/>
  <c r="H99" i="15"/>
  <c r="P98" i="15"/>
  <c r="H98" i="15"/>
  <c r="P97" i="15"/>
  <c r="H97" i="15"/>
  <c r="P96" i="15"/>
  <c r="H96" i="15"/>
  <c r="E96" i="15"/>
  <c r="P95" i="15"/>
  <c r="H95" i="15"/>
  <c r="E95" i="15"/>
  <c r="P94" i="15"/>
  <c r="H94" i="15"/>
  <c r="E94" i="15"/>
  <c r="P93" i="15"/>
  <c r="H93" i="15"/>
  <c r="P92" i="15"/>
  <c r="H92" i="15"/>
  <c r="P91" i="15"/>
  <c r="H91" i="15"/>
  <c r="P90" i="15"/>
  <c r="H90" i="15"/>
  <c r="P89" i="15"/>
  <c r="H89" i="15"/>
  <c r="P88" i="15"/>
  <c r="H88" i="15"/>
  <c r="P87" i="15"/>
  <c r="H87" i="15"/>
  <c r="P86" i="15"/>
  <c r="H86" i="15"/>
  <c r="P85" i="15"/>
  <c r="H85" i="15"/>
  <c r="P84" i="15"/>
  <c r="H84" i="15"/>
  <c r="E84" i="15"/>
  <c r="P83" i="15"/>
  <c r="H83" i="15"/>
  <c r="P82" i="15"/>
  <c r="H82" i="15"/>
  <c r="E82" i="15"/>
  <c r="P81" i="15"/>
  <c r="H81" i="15"/>
  <c r="E81" i="15"/>
  <c r="P80" i="15"/>
  <c r="H80" i="15"/>
  <c r="P79" i="15"/>
  <c r="H79" i="15"/>
  <c r="E79" i="15"/>
  <c r="P78" i="15"/>
  <c r="H78" i="15"/>
  <c r="E78" i="15"/>
  <c r="P77" i="15"/>
  <c r="H77" i="15"/>
  <c r="E77" i="15"/>
  <c r="P76" i="15"/>
  <c r="H76" i="15"/>
  <c r="P75" i="15"/>
  <c r="H75" i="15"/>
  <c r="E75" i="15"/>
  <c r="P74" i="15"/>
  <c r="H74" i="15"/>
  <c r="E74" i="15"/>
  <c r="P73" i="15"/>
  <c r="H73" i="15"/>
  <c r="E73" i="15"/>
  <c r="P72" i="15"/>
  <c r="H72" i="15"/>
  <c r="P71" i="15"/>
  <c r="H71" i="15"/>
  <c r="E71" i="15"/>
  <c r="P70" i="15"/>
  <c r="H70" i="15"/>
  <c r="P69" i="15"/>
  <c r="H69" i="15"/>
  <c r="E69" i="15"/>
  <c r="P68" i="15"/>
  <c r="H68" i="15"/>
  <c r="P67" i="15"/>
  <c r="H67" i="15"/>
  <c r="P66" i="15"/>
  <c r="H66" i="15"/>
  <c r="E66" i="15"/>
  <c r="P65" i="15"/>
  <c r="H65" i="15"/>
  <c r="P64" i="15"/>
  <c r="H64" i="15"/>
  <c r="E64" i="15"/>
  <c r="P63" i="15"/>
  <c r="H63" i="15"/>
  <c r="E63" i="15"/>
  <c r="P62" i="15"/>
  <c r="H62" i="15"/>
  <c r="P61" i="15"/>
  <c r="H61" i="15"/>
  <c r="P60" i="15"/>
  <c r="H60" i="15"/>
  <c r="E60" i="15"/>
  <c r="P59" i="15"/>
  <c r="H59" i="15"/>
  <c r="P58" i="15"/>
  <c r="H58" i="15"/>
  <c r="E58" i="15"/>
  <c r="P57" i="15"/>
  <c r="H57" i="15"/>
  <c r="P56" i="15"/>
  <c r="H56" i="15"/>
  <c r="E56" i="15"/>
  <c r="P55" i="15"/>
  <c r="H55" i="15"/>
  <c r="E55" i="15"/>
  <c r="P54" i="15"/>
  <c r="H54" i="15"/>
  <c r="P53" i="15"/>
  <c r="H53" i="15"/>
  <c r="P52" i="15"/>
  <c r="H52" i="15"/>
  <c r="P51" i="15"/>
  <c r="H51" i="15"/>
  <c r="P50" i="15"/>
  <c r="H50" i="15"/>
  <c r="E50" i="15"/>
  <c r="P49" i="15"/>
  <c r="H49" i="15"/>
  <c r="E49" i="15"/>
  <c r="P48" i="15"/>
  <c r="H48" i="15"/>
  <c r="P47" i="15"/>
  <c r="H47" i="15"/>
  <c r="P46" i="15"/>
  <c r="H46" i="15"/>
  <c r="E46" i="15"/>
  <c r="P45" i="15"/>
  <c r="H45" i="15"/>
  <c r="E45" i="15"/>
  <c r="P44" i="15"/>
  <c r="H44" i="15"/>
  <c r="P43" i="15"/>
  <c r="H43" i="15"/>
  <c r="E43" i="15"/>
  <c r="P42" i="15"/>
  <c r="H42" i="15"/>
  <c r="E42" i="15"/>
  <c r="P41" i="15"/>
  <c r="H41" i="15"/>
  <c r="E41" i="15"/>
  <c r="P40" i="15"/>
  <c r="H40" i="15"/>
  <c r="P39" i="15"/>
  <c r="H39" i="15"/>
  <c r="E39" i="15"/>
  <c r="P38" i="15"/>
  <c r="H38" i="15"/>
  <c r="P37" i="15"/>
  <c r="H37" i="15"/>
  <c r="P36" i="15"/>
  <c r="H36" i="15"/>
  <c r="E36" i="15"/>
  <c r="P35" i="15"/>
  <c r="H35" i="15"/>
  <c r="E35" i="15"/>
  <c r="P34" i="15"/>
  <c r="H34" i="15"/>
  <c r="P33" i="15"/>
  <c r="H33" i="15"/>
  <c r="E33" i="15"/>
  <c r="P32" i="15"/>
  <c r="H32" i="15"/>
  <c r="E32" i="15"/>
  <c r="P31" i="15"/>
  <c r="H31" i="15"/>
  <c r="P30" i="15"/>
  <c r="H30" i="15"/>
  <c r="E30" i="15"/>
  <c r="P29" i="15"/>
  <c r="H29" i="15"/>
  <c r="E29" i="15"/>
  <c r="P28" i="15"/>
  <c r="H28" i="15"/>
  <c r="E28" i="15"/>
  <c r="P27" i="15"/>
  <c r="H27" i="15"/>
  <c r="P26" i="15"/>
  <c r="H26" i="15"/>
  <c r="P25" i="15"/>
  <c r="H25" i="15"/>
  <c r="P24" i="15"/>
  <c r="H24" i="15"/>
  <c r="E24" i="15"/>
  <c r="P23" i="15"/>
  <c r="H23" i="15"/>
  <c r="P22" i="15"/>
  <c r="H22" i="15"/>
  <c r="E22" i="15"/>
  <c r="P21" i="15"/>
  <c r="H21" i="15"/>
  <c r="E21" i="15"/>
  <c r="P20" i="15"/>
  <c r="H20" i="15"/>
  <c r="E20" i="15"/>
  <c r="P19" i="15"/>
  <c r="H19" i="15"/>
  <c r="P18" i="15"/>
  <c r="H18" i="15"/>
  <c r="P17" i="15"/>
  <c r="H17" i="15"/>
  <c r="P16" i="15"/>
  <c r="H16" i="15"/>
  <c r="E16" i="15"/>
  <c r="P15" i="15"/>
  <c r="H15" i="15"/>
  <c r="P14" i="15"/>
  <c r="H14" i="15"/>
  <c r="P13" i="15"/>
  <c r="H13" i="15"/>
  <c r="P12" i="15"/>
  <c r="H12" i="15"/>
  <c r="P11" i="15"/>
  <c r="H11" i="15"/>
  <c r="P10" i="15"/>
  <c r="H10" i="15"/>
  <c r="E10" i="15"/>
  <c r="P9" i="15"/>
  <c r="H9" i="15"/>
  <c r="E9" i="15"/>
  <c r="P8" i="15"/>
  <c r="H8" i="15"/>
  <c r="E8" i="15"/>
  <c r="P7" i="15"/>
  <c r="H7" i="15"/>
  <c r="E7" i="15"/>
  <c r="P6" i="15"/>
  <c r="H6" i="15"/>
  <c r="P5" i="15"/>
  <c r="H5" i="15"/>
  <c r="P4" i="15"/>
  <c r="H4" i="15"/>
  <c r="E4" i="15"/>
  <c r="P3" i="15"/>
  <c r="H3" i="15"/>
  <c r="P2" i="15"/>
  <c r="H2" i="15"/>
  <c r="E37" i="23"/>
  <c r="G37" i="23" s="1"/>
  <c r="A37" i="23"/>
  <c r="C37" i="23" s="1"/>
  <c r="H32" i="23"/>
  <c r="H24" i="23"/>
  <c r="E24" i="23"/>
  <c r="B20" i="23"/>
  <c r="C19" i="23"/>
  <c r="B19" i="23"/>
  <c r="E13" i="23"/>
  <c r="E12" i="23"/>
  <c r="E11" i="23"/>
  <c r="E10" i="23"/>
  <c r="E9" i="23"/>
  <c r="E8" i="23"/>
  <c r="I7" i="23"/>
  <c r="E7" i="23"/>
  <c r="I6" i="23"/>
  <c r="E6" i="23"/>
  <c r="E5" i="23"/>
  <c r="E439" i="26"/>
  <c r="D439" i="26"/>
  <c r="E438" i="26"/>
  <c r="D438" i="26"/>
  <c r="E437" i="26"/>
  <c r="D437" i="26"/>
  <c r="E436" i="26"/>
  <c r="D436" i="26"/>
  <c r="E435" i="26"/>
  <c r="D435" i="26"/>
  <c r="E434" i="26"/>
  <c r="D434" i="26"/>
  <c r="E433" i="26"/>
  <c r="D433" i="26"/>
  <c r="E432" i="26"/>
  <c r="D432" i="26"/>
  <c r="E431" i="26"/>
  <c r="D431" i="26"/>
  <c r="E430" i="26"/>
  <c r="D430" i="26"/>
  <c r="E429" i="26"/>
  <c r="D429" i="26"/>
  <c r="E428" i="26"/>
  <c r="D428" i="26"/>
  <c r="E427" i="26"/>
  <c r="D427" i="26"/>
  <c r="E426" i="26"/>
  <c r="D426" i="26"/>
  <c r="E425" i="26"/>
  <c r="D425" i="26"/>
  <c r="E424" i="26"/>
  <c r="D424" i="26"/>
  <c r="E423" i="26"/>
  <c r="D423" i="26"/>
  <c r="E422" i="26"/>
  <c r="D422" i="26"/>
  <c r="E421" i="26"/>
  <c r="D421" i="26"/>
  <c r="E420" i="26"/>
  <c r="D420" i="26"/>
  <c r="E419" i="26"/>
  <c r="D419" i="26"/>
  <c r="E418" i="26"/>
  <c r="D418" i="26"/>
  <c r="E417" i="26"/>
  <c r="D417" i="26"/>
  <c r="E416" i="26"/>
  <c r="D416" i="26"/>
  <c r="E415" i="26"/>
  <c r="D415" i="26"/>
  <c r="E414" i="26"/>
  <c r="D414" i="26"/>
  <c r="E413" i="26"/>
  <c r="D413" i="26"/>
  <c r="E412" i="26"/>
  <c r="D412" i="26"/>
  <c r="E411" i="26"/>
  <c r="D411" i="26"/>
  <c r="E410" i="26"/>
  <c r="D410" i="26"/>
  <c r="E409" i="26"/>
  <c r="D409" i="26"/>
  <c r="E408" i="26"/>
  <c r="D408" i="26"/>
  <c r="E407" i="26"/>
  <c r="D407" i="26"/>
  <c r="E406" i="26"/>
  <c r="D406" i="26"/>
  <c r="E405" i="26"/>
  <c r="D405" i="26"/>
  <c r="E404" i="26"/>
  <c r="D404" i="26"/>
  <c r="E403" i="26"/>
  <c r="D403" i="26"/>
  <c r="E402" i="26"/>
  <c r="D402" i="26"/>
  <c r="E401" i="26"/>
  <c r="D401" i="26"/>
  <c r="E400" i="26"/>
  <c r="D400" i="26"/>
  <c r="E399" i="26"/>
  <c r="D399" i="26"/>
  <c r="E398" i="26"/>
  <c r="D398" i="26"/>
  <c r="E397" i="26"/>
  <c r="D397" i="26"/>
  <c r="E396" i="26"/>
  <c r="D396" i="26"/>
  <c r="E395" i="26"/>
  <c r="D395" i="26"/>
  <c r="E394" i="26"/>
  <c r="D394" i="26"/>
  <c r="E393" i="26"/>
  <c r="D393" i="26"/>
  <c r="E392" i="26"/>
  <c r="D392" i="26"/>
  <c r="E391" i="26"/>
  <c r="D391" i="26"/>
  <c r="E390" i="26"/>
  <c r="D390" i="26"/>
  <c r="E389" i="26"/>
  <c r="D389" i="26"/>
  <c r="E388" i="26"/>
  <c r="D388" i="26"/>
  <c r="E387" i="26"/>
  <c r="D387" i="26"/>
  <c r="E386" i="26"/>
  <c r="D386" i="26"/>
  <c r="E385" i="26"/>
  <c r="D385" i="26"/>
  <c r="E384" i="26"/>
  <c r="D384" i="26"/>
  <c r="E383" i="26"/>
  <c r="D383" i="26"/>
  <c r="E382" i="26"/>
  <c r="D382" i="26"/>
  <c r="E381" i="26"/>
  <c r="D381" i="26"/>
  <c r="E380" i="26"/>
  <c r="D380" i="26"/>
  <c r="E379" i="26"/>
  <c r="D379" i="26"/>
  <c r="E378" i="26"/>
  <c r="D378" i="26"/>
  <c r="E377" i="26"/>
  <c r="D377" i="26"/>
  <c r="E376" i="26"/>
  <c r="D376" i="26"/>
  <c r="E375" i="26"/>
  <c r="D375" i="26"/>
  <c r="E374" i="26"/>
  <c r="D374" i="26"/>
  <c r="E373" i="26"/>
  <c r="D373" i="26"/>
  <c r="E372" i="26"/>
  <c r="D372" i="26"/>
  <c r="E371" i="26"/>
  <c r="D371" i="26"/>
  <c r="E370" i="26"/>
  <c r="D370" i="26"/>
  <c r="E369" i="26"/>
  <c r="D369" i="26"/>
  <c r="E368" i="26"/>
  <c r="D368" i="26"/>
  <c r="E367" i="26"/>
  <c r="D367" i="26"/>
  <c r="E366" i="26"/>
  <c r="D366" i="26"/>
  <c r="E365" i="26"/>
  <c r="D365" i="26"/>
  <c r="E364" i="26"/>
  <c r="D364" i="26"/>
  <c r="E363" i="26"/>
  <c r="D363" i="26"/>
  <c r="E362" i="26"/>
  <c r="D362" i="26"/>
  <c r="E361" i="26"/>
  <c r="D361" i="26"/>
  <c r="E360" i="26"/>
  <c r="D360" i="26"/>
  <c r="E359" i="26"/>
  <c r="D359" i="26"/>
  <c r="E358" i="26"/>
  <c r="D358" i="26"/>
  <c r="E357" i="26"/>
  <c r="D357" i="26"/>
  <c r="E356" i="26"/>
  <c r="D356" i="26"/>
  <c r="E355" i="26"/>
  <c r="D355" i="26"/>
  <c r="E354" i="26"/>
  <c r="D354" i="26"/>
  <c r="E353" i="26"/>
  <c r="D353" i="26"/>
  <c r="E352" i="26"/>
  <c r="D352" i="26"/>
  <c r="E351" i="26"/>
  <c r="D351" i="26"/>
  <c r="E350" i="26"/>
  <c r="D350" i="26"/>
  <c r="E349" i="26"/>
  <c r="D349" i="26"/>
  <c r="E348" i="26"/>
  <c r="D348" i="26"/>
  <c r="E347" i="26"/>
  <c r="D347" i="26"/>
  <c r="E346" i="26"/>
  <c r="D346" i="26"/>
  <c r="E345" i="26"/>
  <c r="D345" i="26"/>
  <c r="E344" i="26"/>
  <c r="D344" i="26"/>
  <c r="E343" i="26"/>
  <c r="D343" i="26"/>
  <c r="E342" i="26"/>
  <c r="D342" i="26"/>
  <c r="E341" i="26"/>
  <c r="D341" i="26"/>
  <c r="E340" i="26"/>
  <c r="D340" i="26"/>
  <c r="E339" i="26"/>
  <c r="D339" i="26"/>
  <c r="E338" i="26"/>
  <c r="D338" i="26"/>
  <c r="E337" i="26"/>
  <c r="D337" i="26"/>
  <c r="E336" i="26"/>
  <c r="D336" i="26"/>
  <c r="E335" i="26"/>
  <c r="D335" i="26"/>
  <c r="E334" i="26"/>
  <c r="D334" i="26"/>
  <c r="E333" i="26"/>
  <c r="D333" i="26"/>
  <c r="E332" i="26"/>
  <c r="D332" i="26"/>
  <c r="J331" i="26"/>
  <c r="H331" i="26"/>
  <c r="E331" i="26"/>
  <c r="D331" i="26"/>
  <c r="J330" i="26"/>
  <c r="H330" i="26"/>
  <c r="E330" i="26"/>
  <c r="D330" i="26"/>
  <c r="J329" i="26"/>
  <c r="H329" i="26"/>
  <c r="E329" i="26"/>
  <c r="D329" i="26"/>
  <c r="J328" i="26"/>
  <c r="H328" i="26"/>
  <c r="E328" i="26"/>
  <c r="D328" i="26"/>
  <c r="J327" i="26"/>
  <c r="H327" i="26"/>
  <c r="E327" i="26"/>
  <c r="D327" i="26"/>
  <c r="J326" i="26"/>
  <c r="H326" i="26"/>
  <c r="E326" i="26"/>
  <c r="D326" i="26"/>
  <c r="J325" i="26"/>
  <c r="H325" i="26"/>
  <c r="E325" i="26"/>
  <c r="D325" i="26"/>
  <c r="J324" i="26"/>
  <c r="H324" i="26"/>
  <c r="E324" i="26"/>
  <c r="D324" i="26"/>
  <c r="J323" i="26"/>
  <c r="H323" i="26"/>
  <c r="E323" i="26"/>
  <c r="D323" i="26"/>
  <c r="J322" i="26"/>
  <c r="H322" i="26"/>
  <c r="E322" i="26"/>
  <c r="D322" i="26"/>
  <c r="J321" i="26"/>
  <c r="H321" i="26"/>
  <c r="E321" i="26"/>
  <c r="D321" i="26"/>
  <c r="J320" i="26"/>
  <c r="H320" i="26"/>
  <c r="E320" i="26"/>
  <c r="D320" i="26"/>
  <c r="J319" i="26"/>
  <c r="H319" i="26"/>
  <c r="E319" i="26"/>
  <c r="D319" i="26"/>
  <c r="J318" i="26"/>
  <c r="H318" i="26"/>
  <c r="E318" i="26"/>
  <c r="D318" i="26"/>
  <c r="J317" i="26"/>
  <c r="H317" i="26"/>
  <c r="E317" i="26"/>
  <c r="D317" i="26"/>
  <c r="J316" i="26"/>
  <c r="H316" i="26"/>
  <c r="E316" i="26"/>
  <c r="D316" i="26"/>
  <c r="J315" i="26"/>
  <c r="H315" i="26"/>
  <c r="E315" i="26"/>
  <c r="D315" i="26"/>
  <c r="J314" i="26"/>
  <c r="H314" i="26"/>
  <c r="E314" i="26"/>
  <c r="D314" i="26"/>
  <c r="J313" i="26"/>
  <c r="H313" i="26"/>
  <c r="E313" i="26"/>
  <c r="D313" i="26"/>
  <c r="J312" i="26"/>
  <c r="H312" i="26"/>
  <c r="E312" i="26"/>
  <c r="D312" i="26"/>
  <c r="J311" i="26"/>
  <c r="H311" i="26"/>
  <c r="E311" i="26"/>
  <c r="D311" i="26"/>
  <c r="J310" i="26"/>
  <c r="H310" i="26"/>
  <c r="E310" i="26"/>
  <c r="D310" i="26"/>
  <c r="J309" i="26"/>
  <c r="H309" i="26"/>
  <c r="E309" i="26"/>
  <c r="D309" i="26"/>
  <c r="J308" i="26"/>
  <c r="H308" i="26"/>
  <c r="E308" i="26"/>
  <c r="D308" i="26"/>
  <c r="J307" i="26"/>
  <c r="H307" i="26"/>
  <c r="E307" i="26"/>
  <c r="D307" i="26"/>
  <c r="J306" i="26"/>
  <c r="H306" i="26"/>
  <c r="E306" i="26"/>
  <c r="D306" i="26"/>
  <c r="H305" i="26"/>
  <c r="E305" i="26"/>
  <c r="J305" i="26" s="1"/>
  <c r="D305" i="26"/>
  <c r="E304" i="26"/>
  <c r="J304" i="26" s="1"/>
  <c r="D304" i="26"/>
  <c r="H304" i="26" s="1"/>
  <c r="G304" i="26" s="1"/>
  <c r="E303" i="26"/>
  <c r="D303" i="26"/>
  <c r="J302" i="26"/>
  <c r="H302" i="26"/>
  <c r="E302" i="26"/>
  <c r="D302" i="26"/>
  <c r="H303" i="26" s="1"/>
  <c r="H301" i="26"/>
  <c r="E301" i="26"/>
  <c r="D301" i="26"/>
  <c r="J300" i="26"/>
  <c r="H300" i="26"/>
  <c r="E300" i="26"/>
  <c r="J301" i="26" s="1"/>
  <c r="D300" i="26"/>
  <c r="J299" i="26"/>
  <c r="H299" i="26"/>
  <c r="E299" i="26"/>
  <c r="D299" i="26"/>
  <c r="B292" i="26"/>
  <c r="B288" i="26"/>
  <c r="B291" i="26" s="1"/>
  <c r="B287" i="26"/>
  <c r="B285" i="26"/>
  <c r="C285" i="26" s="1"/>
  <c r="B284" i="26"/>
  <c r="C284" i="26" s="1"/>
  <c r="B280" i="26"/>
  <c r="B276" i="26"/>
  <c r="B275" i="26"/>
  <c r="C273" i="26"/>
  <c r="B273" i="26"/>
  <c r="C272" i="26"/>
  <c r="B272" i="26"/>
  <c r="D268" i="26"/>
  <c r="D267" i="26"/>
  <c r="A263" i="26" s="1"/>
  <c r="A261" i="26"/>
  <c r="A260" i="26"/>
  <c r="A256" i="26"/>
  <c r="A254" i="26"/>
  <c r="A250" i="26"/>
  <c r="A249" i="26"/>
  <c r="A245" i="26"/>
  <c r="C239" i="26"/>
  <c r="B239" i="26"/>
  <c r="C238" i="26"/>
  <c r="B238" i="26"/>
  <c r="C237" i="26"/>
  <c r="B237" i="26"/>
  <c r="C236" i="26"/>
  <c r="B236" i="26"/>
  <c r="C235" i="26"/>
  <c r="B235" i="26"/>
  <c r="C234" i="26"/>
  <c r="B234" i="26"/>
  <c r="C233" i="26"/>
  <c r="B233" i="26"/>
  <c r="C232" i="26"/>
  <c r="B232" i="26"/>
  <c r="C231" i="26"/>
  <c r="B231" i="26"/>
  <c r="C230" i="26"/>
  <c r="B230" i="26"/>
  <c r="C229" i="26"/>
  <c r="B229" i="26"/>
  <c r="C228" i="26"/>
  <c r="B228" i="26"/>
  <c r="C227" i="26"/>
  <c r="B227" i="26"/>
  <c r="C226" i="26"/>
  <c r="B226" i="26"/>
  <c r="C225" i="26"/>
  <c r="B225" i="26"/>
  <c r="C224" i="26"/>
  <c r="B224" i="26"/>
  <c r="C223" i="26"/>
  <c r="B223" i="26"/>
  <c r="C222" i="26"/>
  <c r="B222" i="26"/>
  <c r="C221" i="26"/>
  <c r="B221" i="26"/>
  <c r="C220" i="26"/>
  <c r="B220" i="26"/>
  <c r="C219" i="26"/>
  <c r="B219" i="26"/>
  <c r="C218" i="26"/>
  <c r="B218" i="26"/>
  <c r="C217" i="26"/>
  <c r="B217" i="26"/>
  <c r="C216" i="26"/>
  <c r="B216" i="26"/>
  <c r="C215" i="26"/>
  <c r="B215" i="26"/>
  <c r="C214" i="26"/>
  <c r="B214" i="26"/>
  <c r="C213" i="26"/>
  <c r="B213" i="26"/>
  <c r="C212" i="26"/>
  <c r="B212" i="26"/>
  <c r="C211" i="26"/>
  <c r="B211" i="26"/>
  <c r="C210" i="26"/>
  <c r="B210" i="26"/>
  <c r="C209" i="26"/>
  <c r="B209" i="26"/>
  <c r="C208" i="26"/>
  <c r="B208" i="26"/>
  <c r="C207" i="26"/>
  <c r="B207" i="26"/>
  <c r="C206" i="26"/>
  <c r="B206" i="26"/>
  <c r="C205" i="26"/>
  <c r="B205" i="26"/>
  <c r="C204" i="26"/>
  <c r="B204" i="26"/>
  <c r="C203" i="26"/>
  <c r="B203" i="26"/>
  <c r="C202" i="26"/>
  <c r="B202" i="26"/>
  <c r="C201" i="26"/>
  <c r="B201" i="26"/>
  <c r="C200" i="26"/>
  <c r="B200" i="26"/>
  <c r="C199" i="26"/>
  <c r="B199" i="26"/>
  <c r="C198" i="26"/>
  <c r="B198" i="26"/>
  <c r="C197" i="26"/>
  <c r="B197" i="26"/>
  <c r="C196" i="26"/>
  <c r="B196" i="26"/>
  <c r="C195" i="26"/>
  <c r="B195" i="26"/>
  <c r="C194" i="26"/>
  <c r="B194" i="26"/>
  <c r="C193" i="26"/>
  <c r="B193" i="26"/>
  <c r="C192" i="26"/>
  <c r="B192" i="26"/>
  <c r="C191" i="26"/>
  <c r="B191" i="26"/>
  <c r="C190" i="26"/>
  <c r="B190" i="26"/>
  <c r="C189" i="26"/>
  <c r="B189" i="26"/>
  <c r="C188" i="26"/>
  <c r="B188" i="26"/>
  <c r="C187" i="26"/>
  <c r="B187" i="26"/>
  <c r="C186" i="26"/>
  <c r="B186" i="26"/>
  <c r="C185" i="26"/>
  <c r="B185" i="26"/>
  <c r="C184" i="26"/>
  <c r="B184" i="26"/>
  <c r="C183" i="26"/>
  <c r="B183" i="26"/>
  <c r="C182" i="26"/>
  <c r="B182" i="26"/>
  <c r="C181" i="26"/>
  <c r="B181" i="26"/>
  <c r="C180" i="26"/>
  <c r="B180" i="26"/>
  <c r="B179" i="26"/>
  <c r="C178" i="26"/>
  <c r="B178" i="26"/>
  <c r="C177" i="26"/>
  <c r="B177" i="26"/>
  <c r="C176" i="26"/>
  <c r="B176" i="26"/>
  <c r="C175" i="26"/>
  <c r="B175" i="26"/>
  <c r="C174" i="26"/>
  <c r="B174" i="26"/>
  <c r="C173" i="26"/>
  <c r="B173" i="26"/>
  <c r="C172" i="26"/>
  <c r="B172" i="26"/>
  <c r="C171" i="26"/>
  <c r="B171" i="26"/>
  <c r="C170" i="26"/>
  <c r="B170" i="26"/>
  <c r="C169" i="26"/>
  <c r="B169" i="26"/>
  <c r="C168" i="26"/>
  <c r="B168" i="26"/>
  <c r="C167" i="26"/>
  <c r="B167" i="26"/>
  <c r="C166" i="26"/>
  <c r="B166" i="26"/>
  <c r="C165" i="26"/>
  <c r="B165" i="26"/>
  <c r="C164" i="26"/>
  <c r="B164" i="26"/>
  <c r="C163" i="26"/>
  <c r="B163" i="26"/>
  <c r="C162" i="26"/>
  <c r="B162" i="26"/>
  <c r="C161" i="26"/>
  <c r="B161" i="26"/>
  <c r="C160" i="26"/>
  <c r="B160" i="26"/>
  <c r="C159" i="26"/>
  <c r="B159" i="26"/>
  <c r="C158" i="26"/>
  <c r="B158" i="26"/>
  <c r="C157" i="26"/>
  <c r="B157" i="26"/>
  <c r="C156" i="26"/>
  <c r="B156" i="26"/>
  <c r="C155" i="26"/>
  <c r="B155" i="26"/>
  <c r="C154" i="26"/>
  <c r="B154" i="26"/>
  <c r="C153" i="26"/>
  <c r="B153" i="26"/>
  <c r="C152" i="26"/>
  <c r="B152" i="26"/>
  <c r="C151" i="26"/>
  <c r="B151" i="26"/>
  <c r="F150" i="26"/>
  <c r="C150" i="26"/>
  <c r="B150" i="26"/>
  <c r="F149" i="26" a="1"/>
  <c r="F149" i="26" s="1"/>
  <c r="C149" i="26"/>
  <c r="B149" i="26"/>
  <c r="F148" i="26"/>
  <c r="C143" i="26"/>
  <c r="C142" i="26"/>
  <c r="C141" i="26"/>
  <c r="C140" i="26"/>
  <c r="C139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4" i="26"/>
  <c r="B135" i="26" s="1" a="1"/>
  <c r="B135" i="26" s="1"/>
  <c r="C118" i="26"/>
  <c r="B118" i="26"/>
  <c r="A118" i="26"/>
  <c r="D118" i="26" s="1"/>
  <c r="D106" i="26"/>
  <c r="D107" i="26" s="1"/>
  <c r="D102" i="26"/>
  <c r="D101" i="26"/>
  <c r="D100" i="26"/>
  <c r="D99" i="26"/>
  <c r="D98" i="26"/>
  <c r="D97" i="26"/>
  <c r="A94" i="26"/>
  <c r="A92" i="26"/>
  <c r="A91" i="26"/>
  <c r="A90" i="26"/>
  <c r="A88" i="26"/>
  <c r="A87" i="26"/>
  <c r="A86" i="26"/>
  <c r="A84" i="26"/>
  <c r="A83" i="26"/>
  <c r="A82" i="26"/>
  <c r="A80" i="26"/>
  <c r="A79" i="26"/>
  <c r="A78" i="26"/>
  <c r="A76" i="26"/>
  <c r="B76" i="26" s="1" a="1"/>
  <c r="B76" i="26" s="1"/>
  <c r="B155" i="21" s="1"/>
  <c r="A75" i="26"/>
  <c r="A69" i="26"/>
  <c r="B69" i="26" s="1"/>
  <c r="B68" i="26"/>
  <c r="A68" i="26"/>
  <c r="A67" i="26"/>
  <c r="B67" i="26" s="1"/>
  <c r="A66" i="26"/>
  <c r="B66" i="26" s="1"/>
  <c r="A65" i="26"/>
  <c r="B65" i="26" s="1"/>
  <c r="B64" i="26"/>
  <c r="A64" i="26"/>
  <c r="A63" i="26"/>
  <c r="B63" i="26" s="1"/>
  <c r="A62" i="26"/>
  <c r="B62" i="26" s="1"/>
  <c r="C56" i="26"/>
  <c r="B56" i="26"/>
  <c r="C55" i="26"/>
  <c r="B55" i="26"/>
  <c r="C54" i="26"/>
  <c r="B54" i="26"/>
  <c r="C53" i="26"/>
  <c r="B53" i="26"/>
  <c r="C52" i="26"/>
  <c r="B52" i="26"/>
  <c r="C46" i="26"/>
  <c r="B46" i="26"/>
  <c r="C45" i="26"/>
  <c r="B45" i="26"/>
  <c r="C44" i="26"/>
  <c r="B44" i="26"/>
  <c r="C43" i="26"/>
  <c r="B43" i="26"/>
  <c r="C42" i="26"/>
  <c r="B42" i="26"/>
  <c r="C36" i="26"/>
  <c r="B36" i="26"/>
  <c r="C35" i="26"/>
  <c r="B35" i="26"/>
  <c r="C34" i="26"/>
  <c r="B34" i="26"/>
  <c r="C33" i="26"/>
  <c r="B33" i="26"/>
  <c r="C32" i="26"/>
  <c r="B32" i="26"/>
  <c r="B26" i="26" a="1"/>
  <c r="B26" i="26" s="1"/>
  <c r="A26" i="26" s="1"/>
  <c r="E17" i="26"/>
  <c r="C17" i="26"/>
  <c r="B17" i="26"/>
  <c r="C16" i="26"/>
  <c r="B16" i="26"/>
  <c r="C15" i="26"/>
  <c r="B15" i="26"/>
  <c r="B14" i="26"/>
  <c r="A23" i="26" s="1"/>
  <c r="B23" i="26" s="1"/>
  <c r="C13" i="26"/>
  <c r="B13" i="26"/>
  <c r="B1" i="26"/>
  <c r="C123" i="22"/>
  <c r="J122" i="22"/>
  <c r="E122" i="22"/>
  <c r="D122" i="22"/>
  <c r="C122" i="22"/>
  <c r="A122" i="22"/>
  <c r="J121" i="22"/>
  <c r="E121" i="22"/>
  <c r="D121" i="22"/>
  <c r="C121" i="22"/>
  <c r="A121" i="22"/>
  <c r="J120" i="22"/>
  <c r="E120" i="22"/>
  <c r="D120" i="22"/>
  <c r="C120" i="22"/>
  <c r="A120" i="22"/>
  <c r="J119" i="22"/>
  <c r="E119" i="22"/>
  <c r="D119" i="22"/>
  <c r="C119" i="22"/>
  <c r="A119" i="22"/>
  <c r="C118" i="22"/>
  <c r="C117" i="22"/>
  <c r="M63" i="22"/>
  <c r="H63" i="22"/>
  <c r="W47" i="21"/>
  <c r="W48" i="21" s="1"/>
  <c r="T47" i="21"/>
  <c r="R47" i="21"/>
  <c r="R48" i="21" s="1"/>
  <c r="O47" i="21"/>
  <c r="L47" i="21"/>
  <c r="L48" i="21" s="1"/>
  <c r="J47" i="21"/>
  <c r="H47" i="21"/>
  <c r="H48" i="21" s="1"/>
  <c r="F47" i="21"/>
  <c r="S3" i="21"/>
  <c r="N3" i="21"/>
  <c r="K3" i="21"/>
  <c r="H3" i="21"/>
  <c r="A1" i="21"/>
  <c r="G303" i="26" l="1"/>
  <c r="B128" i="26" a="1"/>
  <c r="B128" i="26" s="1"/>
  <c r="B140" i="26" a="1"/>
  <c r="B140" i="26" s="1"/>
  <c r="G305" i="26"/>
  <c r="B132" i="26" a="1"/>
  <c r="B132" i="26" s="1"/>
  <c r="B136" i="26" a="1"/>
  <c r="B136" i="26" s="1"/>
  <c r="F48" i="21"/>
  <c r="O48" i="21"/>
  <c r="A24" i="26"/>
  <c r="B127" i="26" a="1"/>
  <c r="B127" i="26" s="1"/>
  <c r="B129" i="26" a="1"/>
  <c r="B129" i="26" s="1"/>
  <c r="B133" i="26" a="1"/>
  <c r="B133" i="26" s="1"/>
  <c r="B137" i="26" a="1"/>
  <c r="B137" i="26" s="1"/>
  <c r="A246" i="26"/>
  <c r="A252" i="26"/>
  <c r="A257" i="26"/>
  <c r="A262" i="26"/>
  <c r="B279" i="26"/>
  <c r="J303" i="26"/>
  <c r="I305" i="26" s="1"/>
  <c r="A248" i="26"/>
  <c r="A253" i="26"/>
  <c r="A258" i="26"/>
  <c r="A264" i="26"/>
  <c r="G302" i="26"/>
  <c r="J48" i="21"/>
  <c r="T48" i="21"/>
  <c r="E16" i="26"/>
  <c r="N322" i="26"/>
  <c r="G300" i="26"/>
  <c r="G301" i="26"/>
  <c r="I302" i="26"/>
  <c r="G306" i="26"/>
  <c r="G307" i="26"/>
  <c r="G308" i="26"/>
  <c r="G309" i="26"/>
  <c r="G311" i="26"/>
  <c r="G313" i="26"/>
  <c r="G315" i="26"/>
  <c r="G317" i="26"/>
  <c r="G319" i="26"/>
  <c r="G321" i="26"/>
  <c r="C63" i="26"/>
  <c r="A22" i="26"/>
  <c r="D13" i="23"/>
  <c r="C13" i="23" s="1"/>
  <c r="F5" i="23"/>
  <c r="F24" i="23" s="1"/>
  <c r="B5" i="23"/>
  <c r="J5" i="23"/>
  <c r="K24" i="23" s="1"/>
  <c r="I5" i="23"/>
  <c r="I24" i="23" s="1"/>
  <c r="G16" i="23"/>
  <c r="G20" i="23"/>
  <c r="G19" i="23"/>
  <c r="G17" i="23"/>
  <c r="G18" i="23"/>
  <c r="C5" i="23"/>
  <c r="E28" i="23" s="1"/>
  <c r="B118" i="22"/>
  <c r="H16" i="23"/>
  <c r="E16" i="23" s="1"/>
  <c r="H20" i="23"/>
  <c r="H19" i="23"/>
  <c r="H17" i="23"/>
  <c r="H18" i="23"/>
  <c r="D11" i="23"/>
  <c r="C11" i="23" s="1"/>
  <c r="B117" i="22"/>
  <c r="M122" i="22"/>
  <c r="E117" i="22"/>
  <c r="A117" i="22"/>
  <c r="J117" i="22"/>
  <c r="D117" i="22"/>
  <c r="M120" i="22"/>
  <c r="H121" i="22"/>
  <c r="C116" i="22"/>
  <c r="E118" i="22"/>
  <c r="A118" i="22"/>
  <c r="J118" i="22"/>
  <c r="D118" i="22"/>
  <c r="G76" i="26"/>
  <c r="L155" i="21" s="1"/>
  <c r="C76" i="26"/>
  <c r="I76" i="26"/>
  <c r="P155" i="21" s="1"/>
  <c r="D76" i="26"/>
  <c r="J76" i="26"/>
  <c r="R155" i="21" s="1"/>
  <c r="H76" i="26"/>
  <c r="N155" i="21" s="1"/>
  <c r="E76" i="26"/>
  <c r="H155" i="21" s="1"/>
  <c r="H120" i="22"/>
  <c r="H122" i="22"/>
  <c r="M121" i="22"/>
  <c r="B122" i="22"/>
  <c r="E13" i="26"/>
  <c r="C66" i="26"/>
  <c r="E43" i="26"/>
  <c r="E44" i="26"/>
  <c r="E42" i="26"/>
  <c r="A25" i="26" s="1"/>
  <c r="E45" i="26"/>
  <c r="C67" i="26"/>
  <c r="C68" i="26"/>
  <c r="D108" i="26"/>
  <c r="C106" i="26"/>
  <c r="C69" i="26"/>
  <c r="B119" i="22"/>
  <c r="B120" i="22"/>
  <c r="B121" i="22"/>
  <c r="C62" i="26"/>
  <c r="C64" i="26"/>
  <c r="B75" i="26" a="1"/>
  <c r="B75" i="26" s="1"/>
  <c r="E46" i="26"/>
  <c r="C65" i="26"/>
  <c r="C88" i="20"/>
  <c r="C84" i="20"/>
  <c r="C80" i="20"/>
  <c r="C76" i="20"/>
  <c r="C72" i="20"/>
  <c r="C68" i="20"/>
  <c r="C64" i="20"/>
  <c r="C60" i="20"/>
  <c r="C56" i="20"/>
  <c r="C52" i="20"/>
  <c r="C48" i="20"/>
  <c r="C44" i="20"/>
  <c r="C40" i="20"/>
  <c r="C36" i="20"/>
  <c r="C32" i="20"/>
  <c r="C28" i="20"/>
  <c r="C24" i="20"/>
  <c r="C20" i="20"/>
  <c r="C16" i="20"/>
  <c r="C12" i="20"/>
  <c r="C8" i="20"/>
  <c r="C4" i="20"/>
  <c r="C87" i="20"/>
  <c r="C83" i="20"/>
  <c r="C79" i="20"/>
  <c r="C75" i="20"/>
  <c r="C71" i="20"/>
  <c r="C67" i="20"/>
  <c r="C63" i="20"/>
  <c r="C59" i="20"/>
  <c r="C55" i="20"/>
  <c r="C51" i="20"/>
  <c r="C47" i="20"/>
  <c r="C43" i="20"/>
  <c r="C39" i="20"/>
  <c r="C35" i="20"/>
  <c r="C31" i="20"/>
  <c r="C27" i="20"/>
  <c r="C23" i="20"/>
  <c r="C19" i="20"/>
  <c r="C15" i="20"/>
  <c r="C11" i="20"/>
  <c r="C7" i="20"/>
  <c r="C3" i="20"/>
  <c r="C86" i="20"/>
  <c r="C82" i="20"/>
  <c r="C78" i="20"/>
  <c r="C74" i="20"/>
  <c r="C70" i="20"/>
  <c r="C66" i="20"/>
  <c r="C62" i="20"/>
  <c r="C58" i="20"/>
  <c r="C54" i="20"/>
  <c r="C50" i="20"/>
  <c r="C46" i="20"/>
  <c r="C42" i="20"/>
  <c r="C38" i="20"/>
  <c r="C34" i="20"/>
  <c r="C30" i="20"/>
  <c r="C26" i="20"/>
  <c r="C22" i="20"/>
  <c r="C18" i="20"/>
  <c r="C14" i="20"/>
  <c r="C10" i="20"/>
  <c r="C6" i="20"/>
  <c r="C2" i="20"/>
  <c r="C85" i="20"/>
  <c r="C81" i="20"/>
  <c r="C77" i="20"/>
  <c r="C73" i="20"/>
  <c r="C69" i="20"/>
  <c r="C65" i="20"/>
  <c r="C61" i="20"/>
  <c r="C57" i="20"/>
  <c r="C53" i="20"/>
  <c r="C49" i="20"/>
  <c r="C45" i="20"/>
  <c r="C41" i="20"/>
  <c r="C37" i="20"/>
  <c r="C33" i="20"/>
  <c r="C29" i="20"/>
  <c r="C25" i="20"/>
  <c r="C21" i="20"/>
  <c r="C17" i="20"/>
  <c r="C13" i="20"/>
  <c r="C9" i="20"/>
  <c r="C5" i="20"/>
  <c r="A93" i="26"/>
  <c r="A89" i="26"/>
  <c r="A85" i="26"/>
  <c r="A81" i="26"/>
  <c r="A77" i="26"/>
  <c r="B92" i="26" s="1" a="1"/>
  <c r="B92" i="26" s="1"/>
  <c r="B124" i="26" a="1"/>
  <c r="B124" i="26" s="1"/>
  <c r="I300" i="26"/>
  <c r="I304" i="26"/>
  <c r="I306" i="26"/>
  <c r="I307" i="26"/>
  <c r="I308" i="26"/>
  <c r="I309" i="26"/>
  <c r="I310" i="26"/>
  <c r="I312" i="26"/>
  <c r="B126" i="26" a="1"/>
  <c r="B126" i="26" s="1"/>
  <c r="B131" i="26" a="1"/>
  <c r="B131" i="26" s="1"/>
  <c r="B134" i="26" a="1"/>
  <c r="B134" i="26" s="1"/>
  <c r="B139" i="26" a="1"/>
  <c r="B139" i="26" s="1"/>
  <c r="B142" i="26" a="1"/>
  <c r="B142" i="26" s="1"/>
  <c r="I303" i="26"/>
  <c r="B125" i="26" a="1"/>
  <c r="B125" i="26" s="1"/>
  <c r="B141" i="26" a="1"/>
  <c r="B141" i="26" s="1"/>
  <c r="B143" i="26" a="1"/>
  <c r="B143" i="26" s="1"/>
  <c r="I301" i="26"/>
  <c r="B130" i="26" a="1"/>
  <c r="B130" i="26" s="1"/>
  <c r="B138" i="26" a="1"/>
  <c r="B138" i="26" s="1"/>
  <c r="M322" i="26"/>
  <c r="B278" i="26"/>
  <c r="N351" i="26"/>
  <c r="N349" i="26"/>
  <c r="N347" i="26"/>
  <c r="N345" i="26"/>
  <c r="N343" i="26"/>
  <c r="N341" i="26"/>
  <c r="N352" i="26"/>
  <c r="N350" i="26"/>
  <c r="N348" i="26"/>
  <c r="N346" i="26"/>
  <c r="N344" i="26"/>
  <c r="N342" i="26"/>
  <c r="N299" i="26"/>
  <c r="N301" i="26"/>
  <c r="N303" i="26"/>
  <c r="N305" i="26"/>
  <c r="N307" i="26"/>
  <c r="N309" i="26"/>
  <c r="N311" i="26"/>
  <c r="N313" i="26"/>
  <c r="G316" i="26"/>
  <c r="G318" i="26"/>
  <c r="G320" i="26"/>
  <c r="G322" i="26"/>
  <c r="G324" i="26"/>
  <c r="G325" i="26"/>
  <c r="G326" i="26"/>
  <c r="G327" i="26"/>
  <c r="G328" i="26"/>
  <c r="G330" i="26"/>
  <c r="A247" i="26"/>
  <c r="A251" i="26"/>
  <c r="A255" i="26"/>
  <c r="A259" i="26"/>
  <c r="B290" i="26"/>
  <c r="G299" i="26"/>
  <c r="I314" i="26"/>
  <c r="N314" i="26"/>
  <c r="N315" i="26"/>
  <c r="I316" i="26"/>
  <c r="N316" i="26"/>
  <c r="N317" i="26"/>
  <c r="I318" i="26"/>
  <c r="N318" i="26"/>
  <c r="N319" i="26"/>
  <c r="I320" i="26"/>
  <c r="N320" i="26"/>
  <c r="N321" i="26"/>
  <c r="I322" i="26"/>
  <c r="N323" i="26"/>
  <c r="I324" i="26"/>
  <c r="I325" i="26"/>
  <c r="I326" i="26"/>
  <c r="I327" i="26"/>
  <c r="I328" i="26"/>
  <c r="N329" i="26"/>
  <c r="I330" i="26"/>
  <c r="N331" i="26"/>
  <c r="N332" i="26"/>
  <c r="N333" i="26"/>
  <c r="N334" i="26"/>
  <c r="N335" i="26"/>
  <c r="N336" i="26"/>
  <c r="N337" i="26"/>
  <c r="N338" i="26"/>
  <c r="N339" i="26"/>
  <c r="N340" i="26"/>
  <c r="N300" i="26"/>
  <c r="N302" i="26"/>
  <c r="N304" i="26"/>
  <c r="N306" i="26"/>
  <c r="N308" i="26"/>
  <c r="N310" i="26"/>
  <c r="N312" i="26"/>
  <c r="I315" i="26"/>
  <c r="I317" i="26"/>
  <c r="I319" i="26"/>
  <c r="I321" i="26"/>
  <c r="G323" i="26"/>
  <c r="G329" i="26"/>
  <c r="G331" i="26"/>
  <c r="I299" i="26"/>
  <c r="G310" i="26"/>
  <c r="I311" i="26"/>
  <c r="G312" i="26"/>
  <c r="I313" i="26"/>
  <c r="G314" i="26"/>
  <c r="I323" i="26"/>
  <c r="N328" i="26"/>
  <c r="I329" i="26"/>
  <c r="N330" i="26"/>
  <c r="I331" i="26"/>
  <c r="L322" i="26" l="1" a="1"/>
  <c r="L322" i="26" s="1"/>
  <c r="G92" i="26"/>
  <c r="L171" i="21" s="1"/>
  <c r="C92" i="26"/>
  <c r="J92" i="26"/>
  <c r="R171" i="21" s="1"/>
  <c r="E92" i="26"/>
  <c r="H171" i="21" s="1"/>
  <c r="I92" i="26"/>
  <c r="P171" i="21" s="1"/>
  <c r="D92" i="26"/>
  <c r="H92" i="26"/>
  <c r="N171" i="21" s="1"/>
  <c r="B171" i="21"/>
  <c r="F76" i="26"/>
  <c r="J155" i="21" s="1"/>
  <c r="F155" i="21"/>
  <c r="E116" i="22"/>
  <c r="A116" i="22"/>
  <c r="J116" i="22"/>
  <c r="D116" i="22"/>
  <c r="C115" i="22"/>
  <c r="B115" i="22"/>
  <c r="B116" i="22"/>
  <c r="M119" i="22"/>
  <c r="E20" i="23"/>
  <c r="H118" i="22"/>
  <c r="E19" i="23"/>
  <c r="D7" i="23"/>
  <c r="C7" i="23" s="1"/>
  <c r="D6" i="23"/>
  <c r="C6" i="23" s="1"/>
  <c r="M308" i="26"/>
  <c r="L308" i="26" a="1"/>
  <c r="L308" i="26" s="1"/>
  <c r="M300" i="26"/>
  <c r="L300" i="26" a="1"/>
  <c r="L300" i="26" s="1"/>
  <c r="M337" i="26"/>
  <c r="L337" i="26" a="1"/>
  <c r="L337" i="26" s="1"/>
  <c r="M333" i="26"/>
  <c r="L333" i="26" a="1"/>
  <c r="L333" i="26" s="1"/>
  <c r="M329" i="26"/>
  <c r="L329" i="26" a="1"/>
  <c r="L329" i="26" s="1"/>
  <c r="M321" i="26"/>
  <c r="L321" i="26" a="1"/>
  <c r="L321" i="26" s="1"/>
  <c r="L318" i="26" a="1"/>
  <c r="L318" i="26" s="1"/>
  <c r="M318" i="26"/>
  <c r="M313" i="26"/>
  <c r="L313" i="26" a="1"/>
  <c r="L313" i="26" s="1"/>
  <c r="M305" i="26"/>
  <c r="L305" i="26" a="1"/>
  <c r="L305" i="26" s="1"/>
  <c r="M342" i="26"/>
  <c r="L342" i="26" a="1"/>
  <c r="L342" i="26" s="1"/>
  <c r="M350" i="26"/>
  <c r="L350" i="26" a="1"/>
  <c r="L350" i="26" s="1"/>
  <c r="M345" i="26"/>
  <c r="L345" i="26" a="1"/>
  <c r="L345" i="26" s="1"/>
  <c r="E278" i="26"/>
  <c r="E277" i="26" s="1"/>
  <c r="D278" i="26"/>
  <c r="C278" i="26"/>
  <c r="C277" i="26" s="1"/>
  <c r="B83" i="26" a="1"/>
  <c r="B83" i="26" s="1"/>
  <c r="B85" i="26" a="1"/>
  <c r="B85" i="26" s="1"/>
  <c r="B86" i="26" a="1"/>
  <c r="B86" i="26" s="1"/>
  <c r="B82" i="26" a="1"/>
  <c r="B82" i="26" s="1"/>
  <c r="C107" i="26"/>
  <c r="D109" i="26"/>
  <c r="M330" i="26"/>
  <c r="L330" i="26" a="1"/>
  <c r="L330" i="26" s="1"/>
  <c r="M306" i="26"/>
  <c r="L306" i="26" a="1"/>
  <c r="L306" i="26" s="1"/>
  <c r="M340" i="26"/>
  <c r="L340" i="26" a="1"/>
  <c r="L340" i="26" s="1"/>
  <c r="M336" i="26"/>
  <c r="L336" i="26" a="1"/>
  <c r="L336" i="26" s="1"/>
  <c r="M332" i="26"/>
  <c r="L332" i="26" a="1"/>
  <c r="L332" i="26" s="1"/>
  <c r="L320" i="26" a="1"/>
  <c r="L320" i="26" s="1"/>
  <c r="M320" i="26"/>
  <c r="M315" i="26"/>
  <c r="L315" i="26" a="1"/>
  <c r="L315" i="26" s="1"/>
  <c r="D290" i="26"/>
  <c r="C290" i="26"/>
  <c r="C289" i="26" s="1"/>
  <c r="E290" i="26"/>
  <c r="E289" i="26" s="1"/>
  <c r="M311" i="26"/>
  <c r="L311" i="26" a="1"/>
  <c r="L311" i="26" s="1"/>
  <c r="M303" i="26"/>
  <c r="L303" i="26" a="1"/>
  <c r="L303" i="26" s="1"/>
  <c r="M344" i="26"/>
  <c r="L344" i="26" a="1"/>
  <c r="L344" i="26" s="1"/>
  <c r="M352" i="26"/>
  <c r="L352" i="26" a="1"/>
  <c r="L352" i="26" s="1"/>
  <c r="M347" i="26"/>
  <c r="L347" i="26" a="1"/>
  <c r="L347" i="26" s="1"/>
  <c r="B87" i="26" a="1"/>
  <c r="B87" i="26" s="1"/>
  <c r="B89" i="26" a="1"/>
  <c r="B89" i="26" s="1"/>
  <c r="B263" i="26" a="1"/>
  <c r="B263" i="26" s="1"/>
  <c r="B259" i="26" a="1"/>
  <c r="B259" i="26" s="1"/>
  <c r="B255" i="26" a="1"/>
  <c r="B255" i="26" s="1"/>
  <c r="B251" i="26" a="1"/>
  <c r="B251" i="26" s="1"/>
  <c r="B247" i="26" a="1"/>
  <c r="B247" i="26" s="1"/>
  <c r="B262" i="26" a="1"/>
  <c r="B262" i="26" s="1"/>
  <c r="B258" i="26" a="1"/>
  <c r="B258" i="26" s="1"/>
  <c r="B254" i="26" a="1"/>
  <c r="B254" i="26" s="1"/>
  <c r="B250" i="26" a="1"/>
  <c r="B250" i="26" s="1"/>
  <c r="B246" i="26" a="1"/>
  <c r="B246" i="26" s="1"/>
  <c r="B261" i="26" a="1"/>
  <c r="B261" i="26" s="1"/>
  <c r="B257" i="26" a="1"/>
  <c r="B257" i="26" s="1"/>
  <c r="B253" i="26" a="1"/>
  <c r="B253" i="26" s="1"/>
  <c r="B249" i="26" a="1"/>
  <c r="B249" i="26" s="1"/>
  <c r="B245" i="26" a="1"/>
  <c r="B245" i="26" s="1"/>
  <c r="B264" i="26" a="1"/>
  <c r="B264" i="26" s="1"/>
  <c r="B260" i="26" a="1"/>
  <c r="B260" i="26" s="1"/>
  <c r="B256" i="26" a="1"/>
  <c r="B256" i="26" s="1"/>
  <c r="B252" i="26" a="1"/>
  <c r="B252" i="26" s="1"/>
  <c r="B248" i="26" a="1"/>
  <c r="B248" i="26" s="1"/>
  <c r="B94" i="26" a="1"/>
  <c r="B94" i="26" s="1"/>
  <c r="B90" i="26" a="1"/>
  <c r="B90" i="26" s="1"/>
  <c r="M118" i="22"/>
  <c r="E18" i="23"/>
  <c r="G5" i="23" s="1"/>
  <c r="G24" i="23" s="1"/>
  <c r="D9" i="23"/>
  <c r="C9" i="23" s="1"/>
  <c r="D10" i="23"/>
  <c r="C10" i="23" s="1"/>
  <c r="D8" i="23"/>
  <c r="C8" i="23" s="1"/>
  <c r="D5" i="23"/>
  <c r="F28" i="23" s="1"/>
  <c r="J24" i="23"/>
  <c r="H119" i="22"/>
  <c r="D12" i="23"/>
  <c r="C12" i="23" s="1"/>
  <c r="M312" i="26"/>
  <c r="L312" i="26" a="1"/>
  <c r="L312" i="26" s="1"/>
  <c r="M304" i="26"/>
  <c r="L304" i="26" a="1"/>
  <c r="L304" i="26" s="1"/>
  <c r="M339" i="26"/>
  <c r="L339" i="26" a="1"/>
  <c r="L339" i="26" s="1"/>
  <c r="M335" i="26"/>
  <c r="L335" i="26" a="1"/>
  <c r="L335" i="26" s="1"/>
  <c r="M331" i="26"/>
  <c r="L331" i="26" a="1"/>
  <c r="L331" i="26" s="1"/>
  <c r="M323" i="26"/>
  <c r="L323" i="26" a="1"/>
  <c r="L323" i="26" s="1"/>
  <c r="M317" i="26"/>
  <c r="L317" i="26" a="1"/>
  <c r="L317" i="26" s="1"/>
  <c r="L314" i="26" a="1"/>
  <c r="L314" i="26" s="1"/>
  <c r="M314" i="26"/>
  <c r="M309" i="26"/>
  <c r="L309" i="26" a="1"/>
  <c r="L309" i="26" s="1"/>
  <c r="M301" i="26"/>
  <c r="L301" i="26" a="1"/>
  <c r="L301" i="26" s="1"/>
  <c r="M346" i="26"/>
  <c r="L346" i="26" a="1"/>
  <c r="L346" i="26" s="1"/>
  <c r="M341" i="26"/>
  <c r="L341" i="26" a="1"/>
  <c r="L341" i="26" s="1"/>
  <c r="M349" i="26"/>
  <c r="L349" i="26" a="1"/>
  <c r="L349" i="26" s="1"/>
  <c r="B77" i="26" a="1"/>
  <c r="B77" i="26" s="1"/>
  <c r="B78" i="26" a="1"/>
  <c r="B78" i="26" s="1"/>
  <c r="B93" i="26" a="1"/>
  <c r="B93" i="26" s="1"/>
  <c r="B80" i="26" a="1"/>
  <c r="B80" i="26" s="1"/>
  <c r="B88" i="26" a="1"/>
  <c r="B88" i="26" s="1"/>
  <c r="M328" i="26"/>
  <c r="L328" i="26" a="1"/>
  <c r="L328" i="26" s="1"/>
  <c r="M310" i="26"/>
  <c r="L310" i="26" a="1"/>
  <c r="L310" i="26" s="1"/>
  <c r="M302" i="26"/>
  <c r="L302" i="26" a="1"/>
  <c r="L302" i="26" s="1"/>
  <c r="M338" i="26"/>
  <c r="L338" i="26" a="1"/>
  <c r="L338" i="26" s="1"/>
  <c r="M334" i="26"/>
  <c r="L334" i="26" a="1"/>
  <c r="L334" i="26" s="1"/>
  <c r="M319" i="26"/>
  <c r="L319" i="26" a="1"/>
  <c r="L319" i="26" s="1"/>
  <c r="L316" i="26" a="1"/>
  <c r="L316" i="26" s="1"/>
  <c r="M316" i="26"/>
  <c r="M307" i="26"/>
  <c r="L307" i="26" a="1"/>
  <c r="L307" i="26" s="1"/>
  <c r="M299" i="26"/>
  <c r="L299" i="26" a="1"/>
  <c r="L299" i="26" s="1"/>
  <c r="M348" i="26"/>
  <c r="L348" i="26" a="1"/>
  <c r="L348" i="26" s="1"/>
  <c r="M343" i="26"/>
  <c r="L343" i="26" a="1"/>
  <c r="L343" i="26" s="1"/>
  <c r="M351" i="26"/>
  <c r="L351" i="26" a="1"/>
  <c r="L351" i="26" s="1"/>
  <c r="B81" i="26" a="1"/>
  <c r="B81" i="26" s="1"/>
  <c r="B79" i="26" a="1"/>
  <c r="B79" i="26" s="1"/>
  <c r="B91" i="26" a="1"/>
  <c r="B91" i="26" s="1"/>
  <c r="B84" i="26" a="1"/>
  <c r="B84" i="26" s="1"/>
  <c r="J75" i="26"/>
  <c r="R154" i="21" s="1"/>
  <c r="I75" i="26"/>
  <c r="P154" i="21" s="1"/>
  <c r="D75" i="26"/>
  <c r="G75" i="26"/>
  <c r="L154" i="21" s="1"/>
  <c r="C75" i="26"/>
  <c r="H75" i="26"/>
  <c r="N154" i="21" s="1"/>
  <c r="E75" i="26"/>
  <c r="H154" i="21" s="1"/>
  <c r="B154" i="21"/>
  <c r="F75" i="26" l="1"/>
  <c r="J154" i="21" s="1"/>
  <c r="F154" i="21"/>
  <c r="J91" i="26"/>
  <c r="R170" i="21" s="1"/>
  <c r="E91" i="26"/>
  <c r="H170" i="21" s="1"/>
  <c r="I91" i="26"/>
  <c r="P170" i="21" s="1"/>
  <c r="D91" i="26"/>
  <c r="H91" i="26"/>
  <c r="N170" i="21" s="1"/>
  <c r="C91" i="26"/>
  <c r="G91" i="26"/>
  <c r="L170" i="21" s="1"/>
  <c r="B170" i="21"/>
  <c r="G80" i="26"/>
  <c r="L159" i="21" s="1"/>
  <c r="C80" i="26"/>
  <c r="H80" i="26"/>
  <c r="N159" i="21" s="1"/>
  <c r="J80" i="26"/>
  <c r="R159" i="21" s="1"/>
  <c r="E80" i="26"/>
  <c r="H159" i="21" s="1"/>
  <c r="D80" i="26"/>
  <c r="I80" i="26"/>
  <c r="P159" i="21" s="1"/>
  <c r="B159" i="21"/>
  <c r="E115" i="22"/>
  <c r="A115" i="22"/>
  <c r="J115" i="22"/>
  <c r="D115" i="22"/>
  <c r="C114" i="22"/>
  <c r="B114" i="22"/>
  <c r="H117" i="22"/>
  <c r="D248" i="26"/>
  <c r="C248" i="26"/>
  <c r="D264" i="26"/>
  <c r="C264" i="26"/>
  <c r="D257" i="26"/>
  <c r="C257" i="26"/>
  <c r="C254" i="26"/>
  <c r="D254" i="26"/>
  <c r="D251" i="26"/>
  <c r="C251" i="26"/>
  <c r="H89" i="26"/>
  <c r="N168" i="21" s="1"/>
  <c r="D89" i="26"/>
  <c r="J89" i="26"/>
  <c r="R168" i="21" s="1"/>
  <c r="E89" i="26"/>
  <c r="H168" i="21" s="1"/>
  <c r="I89" i="26"/>
  <c r="P168" i="21" s="1"/>
  <c r="C89" i="26"/>
  <c r="G89" i="26"/>
  <c r="L168" i="21" s="1"/>
  <c r="B168" i="21"/>
  <c r="I86" i="26"/>
  <c r="P165" i="21" s="1"/>
  <c r="E86" i="26"/>
  <c r="H165" i="21" s="1"/>
  <c r="J86" i="26"/>
  <c r="R165" i="21" s="1"/>
  <c r="D86" i="26"/>
  <c r="H86" i="26"/>
  <c r="N165" i="21" s="1"/>
  <c r="C86" i="26"/>
  <c r="G86" i="26"/>
  <c r="L165" i="21" s="1"/>
  <c r="B165" i="21"/>
  <c r="J79" i="26"/>
  <c r="R158" i="21" s="1"/>
  <c r="H79" i="26"/>
  <c r="N158" i="21" s="1"/>
  <c r="C79" i="26"/>
  <c r="E79" i="26"/>
  <c r="H158" i="21" s="1"/>
  <c r="G79" i="26"/>
  <c r="L158" i="21" s="1"/>
  <c r="D79" i="26"/>
  <c r="I79" i="26"/>
  <c r="P158" i="21" s="1"/>
  <c r="B158" i="21"/>
  <c r="H93" i="26"/>
  <c r="N172" i="21" s="1"/>
  <c r="D93" i="26"/>
  <c r="J93" i="26"/>
  <c r="R172" i="21" s="1"/>
  <c r="E93" i="26"/>
  <c r="H172" i="21" s="1"/>
  <c r="I93" i="26"/>
  <c r="P172" i="21" s="1"/>
  <c r="C93" i="26"/>
  <c r="G93" i="26"/>
  <c r="L172" i="21" s="1"/>
  <c r="B172" i="21"/>
  <c r="G84" i="26"/>
  <c r="L163" i="21" s="1"/>
  <c r="C84" i="26"/>
  <c r="J84" i="26"/>
  <c r="R163" i="21" s="1"/>
  <c r="E84" i="26"/>
  <c r="H163" i="21" s="1"/>
  <c r="I84" i="26"/>
  <c r="P163" i="21" s="1"/>
  <c r="D84" i="26"/>
  <c r="H84" i="26"/>
  <c r="N163" i="21" s="1"/>
  <c r="B163" i="21"/>
  <c r="G88" i="26"/>
  <c r="L167" i="21" s="1"/>
  <c r="C88" i="26"/>
  <c r="J88" i="26"/>
  <c r="R167" i="21" s="1"/>
  <c r="E88" i="26"/>
  <c r="H167" i="21" s="1"/>
  <c r="I88" i="26"/>
  <c r="P167" i="21" s="1"/>
  <c r="D88" i="26"/>
  <c r="H88" i="26"/>
  <c r="N167" i="21" s="1"/>
  <c r="B167" i="21"/>
  <c r="H77" i="26"/>
  <c r="N156" i="21" s="1"/>
  <c r="D77" i="26"/>
  <c r="I77" i="26"/>
  <c r="P156" i="21" s="1"/>
  <c r="C77" i="26"/>
  <c r="J77" i="26"/>
  <c r="R156" i="21" s="1"/>
  <c r="G77" i="26"/>
  <c r="L156" i="21" s="1"/>
  <c r="E77" i="26"/>
  <c r="H156" i="21" s="1"/>
  <c r="B156" i="21"/>
  <c r="D252" i="26"/>
  <c r="C252" i="26"/>
  <c r="D245" i="26"/>
  <c r="C245" i="26"/>
  <c r="D261" i="26"/>
  <c r="C261" i="26"/>
  <c r="C258" i="26"/>
  <c r="D258" i="26"/>
  <c r="D255" i="26"/>
  <c r="C255" i="26"/>
  <c r="J87" i="26"/>
  <c r="R166" i="21" s="1"/>
  <c r="E87" i="26"/>
  <c r="H166" i="21" s="1"/>
  <c r="I87" i="26"/>
  <c r="P166" i="21" s="1"/>
  <c r="D87" i="26"/>
  <c r="H87" i="26"/>
  <c r="N166" i="21" s="1"/>
  <c r="C87" i="26"/>
  <c r="G87" i="26"/>
  <c r="L166" i="21" s="1"/>
  <c r="B166" i="21"/>
  <c r="C108" i="26"/>
  <c r="D110" i="26"/>
  <c r="H85" i="26"/>
  <c r="N164" i="21" s="1"/>
  <c r="D85" i="26"/>
  <c r="J85" i="26"/>
  <c r="R164" i="21" s="1"/>
  <c r="E85" i="26"/>
  <c r="H164" i="21" s="1"/>
  <c r="I85" i="26"/>
  <c r="P164" i="21" s="1"/>
  <c r="C85" i="26"/>
  <c r="G85" i="26"/>
  <c r="L164" i="21" s="1"/>
  <c r="B164" i="21"/>
  <c r="H81" i="26"/>
  <c r="N160" i="21" s="1"/>
  <c r="D81" i="26"/>
  <c r="G81" i="26"/>
  <c r="L160" i="21" s="1"/>
  <c r="J81" i="26"/>
  <c r="R160" i="21" s="1"/>
  <c r="E81" i="26"/>
  <c r="H160" i="21" s="1"/>
  <c r="C81" i="26"/>
  <c r="I81" i="26"/>
  <c r="P160" i="21" s="1"/>
  <c r="B160" i="21"/>
  <c r="I78" i="26"/>
  <c r="P157" i="21" s="1"/>
  <c r="E78" i="26"/>
  <c r="H157" i="21" s="1"/>
  <c r="H78" i="26"/>
  <c r="N157" i="21" s="1"/>
  <c r="C78" i="26"/>
  <c r="J78" i="26"/>
  <c r="R157" i="21" s="1"/>
  <c r="G78" i="26"/>
  <c r="L157" i="21" s="1"/>
  <c r="D78" i="26"/>
  <c r="B157" i="21"/>
  <c r="I90" i="26"/>
  <c r="P169" i="21" s="1"/>
  <c r="E90" i="26"/>
  <c r="H169" i="21" s="1"/>
  <c r="J90" i="26"/>
  <c r="R169" i="21" s="1"/>
  <c r="D90" i="26"/>
  <c r="H90" i="26"/>
  <c r="N169" i="21" s="1"/>
  <c r="C90" i="26"/>
  <c r="G90" i="26"/>
  <c r="L169" i="21" s="1"/>
  <c r="B169" i="21"/>
  <c r="D256" i="26"/>
  <c r="C256" i="26"/>
  <c r="D249" i="26"/>
  <c r="C249" i="26"/>
  <c r="C246" i="26"/>
  <c r="D246" i="26"/>
  <c r="C262" i="26"/>
  <c r="D262" i="26"/>
  <c r="D259" i="26"/>
  <c r="C259" i="26"/>
  <c r="J83" i="26"/>
  <c r="R162" i="21" s="1"/>
  <c r="G83" i="26"/>
  <c r="L162" i="21" s="1"/>
  <c r="E83" i="26"/>
  <c r="H162" i="21" s="1"/>
  <c r="I83" i="26"/>
  <c r="P162" i="21" s="1"/>
  <c r="D83" i="26"/>
  <c r="C83" i="26"/>
  <c r="H83" i="26"/>
  <c r="N162" i="21" s="1"/>
  <c r="B162" i="21"/>
  <c r="M117" i="22"/>
  <c r="F92" i="26"/>
  <c r="J171" i="21" s="1"/>
  <c r="F171" i="21"/>
  <c r="I94" i="26"/>
  <c r="P173" i="21" s="1"/>
  <c r="E94" i="26"/>
  <c r="H173" i="21" s="1"/>
  <c r="J94" i="26"/>
  <c r="R173" i="21" s="1"/>
  <c r="D94" i="26"/>
  <c r="H94" i="26"/>
  <c r="N173" i="21" s="1"/>
  <c r="C94" i="26"/>
  <c r="G94" i="26"/>
  <c r="L173" i="21" s="1"/>
  <c r="B173" i="21"/>
  <c r="D260" i="26"/>
  <c r="C260" i="26"/>
  <c r="D253" i="26"/>
  <c r="C253" i="26"/>
  <c r="C250" i="26"/>
  <c r="D250" i="26"/>
  <c r="D247" i="26"/>
  <c r="C247" i="26"/>
  <c r="D263" i="26"/>
  <c r="C263" i="26"/>
  <c r="I82" i="26"/>
  <c r="P161" i="21" s="1"/>
  <c r="E82" i="26"/>
  <c r="H161" i="21" s="1"/>
  <c r="G82" i="26"/>
  <c r="L161" i="21" s="1"/>
  <c r="J82" i="26"/>
  <c r="R161" i="21" s="1"/>
  <c r="D82" i="26"/>
  <c r="C82" i="26"/>
  <c r="H82" i="26"/>
  <c r="N161" i="21" s="1"/>
  <c r="B161" i="21"/>
  <c r="F94" i="26" l="1"/>
  <c r="J173" i="21" s="1"/>
  <c r="F173" i="21"/>
  <c r="F83" i="26"/>
  <c r="J162" i="21" s="1"/>
  <c r="F162" i="21"/>
  <c r="F90" i="26"/>
  <c r="J169" i="21" s="1"/>
  <c r="F169" i="21"/>
  <c r="F78" i="26"/>
  <c r="J157" i="21" s="1"/>
  <c r="F157" i="21"/>
  <c r="F93" i="26"/>
  <c r="J172" i="21" s="1"/>
  <c r="F172" i="21"/>
  <c r="F79" i="26"/>
  <c r="J158" i="21" s="1"/>
  <c r="F158" i="21"/>
  <c r="F89" i="26"/>
  <c r="J168" i="21" s="1"/>
  <c r="F168" i="21"/>
  <c r="F81" i="26"/>
  <c r="J160" i="21" s="1"/>
  <c r="F160" i="21"/>
  <c r="F85" i="26"/>
  <c r="J164" i="21" s="1"/>
  <c r="F164" i="21"/>
  <c r="F87" i="26"/>
  <c r="J166" i="21" s="1"/>
  <c r="F166" i="21"/>
  <c r="F77" i="26"/>
  <c r="J156" i="21" s="1"/>
  <c r="F156" i="21"/>
  <c r="F88" i="26"/>
  <c r="J167" i="21" s="1"/>
  <c r="F167" i="21"/>
  <c r="F84" i="26"/>
  <c r="J163" i="21" s="1"/>
  <c r="F163" i="21"/>
  <c r="E114" i="22"/>
  <c r="A114" i="22"/>
  <c r="J114" i="22"/>
  <c r="D114" i="22"/>
  <c r="C113" i="22"/>
  <c r="B113" i="22"/>
  <c r="H116" i="22"/>
  <c r="F80" i="26"/>
  <c r="J159" i="21" s="1"/>
  <c r="F159" i="21"/>
  <c r="M116" i="22"/>
  <c r="F91" i="26"/>
  <c r="J170" i="21" s="1"/>
  <c r="F170" i="21"/>
  <c r="F86" i="26"/>
  <c r="J165" i="21" s="1"/>
  <c r="F165" i="21"/>
  <c r="F82" i="26"/>
  <c r="J161" i="21" s="1"/>
  <c r="F161" i="21"/>
  <c r="D111" i="26"/>
  <c r="C109" i="26"/>
  <c r="M115" i="22" l="1"/>
  <c r="E113" i="22"/>
  <c r="A113" i="22"/>
  <c r="J113" i="22"/>
  <c r="D113" i="22"/>
  <c r="C112" i="22"/>
  <c r="B112" i="22"/>
  <c r="H115" i="22"/>
  <c r="D112" i="26"/>
  <c r="C110" i="26"/>
  <c r="C111" i="26" l="1"/>
  <c r="D113" i="26"/>
  <c r="M114" i="22"/>
  <c r="E112" i="22"/>
  <c r="A112" i="22"/>
  <c r="J112" i="22"/>
  <c r="D112" i="22"/>
  <c r="C111" i="22"/>
  <c r="B111" i="22"/>
  <c r="H114" i="22"/>
  <c r="M113" i="22" l="1"/>
  <c r="C113" i="26"/>
  <c r="C112" i="26"/>
  <c r="E111" i="22"/>
  <c r="A111" i="22"/>
  <c r="J111" i="22"/>
  <c r="D111" i="22"/>
  <c r="C110" i="22"/>
  <c r="B110" i="22"/>
  <c r="H113" i="22"/>
  <c r="C115" i="26" l="1"/>
  <c r="E110" i="22"/>
  <c r="A110" i="22"/>
  <c r="J110" i="22"/>
  <c r="D110" i="22"/>
  <c r="C109" i="22"/>
  <c r="B109" i="22"/>
  <c r="H112" i="22"/>
  <c r="M112" i="22"/>
  <c r="B113" i="26"/>
  <c r="E109" i="22" l="1"/>
  <c r="A109" i="22"/>
  <c r="J109" i="22"/>
  <c r="D109" i="22"/>
  <c r="C108" i="22"/>
  <c r="B108" i="22"/>
  <c r="H111" i="22"/>
  <c r="B106" i="26"/>
  <c r="B107" i="26"/>
  <c r="B108" i="26"/>
  <c r="B109" i="26"/>
  <c r="B110" i="26"/>
  <c r="B111" i="26"/>
  <c r="M111" i="22"/>
  <c r="B112" i="26"/>
  <c r="M110" i="22" l="1"/>
  <c r="E108" i="22"/>
  <c r="A108" i="22"/>
  <c r="J108" i="22"/>
  <c r="D108" i="22"/>
  <c r="C107" i="22"/>
  <c r="B107" i="22"/>
  <c r="H110" i="22"/>
  <c r="M109" i="22" l="1"/>
  <c r="E107" i="22"/>
  <c r="A107" i="22"/>
  <c r="J107" i="22"/>
  <c r="D107" i="22"/>
  <c r="C106" i="22"/>
  <c r="B106" i="22"/>
  <c r="H109" i="22"/>
  <c r="M108" i="22" l="1"/>
  <c r="E106" i="22"/>
  <c r="A106" i="22"/>
  <c r="J106" i="22"/>
  <c r="D106" i="22"/>
  <c r="C105" i="22"/>
  <c r="B105" i="22"/>
  <c r="H108" i="22"/>
  <c r="E105" i="22" l="1"/>
  <c r="A105" i="22"/>
  <c r="J105" i="22"/>
  <c r="B104" i="22"/>
  <c r="D105" i="22"/>
  <c r="C104" i="22"/>
  <c r="H107" i="22"/>
  <c r="M107" i="22"/>
  <c r="M106" i="22" l="1"/>
  <c r="J104" i="22"/>
  <c r="B103" i="22"/>
  <c r="E104" i="22"/>
  <c r="A104" i="22"/>
  <c r="D104" i="22"/>
  <c r="C103" i="22"/>
  <c r="H106" i="22"/>
  <c r="H105" i="22" l="1"/>
  <c r="M105" i="22"/>
  <c r="B102" i="22"/>
  <c r="E103" i="22"/>
  <c r="A103" i="22"/>
  <c r="D103" i="22"/>
  <c r="J103" i="22"/>
  <c r="C102" i="22"/>
  <c r="B101" i="22" l="1"/>
  <c r="E102" i="22"/>
  <c r="A102" i="22"/>
  <c r="D102" i="22"/>
  <c r="J102" i="22"/>
  <c r="C101" i="22"/>
  <c r="H104" i="22"/>
  <c r="M104" i="22"/>
  <c r="B100" i="22" l="1"/>
  <c r="E101" i="22"/>
  <c r="A101" i="22"/>
  <c r="D101" i="22"/>
  <c r="J101" i="22"/>
  <c r="C100" i="22"/>
  <c r="H103" i="22"/>
  <c r="M103" i="22"/>
  <c r="B99" i="22" l="1"/>
  <c r="E100" i="22"/>
  <c r="A100" i="22"/>
  <c r="D100" i="22"/>
  <c r="J100" i="22"/>
  <c r="C99" i="22"/>
  <c r="H102" i="22"/>
  <c r="M102" i="22"/>
  <c r="B98" i="22" l="1"/>
  <c r="E99" i="22"/>
  <c r="A99" i="22"/>
  <c r="D99" i="22"/>
  <c r="J99" i="22"/>
  <c r="C98" i="22"/>
  <c r="H101" i="22"/>
  <c r="M101" i="22"/>
  <c r="B97" i="22" l="1"/>
  <c r="E98" i="22"/>
  <c r="A98" i="22"/>
  <c r="D98" i="22"/>
  <c r="J98" i="22"/>
  <c r="C97" i="22"/>
  <c r="H100" i="22"/>
  <c r="M100" i="22"/>
  <c r="B96" i="22" l="1"/>
  <c r="E97" i="22"/>
  <c r="A97" i="22"/>
  <c r="D97" i="22"/>
  <c r="J97" i="22"/>
  <c r="C96" i="22"/>
  <c r="H99" i="22"/>
  <c r="M99" i="22"/>
  <c r="B95" i="22" l="1"/>
  <c r="E96" i="22"/>
  <c r="A96" i="22"/>
  <c r="D96" i="22"/>
  <c r="J96" i="22"/>
  <c r="C95" i="22"/>
  <c r="H98" i="22"/>
  <c r="M98" i="22"/>
  <c r="B94" i="22" l="1"/>
  <c r="E95" i="22"/>
  <c r="A95" i="22"/>
  <c r="D95" i="22"/>
  <c r="J95" i="22"/>
  <c r="C94" i="22"/>
  <c r="H97" i="22"/>
  <c r="M97" i="22"/>
  <c r="B93" i="22" l="1"/>
  <c r="E94" i="22"/>
  <c r="A94" i="22"/>
  <c r="D94" i="22"/>
  <c r="J94" i="22"/>
  <c r="C93" i="22"/>
  <c r="H96" i="22"/>
  <c r="M96" i="22"/>
  <c r="B92" i="22" l="1"/>
  <c r="E93" i="22"/>
  <c r="A93" i="22"/>
  <c r="D93" i="22"/>
  <c r="J93" i="22"/>
  <c r="C92" i="22"/>
  <c r="H95" i="22"/>
  <c r="M95" i="22"/>
  <c r="B91" i="22" l="1"/>
  <c r="E92" i="22"/>
  <c r="A92" i="22"/>
  <c r="D92" i="22"/>
  <c r="J92" i="22"/>
  <c r="C91" i="22"/>
  <c r="H94" i="22"/>
  <c r="M94" i="22"/>
  <c r="B90" i="22" l="1"/>
  <c r="E91" i="22"/>
  <c r="A91" i="22"/>
  <c r="D91" i="22"/>
  <c r="J91" i="22"/>
  <c r="C90" i="22"/>
  <c r="H93" i="22"/>
  <c r="M93" i="22"/>
  <c r="B89" i="22" l="1"/>
  <c r="E90" i="22"/>
  <c r="A90" i="22"/>
  <c r="D90" i="22"/>
  <c r="J90" i="22"/>
  <c r="C89" i="22"/>
  <c r="H92" i="22"/>
  <c r="M92" i="22"/>
  <c r="B88" i="22" l="1"/>
  <c r="E89" i="22"/>
  <c r="A89" i="22"/>
  <c r="D89" i="22"/>
  <c r="J89" i="22"/>
  <c r="C88" i="22"/>
  <c r="H91" i="22"/>
  <c r="M91" i="22"/>
  <c r="B87" i="22" l="1"/>
  <c r="E88" i="22"/>
  <c r="A88" i="22"/>
  <c r="D88" i="22"/>
  <c r="J88" i="22"/>
  <c r="C87" i="22"/>
  <c r="H90" i="22"/>
  <c r="M90" i="22"/>
  <c r="B86" i="22" l="1"/>
  <c r="E87" i="22"/>
  <c r="A87" i="22"/>
  <c r="D87" i="22"/>
  <c r="J87" i="22"/>
  <c r="C86" i="22"/>
  <c r="H89" i="22"/>
  <c r="M89" i="22"/>
  <c r="B85" i="22" l="1"/>
  <c r="E86" i="22"/>
  <c r="A86" i="22"/>
  <c r="D86" i="22"/>
  <c r="J86" i="22"/>
  <c r="C85" i="22"/>
  <c r="H88" i="22"/>
  <c r="M88" i="22"/>
  <c r="B84" i="22" l="1"/>
  <c r="E85" i="22"/>
  <c r="A85" i="22"/>
  <c r="D85" i="22"/>
  <c r="J85" i="22"/>
  <c r="C84" i="22"/>
  <c r="H87" i="22"/>
  <c r="M87" i="22"/>
  <c r="B83" i="22" l="1"/>
  <c r="E84" i="22"/>
  <c r="A84" i="22"/>
  <c r="D84" i="22"/>
  <c r="J84" i="22"/>
  <c r="C83" i="22"/>
  <c r="H86" i="22"/>
  <c r="M86" i="22"/>
  <c r="B82" i="22" l="1"/>
  <c r="E83" i="22"/>
  <c r="A83" i="22"/>
  <c r="D83" i="22"/>
  <c r="J83" i="22"/>
  <c r="C82" i="22"/>
  <c r="H85" i="22"/>
  <c r="M85" i="22"/>
  <c r="B81" i="22" l="1"/>
  <c r="E82" i="22"/>
  <c r="A82" i="22"/>
  <c r="D82" i="22"/>
  <c r="J82" i="22"/>
  <c r="C81" i="22"/>
  <c r="H84" i="22"/>
  <c r="M84" i="22"/>
  <c r="B80" i="22" l="1"/>
  <c r="E81" i="22"/>
  <c r="A81" i="22"/>
  <c r="D81" i="22"/>
  <c r="J81" i="22"/>
  <c r="C80" i="22"/>
  <c r="H83" i="22"/>
  <c r="M83" i="22"/>
  <c r="B79" i="22" l="1"/>
  <c r="E80" i="22"/>
  <c r="A80" i="22"/>
  <c r="D80" i="22"/>
  <c r="J80" i="22"/>
  <c r="C79" i="22"/>
  <c r="H82" i="22"/>
  <c r="M82" i="22"/>
  <c r="B78" i="22" l="1"/>
  <c r="E79" i="22"/>
  <c r="A79" i="22"/>
  <c r="D79" i="22"/>
  <c r="J79" i="22"/>
  <c r="C78" i="22"/>
  <c r="H81" i="22"/>
  <c r="M81" i="22"/>
  <c r="B77" i="22" l="1"/>
  <c r="E78" i="22"/>
  <c r="A78" i="22"/>
  <c r="D78" i="22"/>
  <c r="J78" i="22"/>
  <c r="C77" i="22"/>
  <c r="H80" i="22"/>
  <c r="M80" i="22"/>
  <c r="B76" i="22" l="1"/>
  <c r="E77" i="22"/>
  <c r="A77" i="22"/>
  <c r="D77" i="22"/>
  <c r="J77" i="22"/>
  <c r="C76" i="22"/>
  <c r="H79" i="22"/>
  <c r="M79" i="22"/>
  <c r="E76" i="22" l="1"/>
  <c r="A76" i="22"/>
  <c r="D76" i="22"/>
  <c r="J76" i="22"/>
  <c r="C75" i="22"/>
  <c r="B75" i="22"/>
  <c r="H78" i="22"/>
  <c r="M78" i="22"/>
  <c r="M77" i="22" l="1"/>
  <c r="E75" i="22"/>
  <c r="A75" i="22"/>
  <c r="D75" i="22"/>
  <c r="J75" i="22"/>
  <c r="C74" i="22"/>
  <c r="B74" i="22"/>
  <c r="H77" i="22"/>
  <c r="M76" i="22" l="1"/>
  <c r="E74" i="22"/>
  <c r="A74" i="22"/>
  <c r="D74" i="22"/>
  <c r="C73" i="22"/>
  <c r="J74" i="22"/>
  <c r="B73" i="22"/>
  <c r="H76" i="22"/>
  <c r="E73" i="22" l="1"/>
  <c r="A73" i="22"/>
  <c r="C72" i="22"/>
  <c r="J73" i="22"/>
  <c r="D73" i="22"/>
  <c r="B72" i="22"/>
  <c r="M75" i="22"/>
  <c r="H75" i="22"/>
  <c r="E72" i="22" l="1"/>
  <c r="A72" i="22"/>
  <c r="C71" i="22"/>
  <c r="J72" i="22"/>
  <c r="D72" i="22"/>
  <c r="B71" i="22"/>
  <c r="M74" i="22"/>
  <c r="H74" i="22"/>
  <c r="M73" i="22" l="1"/>
  <c r="E71" i="22"/>
  <c r="A71" i="22"/>
  <c r="C70" i="22"/>
  <c r="B70" i="22"/>
  <c r="J71" i="22"/>
  <c r="D71" i="22"/>
  <c r="H73" i="22"/>
  <c r="M72" i="22" l="1"/>
  <c r="H72" i="22"/>
  <c r="E70" i="22"/>
  <c r="A70" i="22"/>
  <c r="C69" i="22"/>
  <c r="B69" i="22"/>
  <c r="J70" i="22"/>
  <c r="D70" i="22"/>
  <c r="M71" i="22" l="1"/>
  <c r="H71" i="22"/>
  <c r="E69" i="22"/>
  <c r="A69" i="22"/>
  <c r="C68" i="22"/>
  <c r="J69" i="22"/>
  <c r="D69" i="22"/>
  <c r="B68" i="22"/>
  <c r="M70" i="22" l="1"/>
  <c r="E68" i="22"/>
  <c r="A68" i="22"/>
  <c r="C67" i="22"/>
  <c r="J68" i="22"/>
  <c r="D68" i="22"/>
  <c r="B67" i="22"/>
  <c r="H70" i="22"/>
  <c r="E67" i="22" l="1"/>
  <c r="A67" i="22"/>
  <c r="C66" i="22"/>
  <c r="B66" i="22"/>
  <c r="J67" i="22"/>
  <c r="D67" i="22"/>
  <c r="H69" i="22"/>
  <c r="M69" i="22"/>
  <c r="E66" i="22" l="1"/>
  <c r="A66" i="22"/>
  <c r="C65" i="22"/>
  <c r="B65" i="22"/>
  <c r="J66" i="22"/>
  <c r="D66" i="22"/>
  <c r="M68" i="22"/>
  <c r="H68" i="22"/>
  <c r="E65" i="22" l="1"/>
  <c r="A65" i="22"/>
  <c r="C64" i="22"/>
  <c r="J65" i="22"/>
  <c r="D65" i="22"/>
  <c r="B64" i="22"/>
  <c r="M67" i="22"/>
  <c r="H67" i="22"/>
  <c r="M66" i="22" l="1"/>
  <c r="E64" i="22"/>
  <c r="A64" i="22"/>
  <c r="J64" i="22"/>
  <c r="D64" i="22"/>
  <c r="C63" i="22"/>
  <c r="B63" i="22"/>
  <c r="E17" i="23" s="1"/>
  <c r="H66" i="22"/>
  <c r="E63" i="22" l="1"/>
  <c r="F64" i="22" s="1"/>
  <c r="A63" i="22"/>
  <c r="D63" i="22"/>
  <c r="J63" i="22"/>
  <c r="H65" i="22"/>
  <c r="L64" i="22"/>
  <c r="M65" i="22"/>
  <c r="L63" i="22" l="1"/>
  <c r="M64" i="22"/>
  <c r="K120" i="22"/>
  <c r="K122" i="22"/>
  <c r="K63" i="22"/>
  <c r="L120" i="22"/>
  <c r="L119" i="22"/>
  <c r="L121" i="22"/>
  <c r="K119" i="22"/>
  <c r="L122" i="22"/>
  <c r="K121" i="22"/>
  <c r="L118" i="22"/>
  <c r="L117" i="22"/>
  <c r="K118" i="22"/>
  <c r="K117" i="22"/>
  <c r="K116" i="22"/>
  <c r="L116" i="22"/>
  <c r="K115" i="22"/>
  <c r="L115" i="22"/>
  <c r="L114" i="22"/>
  <c r="K114" i="22"/>
  <c r="L113" i="22"/>
  <c r="K113" i="22"/>
  <c r="L112" i="22"/>
  <c r="K112" i="22"/>
  <c r="L111" i="22"/>
  <c r="K111" i="22"/>
  <c r="L110" i="22"/>
  <c r="K110" i="22"/>
  <c r="L109" i="22"/>
  <c r="K109" i="22"/>
  <c r="L108" i="22"/>
  <c r="K108" i="22"/>
  <c r="L107" i="22"/>
  <c r="K107" i="22"/>
  <c r="L106" i="22"/>
  <c r="K106" i="22"/>
  <c r="L105" i="22"/>
  <c r="K105" i="22"/>
  <c r="K104" i="22"/>
  <c r="L104" i="22"/>
  <c r="K103" i="22"/>
  <c r="L103" i="22"/>
  <c r="K102" i="22"/>
  <c r="L102" i="22"/>
  <c r="L101" i="22"/>
  <c r="K101" i="22"/>
  <c r="L100" i="22"/>
  <c r="K100" i="22"/>
  <c r="K99" i="22"/>
  <c r="L99" i="22"/>
  <c r="L98" i="22"/>
  <c r="K98" i="22"/>
  <c r="L97" i="22"/>
  <c r="K97" i="22"/>
  <c r="K96" i="22"/>
  <c r="L96" i="22"/>
  <c r="L95" i="22"/>
  <c r="K95" i="22"/>
  <c r="L94" i="22"/>
  <c r="K94" i="22"/>
  <c r="L93" i="22"/>
  <c r="K93" i="22"/>
  <c r="K92" i="22"/>
  <c r="L92" i="22"/>
  <c r="L91" i="22"/>
  <c r="K91" i="22"/>
  <c r="K90" i="22"/>
  <c r="L90" i="22"/>
  <c r="L89" i="22"/>
  <c r="K89" i="22"/>
  <c r="K88" i="22"/>
  <c r="L88" i="22"/>
  <c r="K87" i="22"/>
  <c r="L87" i="22"/>
  <c r="K86" i="22"/>
  <c r="L86" i="22"/>
  <c r="K85" i="22"/>
  <c r="L85" i="22"/>
  <c r="L84" i="22"/>
  <c r="K84" i="22"/>
  <c r="L83" i="22"/>
  <c r="K83" i="22"/>
  <c r="L82" i="22"/>
  <c r="K82" i="22"/>
  <c r="L81" i="22"/>
  <c r="K81" i="22"/>
  <c r="L80" i="22"/>
  <c r="K80" i="22"/>
  <c r="L79" i="22"/>
  <c r="K79" i="22"/>
  <c r="K78" i="22"/>
  <c r="L78" i="22"/>
  <c r="L77" i="22"/>
  <c r="K77" i="22"/>
  <c r="L76" i="22"/>
  <c r="K76" i="22"/>
  <c r="L75" i="22"/>
  <c r="K75" i="22"/>
  <c r="L74" i="22"/>
  <c r="K74" i="22"/>
  <c r="L73" i="22"/>
  <c r="K73" i="22"/>
  <c r="L72" i="22"/>
  <c r="K72" i="22"/>
  <c r="L71" i="22"/>
  <c r="K71" i="22"/>
  <c r="L70" i="22"/>
  <c r="K70" i="22"/>
  <c r="K69" i="22"/>
  <c r="L69" i="22"/>
  <c r="K68" i="22"/>
  <c r="L68" i="22"/>
  <c r="L67" i="22"/>
  <c r="K67" i="22"/>
  <c r="L66" i="22"/>
  <c r="K66" i="22"/>
  <c r="L65" i="22"/>
  <c r="K65" i="22"/>
  <c r="K64" i="22"/>
  <c r="G64" i="22"/>
  <c r="N65" i="22" a="1"/>
  <c r="N65" i="22" s="1"/>
  <c r="G121" i="22"/>
  <c r="G119" i="22"/>
  <c r="G120" i="22"/>
  <c r="H64" i="22"/>
  <c r="I65" i="22" s="1" a="1"/>
  <c r="I65" i="22" s="1"/>
  <c r="G63" i="22"/>
  <c r="F63" i="22"/>
  <c r="F120" i="22"/>
  <c r="F121" i="22"/>
  <c r="F122" i="22"/>
  <c r="G122" i="22"/>
  <c r="F119" i="22"/>
  <c r="F117" i="22"/>
  <c r="G117" i="22"/>
  <c r="F118" i="22"/>
  <c r="G118" i="22"/>
  <c r="F116" i="22"/>
  <c r="G116" i="22"/>
  <c r="G115" i="22"/>
  <c r="F115" i="22"/>
  <c r="G114" i="22"/>
  <c r="F114" i="22"/>
  <c r="F113" i="22"/>
  <c r="G113" i="22"/>
  <c r="F112" i="22"/>
  <c r="G112" i="22"/>
  <c r="F111" i="22"/>
  <c r="G111" i="22"/>
  <c r="G110" i="22"/>
  <c r="F110" i="22"/>
  <c r="G109" i="22"/>
  <c r="F109" i="22"/>
  <c r="G108" i="22"/>
  <c r="F108" i="22"/>
  <c r="F107" i="22"/>
  <c r="G107" i="22"/>
  <c r="G106" i="22"/>
  <c r="F106" i="22"/>
  <c r="F105" i="22"/>
  <c r="G105" i="22"/>
  <c r="F104" i="22"/>
  <c r="G104" i="22"/>
  <c r="G103" i="22"/>
  <c r="F103" i="22"/>
  <c r="G102" i="22"/>
  <c r="F102" i="22"/>
  <c r="G101" i="22"/>
  <c r="F101" i="22"/>
  <c r="G100" i="22"/>
  <c r="F100" i="22"/>
  <c r="G99" i="22"/>
  <c r="F99" i="22"/>
  <c r="G98" i="22"/>
  <c r="F98" i="22"/>
  <c r="G97" i="22"/>
  <c r="F97" i="22"/>
  <c r="G96" i="22"/>
  <c r="F96" i="22"/>
  <c r="G95" i="22"/>
  <c r="F95" i="22"/>
  <c r="G94" i="22"/>
  <c r="F94" i="22"/>
  <c r="G93" i="22"/>
  <c r="F93" i="22"/>
  <c r="G92" i="22"/>
  <c r="F92" i="22"/>
  <c r="G91" i="22"/>
  <c r="F91" i="22"/>
  <c r="G90" i="22"/>
  <c r="F90" i="22"/>
  <c r="G89" i="22"/>
  <c r="F89" i="22"/>
  <c r="G88" i="22"/>
  <c r="F88" i="22"/>
  <c r="G87" i="22"/>
  <c r="F87" i="22"/>
  <c r="G86" i="22"/>
  <c r="F86" i="22"/>
  <c r="G85" i="22"/>
  <c r="F85" i="22"/>
  <c r="G84" i="22"/>
  <c r="F84" i="22"/>
  <c r="G83" i="22"/>
  <c r="F83" i="22"/>
  <c r="G82" i="22"/>
  <c r="F82" i="22"/>
  <c r="G81" i="22"/>
  <c r="F81" i="22"/>
  <c r="G80" i="22"/>
  <c r="F80" i="22"/>
  <c r="G79" i="22"/>
  <c r="F79" i="22"/>
  <c r="G78" i="22"/>
  <c r="F78" i="22"/>
  <c r="G77" i="22"/>
  <c r="F77" i="22"/>
  <c r="G76" i="22"/>
  <c r="F76" i="22"/>
  <c r="G75" i="22"/>
  <c r="F75" i="22"/>
  <c r="G74" i="22"/>
  <c r="F74" i="22"/>
  <c r="G73" i="22"/>
  <c r="F73" i="22"/>
  <c r="F72" i="22"/>
  <c r="G72" i="22"/>
  <c r="G71" i="22"/>
  <c r="F71" i="22"/>
  <c r="G70" i="22"/>
  <c r="F70" i="22"/>
  <c r="G69" i="22"/>
  <c r="F69" i="22"/>
  <c r="F68" i="22"/>
  <c r="G68" i="22"/>
  <c r="G67" i="22"/>
  <c r="F67" i="22"/>
  <c r="G66" i="22"/>
  <c r="F66" i="22"/>
  <c r="G65" i="22"/>
  <c r="F65" i="22"/>
  <c r="N64" i="22" l="1" a="1"/>
  <c r="N64" i="22" s="1"/>
  <c r="N63" i="22" a="1"/>
  <c r="N63" i="22" s="1"/>
  <c r="N121" i="22" a="1"/>
  <c r="N121" i="22" s="1"/>
  <c r="N120" i="22" a="1"/>
  <c r="N120" i="22" s="1"/>
  <c r="N122" i="22" a="1"/>
  <c r="N122" i="22" s="1"/>
  <c r="N118" i="22" a="1"/>
  <c r="N118" i="22" s="1"/>
  <c r="N119" i="22" a="1"/>
  <c r="N119" i="22" s="1"/>
  <c r="N117" i="22" a="1"/>
  <c r="N117" i="22" s="1"/>
  <c r="N116" i="22" a="1"/>
  <c r="N116" i="22" s="1"/>
  <c r="N115" i="22" a="1"/>
  <c r="N115" i="22" s="1"/>
  <c r="B286" i="26" s="1" a="1"/>
  <c r="B286" i="26" s="1"/>
  <c r="C286" i="26" s="1"/>
  <c r="N114" i="22" a="1"/>
  <c r="N114" i="22" s="1"/>
  <c r="N113" i="22" a="1"/>
  <c r="N113" i="22" s="1"/>
  <c r="N112" i="22" a="1"/>
  <c r="N112" i="22" s="1"/>
  <c r="N111" i="22" a="1"/>
  <c r="N111" i="22" s="1"/>
  <c r="N110" i="22" a="1"/>
  <c r="N110" i="22" s="1"/>
  <c r="N109" i="22" a="1"/>
  <c r="N109" i="22" s="1"/>
  <c r="N108" i="22" a="1"/>
  <c r="N108" i="22" s="1"/>
  <c r="N107" i="22" a="1"/>
  <c r="N107" i="22" s="1"/>
  <c r="N106" i="22" a="1"/>
  <c r="N106" i="22" s="1"/>
  <c r="N105" i="22" a="1"/>
  <c r="N105" i="22" s="1"/>
  <c r="N104" i="22" a="1"/>
  <c r="N104" i="22" s="1"/>
  <c r="N103" i="22" a="1"/>
  <c r="N103" i="22" s="1"/>
  <c r="N102" i="22" a="1"/>
  <c r="N102" i="22" s="1"/>
  <c r="N101" i="22" a="1"/>
  <c r="N101" i="22" s="1"/>
  <c r="N100" i="22" a="1"/>
  <c r="N100" i="22" s="1"/>
  <c r="N99" i="22" a="1"/>
  <c r="N99" i="22" s="1"/>
  <c r="N98" i="22" a="1"/>
  <c r="N98" i="22" s="1"/>
  <c r="N97" i="22" a="1"/>
  <c r="N97" i="22" s="1"/>
  <c r="N96" i="22" a="1"/>
  <c r="N96" i="22" s="1"/>
  <c r="N95" i="22" a="1"/>
  <c r="N95" i="22" s="1"/>
  <c r="N94" i="22" a="1"/>
  <c r="N94" i="22" s="1"/>
  <c r="N93" i="22" a="1"/>
  <c r="N93" i="22" s="1"/>
  <c r="N92" i="22" a="1"/>
  <c r="N92" i="22" s="1"/>
  <c r="N91" i="22" a="1"/>
  <c r="N91" i="22" s="1"/>
  <c r="N90" i="22" a="1"/>
  <c r="N90" i="22" s="1"/>
  <c r="N89" i="22" a="1"/>
  <c r="N89" i="22" s="1"/>
  <c r="N88" i="22" a="1"/>
  <c r="N88" i="22" s="1"/>
  <c r="N87" i="22" a="1"/>
  <c r="N87" i="22" s="1"/>
  <c r="N86" i="22" a="1"/>
  <c r="N86" i="22" s="1"/>
  <c r="N85" i="22" a="1"/>
  <c r="N85" i="22" s="1"/>
  <c r="N84" i="22" a="1"/>
  <c r="N84" i="22" s="1"/>
  <c r="N83" i="22" a="1"/>
  <c r="N83" i="22" s="1"/>
  <c r="N82" i="22" a="1"/>
  <c r="N82" i="22" s="1"/>
  <c r="N81" i="22" a="1"/>
  <c r="N81" i="22" s="1"/>
  <c r="N80" i="22" a="1"/>
  <c r="N80" i="22" s="1"/>
  <c r="N79" i="22" a="1"/>
  <c r="N79" i="22" s="1"/>
  <c r="N78" i="22" a="1"/>
  <c r="N78" i="22" s="1"/>
  <c r="N77" i="22" a="1"/>
  <c r="N77" i="22" s="1"/>
  <c r="N76" i="22" a="1"/>
  <c r="N76" i="22" s="1"/>
  <c r="N75" i="22" a="1"/>
  <c r="N75" i="22" s="1"/>
  <c r="N74" i="22" a="1"/>
  <c r="N74" i="22" s="1"/>
  <c r="N73" i="22" a="1"/>
  <c r="N73" i="22" s="1"/>
  <c r="N72" i="22" a="1"/>
  <c r="N72" i="22" s="1"/>
  <c r="N71" i="22" a="1"/>
  <c r="N71" i="22" s="1"/>
  <c r="N70" i="22" a="1"/>
  <c r="N70" i="22" s="1"/>
  <c r="N69" i="22" a="1"/>
  <c r="N69" i="22" s="1"/>
  <c r="N68" i="22" a="1"/>
  <c r="N68" i="22" s="1"/>
  <c r="N67" i="22" a="1"/>
  <c r="N67" i="22" s="1"/>
  <c r="N66" i="22" a="1"/>
  <c r="N66" i="22" s="1"/>
  <c r="I64" i="22" a="1"/>
  <c r="I64" i="22" s="1"/>
  <c r="I63" i="22" a="1"/>
  <c r="I63" i="22" s="1"/>
  <c r="I120" i="22" a="1"/>
  <c r="I120" i="22" s="1"/>
  <c r="I121" i="22" a="1"/>
  <c r="I121" i="22" s="1"/>
  <c r="I122" i="22" a="1"/>
  <c r="I122" i="22" s="1"/>
  <c r="I119" i="22" a="1"/>
  <c r="I119" i="22" s="1"/>
  <c r="I118" i="22" a="1"/>
  <c r="I118" i="22" s="1"/>
  <c r="I117" i="22" a="1"/>
  <c r="I117" i="22" s="1"/>
  <c r="I116" i="22" a="1"/>
  <c r="I116" i="22" s="1"/>
  <c r="I115" i="22" a="1"/>
  <c r="I115" i="22" s="1"/>
  <c r="B274" i="26" s="1" a="1"/>
  <c r="B274" i="26" s="1"/>
  <c r="C274" i="26" s="1"/>
  <c r="I114" i="22" a="1"/>
  <c r="I114" i="22" s="1"/>
  <c r="I113" i="22" a="1"/>
  <c r="I113" i="22" s="1"/>
  <c r="I112" i="22" a="1"/>
  <c r="I112" i="22" s="1"/>
  <c r="I111" i="22" a="1"/>
  <c r="I111" i="22" s="1"/>
  <c r="I110" i="22" a="1"/>
  <c r="I110" i="22" s="1"/>
  <c r="I109" i="22" a="1"/>
  <c r="I109" i="22" s="1"/>
  <c r="I108" i="22" a="1"/>
  <c r="I108" i="22" s="1"/>
  <c r="I107" i="22" a="1"/>
  <c r="I107" i="22" s="1"/>
  <c r="I106" i="22" a="1"/>
  <c r="I106" i="22" s="1"/>
  <c r="I105" i="22" a="1"/>
  <c r="I105" i="22" s="1"/>
  <c r="I104" i="22" a="1"/>
  <c r="I104" i="22" s="1"/>
  <c r="I103" i="22" a="1"/>
  <c r="I103" i="22" s="1"/>
  <c r="I102" i="22" a="1"/>
  <c r="I102" i="22" s="1"/>
  <c r="I101" i="22" a="1"/>
  <c r="I101" i="22" s="1"/>
  <c r="I100" i="22" a="1"/>
  <c r="I100" i="22" s="1"/>
  <c r="I99" i="22" a="1"/>
  <c r="I99" i="22" s="1"/>
  <c r="I98" i="22" a="1"/>
  <c r="I98" i="22" s="1"/>
  <c r="I97" i="22" a="1"/>
  <c r="I97" i="22" s="1"/>
  <c r="I96" i="22" a="1"/>
  <c r="I96" i="22" s="1"/>
  <c r="I95" i="22" a="1"/>
  <c r="I95" i="22" s="1"/>
  <c r="I94" i="22" a="1"/>
  <c r="I94" i="22" s="1"/>
  <c r="I93" i="22" a="1"/>
  <c r="I93" i="22" s="1"/>
  <c r="I92" i="22" a="1"/>
  <c r="I92" i="22" s="1"/>
  <c r="I91" i="22" a="1"/>
  <c r="I91" i="22" s="1"/>
  <c r="I90" i="22" a="1"/>
  <c r="I90" i="22" s="1"/>
  <c r="I89" i="22" a="1"/>
  <c r="I89" i="22" s="1"/>
  <c r="I88" i="22" a="1"/>
  <c r="I88" i="22" s="1"/>
  <c r="I87" i="22" a="1"/>
  <c r="I87" i="22" s="1"/>
  <c r="I86" i="22" a="1"/>
  <c r="I86" i="22" s="1"/>
  <c r="I85" i="22" a="1"/>
  <c r="I85" i="22" s="1"/>
  <c r="I84" i="22" a="1"/>
  <c r="I84" i="22" s="1"/>
  <c r="I83" i="22" a="1"/>
  <c r="I83" i="22" s="1"/>
  <c r="I82" i="22" a="1"/>
  <c r="I82" i="22" s="1"/>
  <c r="I81" i="22" a="1"/>
  <c r="I81" i="22" s="1"/>
  <c r="I80" i="22" a="1"/>
  <c r="I80" i="22" s="1"/>
  <c r="I79" i="22" a="1"/>
  <c r="I79" i="22" s="1"/>
  <c r="I78" i="22" a="1"/>
  <c r="I78" i="22" s="1"/>
  <c r="I77" i="22" a="1"/>
  <c r="I77" i="22" s="1"/>
  <c r="I76" i="22" a="1"/>
  <c r="I76" i="22" s="1"/>
  <c r="I75" i="22" a="1"/>
  <c r="I75" i="22" s="1"/>
  <c r="I74" i="22" a="1"/>
  <c r="I74" i="22" s="1"/>
  <c r="I73" i="22" a="1"/>
  <c r="I73" i="22" s="1"/>
  <c r="I72" i="22" a="1"/>
  <c r="I72" i="22" s="1"/>
  <c r="I71" i="22" a="1"/>
  <c r="I71" i="22" s="1"/>
  <c r="I70" i="22" a="1"/>
  <c r="I70" i="22" s="1"/>
  <c r="I69" i="22" a="1"/>
  <c r="I69" i="22" s="1"/>
  <c r="I68" i="22" a="1"/>
  <c r="I68" i="22" s="1"/>
  <c r="I67" i="22" a="1"/>
  <c r="I67" i="22" s="1"/>
  <c r="I66" i="22" a="1"/>
  <c r="I66" i="22" s="1"/>
</calcChain>
</file>

<file path=xl/comments1.xml><?xml version="1.0" encoding="utf-8"?>
<comments xmlns="http://schemas.openxmlformats.org/spreadsheetml/2006/main">
  <authors>
    <author>Author</author>
  </authors>
  <commentList>
    <comment ref="B17" authorId="0">
      <text>
        <r>
          <rPr>
            <sz val="9"/>
            <color indexed="81"/>
            <rFont val="Tahoma"/>
            <family val="2"/>
          </rPr>
          <t>End</t>
        </r>
      </text>
    </comment>
  </commentList>
</comments>
</file>

<file path=xl/sharedStrings.xml><?xml version="1.0" encoding="utf-8"?>
<sst xmlns="http://schemas.openxmlformats.org/spreadsheetml/2006/main" count="1536" uniqueCount="1043">
  <si>
    <t>Name</t>
  </si>
  <si>
    <t>Date</t>
  </si>
  <si>
    <t>Total Followers</t>
  </si>
  <si>
    <t>Location</t>
  </si>
  <si>
    <t>Followers</t>
  </si>
  <si>
    <t>Friends</t>
  </si>
  <si>
    <t>Klout Score</t>
  </si>
  <si>
    <t>Madrid</t>
  </si>
  <si>
    <t>London</t>
  </si>
  <si>
    <t>Singapore</t>
  </si>
  <si>
    <t>Paris</t>
  </si>
  <si>
    <t>Buenos Aires</t>
  </si>
  <si>
    <t>Adelaide</t>
  </si>
  <si>
    <t>Sydney</t>
  </si>
  <si>
    <t>Moscow</t>
  </si>
  <si>
    <t>Dublin</t>
  </si>
  <si>
    <t>Arizona</t>
  </si>
  <si>
    <t>Amsterdam</t>
  </si>
  <si>
    <t>Bucharest</t>
  </si>
  <si>
    <t>Tokyo</t>
  </si>
  <si>
    <t>Budapest</t>
  </si>
  <si>
    <t>Lisbon</t>
  </si>
  <si>
    <t>Mid-Atlantic</t>
  </si>
  <si>
    <t>Kolkata</t>
  </si>
  <si>
    <t>Brisbane</t>
  </si>
  <si>
    <t>Mexico City</t>
  </si>
  <si>
    <t>Berlin</t>
  </si>
  <si>
    <t>Bangkok</t>
  </si>
  <si>
    <t>Caracas</t>
  </si>
  <si>
    <t>Zagreb</t>
  </si>
  <si>
    <t>New Delhi</t>
  </si>
  <si>
    <t>Stockholm</t>
  </si>
  <si>
    <t>Melbourne</t>
  </si>
  <si>
    <t>Edinburgh</t>
  </si>
  <si>
    <t>Beijing</t>
  </si>
  <si>
    <t>Athens</t>
  </si>
  <si>
    <t>Bogota</t>
  </si>
  <si>
    <t>Mumbai</t>
  </si>
  <si>
    <t>Jakarta</t>
  </si>
  <si>
    <t>Brussels</t>
  </si>
  <si>
    <t>Chennai</t>
  </si>
  <si>
    <t>Belgrade</t>
  </si>
  <si>
    <t>Istanbul</t>
  </si>
  <si>
    <t>Hobart</t>
  </si>
  <si>
    <t>Hawaii</t>
  </si>
  <si>
    <t>Eastern Time (US &amp; Canada)</t>
  </si>
  <si>
    <t>Quito</t>
  </si>
  <si>
    <t>Seoul</t>
  </si>
  <si>
    <t>Pacific Time (US &amp; Canada)</t>
  </si>
  <si>
    <t>Central Time (US &amp; Canada)</t>
  </si>
  <si>
    <t>Mountain Time (US &amp; Canada)</t>
  </si>
  <si>
    <t>Alaska</t>
  </si>
  <si>
    <t>Greenland</t>
  </si>
  <si>
    <t>Dhaka</t>
  </si>
  <si>
    <t>Brasilia</t>
  </si>
  <si>
    <t>Abu Dhabi</t>
  </si>
  <si>
    <t>Karachi</t>
  </si>
  <si>
    <t>Indiana (East)</t>
  </si>
  <si>
    <t>Prague</t>
  </si>
  <si>
    <t>Copenhagen</t>
  </si>
  <si>
    <t>Rome</t>
  </si>
  <si>
    <t>Bern</t>
  </si>
  <si>
    <t>Pretoria</t>
  </si>
  <si>
    <t>Riyadh</t>
  </si>
  <si>
    <t>Tehran</t>
  </si>
  <si>
    <t>Azores</t>
  </si>
  <si>
    <t>Vienna</t>
  </si>
  <si>
    <t>Sofia</t>
  </si>
  <si>
    <t>La Paz</t>
  </si>
  <si>
    <t>Islamabad</t>
  </si>
  <si>
    <t>Central America</t>
  </si>
  <si>
    <t>Kuala Lumpur</t>
  </si>
  <si>
    <t>Hanoi</t>
  </si>
  <si>
    <t>Hong Kong</t>
  </si>
  <si>
    <t>Atlantic Time (Canada)</t>
  </si>
  <si>
    <t>Bratislava</t>
  </si>
  <si>
    <t>Vilnius</t>
  </si>
  <si>
    <t>Tijuana</t>
  </si>
  <si>
    <t>Taipei</t>
  </si>
  <si>
    <t>Helsinki</t>
  </si>
  <si>
    <t>St. Petersburg</t>
  </si>
  <si>
    <t>Jerusalem</t>
  </si>
  <si>
    <t>Nairobi</t>
  </si>
  <si>
    <t>Riga</t>
  </si>
  <si>
    <t>Novosibirsk</t>
  </si>
  <si>
    <t>Casablanca</t>
  </si>
  <si>
    <t>Georgetown</t>
  </si>
  <si>
    <t>Auckland</t>
  </si>
  <si>
    <t>Lima</t>
  </si>
  <si>
    <t>Perth</t>
  </si>
  <si>
    <t>West Central Africa</t>
  </si>
  <si>
    <t>Kuwait</t>
  </si>
  <si>
    <t>Sarajevo</t>
  </si>
  <si>
    <t>International Date Line West</t>
  </si>
  <si>
    <t>Warsaw</t>
  </si>
  <si>
    <t>Canberra</t>
  </si>
  <si>
    <t>Cairo</t>
  </si>
  <si>
    <t>Kyiv</t>
  </si>
  <si>
    <t>Osaka</t>
  </si>
  <si>
    <t>Tallinn</t>
  </si>
  <si>
    <t>Astana</t>
  </si>
  <si>
    <t>Muscat</t>
  </si>
  <si>
    <t>Guam</t>
  </si>
  <si>
    <t>Sri Jayawardenepura</t>
  </si>
  <si>
    <t>Kathmandu</t>
  </si>
  <si>
    <t>Ljubljana</t>
  </si>
  <si>
    <t>Chihuahua</t>
  </si>
  <si>
    <t>Position</t>
  </si>
  <si>
    <t>Last Tweeted</t>
  </si>
  <si>
    <t>Created At</t>
  </si>
  <si>
    <t>Time Zone</t>
  </si>
  <si>
    <t>Tweets</t>
  </si>
  <si>
    <t>Listed</t>
  </si>
  <si>
    <t>URL</t>
  </si>
  <si>
    <t>Description</t>
  </si>
  <si>
    <t>Screen Name</t>
  </si>
  <si>
    <t>GMT+13:00</t>
  </si>
  <si>
    <t>(GMT+13:00) Nuku'alofa</t>
  </si>
  <si>
    <t>Nuku'alofa</t>
  </si>
  <si>
    <t>GMT+12:00</t>
  </si>
  <si>
    <t>(GMT+12:00) Wellington</t>
  </si>
  <si>
    <t>Wellington</t>
  </si>
  <si>
    <t>(GMT+12:00) Marshall Is.</t>
  </si>
  <si>
    <t>Marshall Is.</t>
  </si>
  <si>
    <t>(GMT+12:00) Kamchatka</t>
  </si>
  <si>
    <t>Kamchatka</t>
  </si>
  <si>
    <t>(GMT+12:00) Fiji</t>
  </si>
  <si>
    <t>Fiji</t>
  </si>
  <si>
    <t>(GMT+12:00) Auckland</t>
  </si>
  <si>
    <t>GMT+11:00</t>
  </si>
  <si>
    <t>(GMT+11:00) Solomon Is.</t>
  </si>
  <si>
    <t>Solomon Is.</t>
  </si>
  <si>
    <t>(GMT+11:00) New Caledonia</t>
  </si>
  <si>
    <t>New Caledonia</t>
  </si>
  <si>
    <t>(GMT+11:00) Magadan</t>
  </si>
  <si>
    <t>Magadan</t>
  </si>
  <si>
    <t>GMT+10:00</t>
  </si>
  <si>
    <t>(GMT+10:00) Vladivostok</t>
  </si>
  <si>
    <t>Vladivostok</t>
  </si>
  <si>
    <t>(GMT+10:00) Sydney</t>
  </si>
  <si>
    <t>(GMT+10:00) Port Moresby</t>
  </si>
  <si>
    <t>Port Moresby</t>
  </si>
  <si>
    <t>(GMT+10:00) Melbourne</t>
  </si>
  <si>
    <t>(GMT+10:00) Hobart</t>
  </si>
  <si>
    <t>(GMT+10:00) Guam</t>
  </si>
  <si>
    <t>(GMT+10:00) Canberra</t>
  </si>
  <si>
    <t>(GMT+10:00) Brisbane</t>
  </si>
  <si>
    <t>GMT+09:30</t>
  </si>
  <si>
    <t>(GMT+09:30) Darwin</t>
  </si>
  <si>
    <t>Darwin</t>
  </si>
  <si>
    <t>(GMT+09:30) Adelaide</t>
  </si>
  <si>
    <t>GMT+09:00</t>
  </si>
  <si>
    <t>(GMT+09:00) Yakutsk</t>
  </si>
  <si>
    <t>Yakutsk</t>
  </si>
  <si>
    <t>(GMT+09:00) Tokyo</t>
  </si>
  <si>
    <t>(GMT+09:00) Seoul</t>
  </si>
  <si>
    <t>(GMT+09:00) Sapporo</t>
  </si>
  <si>
    <t>Sapporo</t>
  </si>
  <si>
    <t>(GMT+09:00) Osaka</t>
  </si>
  <si>
    <t>GMT+08:00</t>
  </si>
  <si>
    <t>(GMT+08:00) Urumqi</t>
  </si>
  <si>
    <t>Urumqi</t>
  </si>
  <si>
    <t>(GMT+08:00) Ulaan Bataar</t>
  </si>
  <si>
    <t>Ulaan Bataar</t>
  </si>
  <si>
    <t>(GMT+08:00) Taipei</t>
  </si>
  <si>
    <t>(GMT+08:00) Singapore</t>
  </si>
  <si>
    <t>(GMT+08:00) Perth</t>
  </si>
  <si>
    <t>(GMT+08:00) Kuala Lumpur</t>
  </si>
  <si>
    <t>(GMT+08:00) Irkutsk</t>
  </si>
  <si>
    <t>Irkutsk</t>
  </si>
  <si>
    <t>(GMT+08:00) Hong Kong</t>
  </si>
  <si>
    <t>(GMT+08:00) Chongqing</t>
  </si>
  <si>
    <t>Chongqing</t>
  </si>
  <si>
    <t>(GMT+08:00) Beijing</t>
  </si>
  <si>
    <t>GMT+07:00</t>
  </si>
  <si>
    <t>(GMT+07:00) Krasnoyarsk</t>
  </si>
  <si>
    <t>Krasnoyarsk</t>
  </si>
  <si>
    <t>(GMT+07:00) Jakarta</t>
  </si>
  <si>
    <t>(GMT+07:00) Hanoi</t>
  </si>
  <si>
    <t>(GMT+07:00) Bangkok</t>
  </si>
  <si>
    <t>GMT+06:30</t>
  </si>
  <si>
    <t>(GMT+06:30) Rangoon</t>
  </si>
  <si>
    <t>Rangoon</t>
  </si>
  <si>
    <t>GMT+06:00</t>
  </si>
  <si>
    <t>(GMT+06:00) Sri Jayawardenepura</t>
  </si>
  <si>
    <t>(GMT+06:00) Novosibirsk</t>
  </si>
  <si>
    <t>(GMT+06:00) Dhaka</t>
  </si>
  <si>
    <t>(GMT+06:00) Astana</t>
  </si>
  <si>
    <t>(GMT+06:00) Almaty</t>
  </si>
  <si>
    <t>Almaty</t>
  </si>
  <si>
    <t>GMT+05:45</t>
  </si>
  <si>
    <t>(GMT+05:45) Kathmandu</t>
  </si>
  <si>
    <t>GMT+05:30</t>
  </si>
  <si>
    <t>(GMT+05:30) New Delhi</t>
  </si>
  <si>
    <t>(GMT+05:30) Mumbai</t>
  </si>
  <si>
    <t>(GMT+05:30) Kolkata</t>
  </si>
  <si>
    <t>(GMT+05:30) Chennai</t>
  </si>
  <si>
    <t>GMT+05:00</t>
  </si>
  <si>
    <t>(GMT+05:00) Tashkent</t>
  </si>
  <si>
    <t>Tashkent</t>
  </si>
  <si>
    <t>(GMT+05:00) Karachi</t>
  </si>
  <si>
    <t>(GMT+05:00) Islamabad</t>
  </si>
  <si>
    <t>(GMT+05:00) Ekaterinburg</t>
  </si>
  <si>
    <t>Ekaterinburg</t>
  </si>
  <si>
    <t>GMT+04:30</t>
  </si>
  <si>
    <t>(GMT+04:30) Kabul</t>
  </si>
  <si>
    <t>Kabul</t>
  </si>
  <si>
    <t>GMT+04:00</t>
  </si>
  <si>
    <t>(GMT+04:00) Yerevan</t>
  </si>
  <si>
    <t>Yerevan</t>
  </si>
  <si>
    <t>(GMT+04:00) Tbilisi</t>
  </si>
  <si>
    <t>Tbilisi</t>
  </si>
  <si>
    <t>(GMT+04:00) Muscat</t>
  </si>
  <si>
    <t>(GMT+04:00) Baku</t>
  </si>
  <si>
    <t>Baku</t>
  </si>
  <si>
    <t>(GMT+04:00) Abu Dhabi</t>
  </si>
  <si>
    <t>GMT+03:30</t>
  </si>
  <si>
    <t>(GMT+03:30) Tehran</t>
  </si>
  <si>
    <t>GMT+03:00</t>
  </si>
  <si>
    <t>(GMT+03:00) Volgograd</t>
  </si>
  <si>
    <t>Volgograd</t>
  </si>
  <si>
    <t>(GMT+03:00) St. Petersburg</t>
  </si>
  <si>
    <t>(GMT+03:00) Riyadh</t>
  </si>
  <si>
    <t>(GMT+03:00) Nairobi</t>
  </si>
  <si>
    <t>(GMT+03:00) Moscow</t>
  </si>
  <si>
    <t>(GMT+03:00) Kuwait</t>
  </si>
  <si>
    <t>(GMT+03:00) Baghdad</t>
  </si>
  <si>
    <t>Baghdad</t>
  </si>
  <si>
    <t>GMT+02:00</t>
  </si>
  <si>
    <t>(GMT+02:00) Vilnius</t>
  </si>
  <si>
    <t>(GMT+02:00) Tallinn</t>
  </si>
  <si>
    <t>(GMT+02:00) Sofia</t>
  </si>
  <si>
    <t>(GMT+02:00) Riga</t>
  </si>
  <si>
    <t>(GMT+02:00) Pretoria</t>
  </si>
  <si>
    <t>(GMT+02:00) Minsk</t>
  </si>
  <si>
    <t>Minsk</t>
  </si>
  <si>
    <t>(GMT+02:00) Kyiv</t>
  </si>
  <si>
    <t>(GMT+02:00) Jerusalem</t>
  </si>
  <si>
    <t>(GMT+02:00) Istanbul</t>
  </si>
  <si>
    <t>(GMT+02:00) Helsinki</t>
  </si>
  <si>
    <t>(GMT+02:00) Harare</t>
  </si>
  <si>
    <t>Harare</t>
  </si>
  <si>
    <t>(GMT+02:00) Cairo</t>
  </si>
  <si>
    <t>(GMT+02:00) Bucharest</t>
  </si>
  <si>
    <t>(GMT+02:00) Athens</t>
  </si>
  <si>
    <t>GMT+01:00</t>
  </si>
  <si>
    <t>(GMT+01:00) Zagreb</t>
  </si>
  <si>
    <t>(GMT+01:00) West Central Africa</t>
  </si>
  <si>
    <t>(GMT+01:00) Warsaw</t>
  </si>
  <si>
    <t>(GMT+01:00) Vienna</t>
  </si>
  <si>
    <t>(GMT+01:00) Stockholm</t>
  </si>
  <si>
    <t>(GMT+01:00) Skopje</t>
  </si>
  <si>
    <t>Skopje</t>
  </si>
  <si>
    <t>(GMT+01:00) Sarajevo</t>
  </si>
  <si>
    <t>(GMT+01:00) Rome</t>
  </si>
  <si>
    <t>(GMT+01:00) Prague</t>
  </si>
  <si>
    <t>(GMT+01:00) Paris</t>
  </si>
  <si>
    <t>(GMT+01:00) Madrid</t>
  </si>
  <si>
    <t>(GMT+01:00) Ljubljana</t>
  </si>
  <si>
    <t>(GMT+01:00) Copenhagen</t>
  </si>
  <si>
    <t>(GMT+01:00) Budapest</t>
  </si>
  <si>
    <t>(GMT+01:00) Brussels</t>
  </si>
  <si>
    <t>(GMT+01:00) Bratislava</t>
  </si>
  <si>
    <t>(GMT+01:00) Bern</t>
  </si>
  <si>
    <t>(GMT+01:00) Berlin</t>
  </si>
  <si>
    <t>(GMT+01:00) Belgrade</t>
  </si>
  <si>
    <t>(GMT+01:00) Amsterdam</t>
  </si>
  <si>
    <t>GMT</t>
  </si>
  <si>
    <t>(GMT) Monrovia</t>
  </si>
  <si>
    <t>Monrovia</t>
  </si>
  <si>
    <t>(GMT) London</t>
  </si>
  <si>
    <t>(GMT) Lisbon</t>
  </si>
  <si>
    <t>(GMT) Edinburgh</t>
  </si>
  <si>
    <t>(GMT) Dublin</t>
  </si>
  <si>
    <t>(GMT) Casablanca</t>
  </si>
  <si>
    <t>GMT-01:00</t>
  </si>
  <si>
    <t>(GMT-01:00) Cape Verde Is.</t>
  </si>
  <si>
    <t>Cape Verde Is.</t>
  </si>
  <si>
    <t>(GMT-01:00) Azores</t>
  </si>
  <si>
    <t>GMT-02:00</t>
  </si>
  <si>
    <t>(GMT-02:00) Mid-Atlantic</t>
  </si>
  <si>
    <t>GMT-03:00</t>
  </si>
  <si>
    <t>(GMT-03:00) Greenland</t>
  </si>
  <si>
    <t>(GMT-03:00) Georgetown</t>
  </si>
  <si>
    <t>Change yellow cells to adjust pie chart ranges</t>
  </si>
  <si>
    <t>(GMT-03:00) Buenos Aires</t>
  </si>
  <si>
    <t>(GMT-03:00) Brasilia</t>
  </si>
  <si>
    <t>GMT-03:30</t>
  </si>
  <si>
    <t>(GMT-03:30) Newfoundland</t>
  </si>
  <si>
    <t>Newfoundland</t>
  </si>
  <si>
    <t>GMT-04:00</t>
  </si>
  <si>
    <t>(GMT-04:00) Santiago</t>
  </si>
  <si>
    <t>(GMT-04:00) La Paz</t>
  </si>
  <si>
    <t>(GMT-04:00) Atlantic Time (Canada)</t>
  </si>
  <si>
    <t>GMT-04:30</t>
  </si>
  <si>
    <t>(GMT-04:30) Caracas</t>
  </si>
  <si>
    <t>GMT-05:00</t>
  </si>
  <si>
    <t>(GMT-05:00) Quito</t>
  </si>
  <si>
    <t>(GMT-05:00) Lima</t>
  </si>
  <si>
    <t>(GMT-05:00) Bogota</t>
  </si>
  <si>
    <t>GMT-06:00</t>
  </si>
  <si>
    <t>(GMT-06:00) Saskatchewan</t>
  </si>
  <si>
    <t>Saskatchewan</t>
  </si>
  <si>
    <t>(GMT-06:00) Monterrey</t>
  </si>
  <si>
    <t>Monterrey</t>
  </si>
  <si>
    <t>(GMT-06:00) Mexico City</t>
  </si>
  <si>
    <t>(GMT-06:00) Guadalajara</t>
  </si>
  <si>
    <t>Guadalajara</t>
  </si>
  <si>
    <t>(GMT-06:00) Central America</t>
  </si>
  <si>
    <t>GMT-07:00</t>
  </si>
  <si>
    <t>(GMT-07:00) Mazatlan</t>
  </si>
  <si>
    <t>Mazatlan</t>
  </si>
  <si>
    <t>(GMT-07:00) Chihuahua</t>
  </si>
  <si>
    <t>GMT-08:00</t>
  </si>
  <si>
    <t>(GMT-08:00) Tijuana</t>
  </si>
  <si>
    <t>GMT-11:00</t>
  </si>
  <si>
    <t>(GMT-11:00) Samoa</t>
  </si>
  <si>
    <t>Samoa</t>
  </si>
  <si>
    <t>(GMT-11:00) Midway Island</t>
  </si>
  <si>
    <t>Midway Island</t>
  </si>
  <si>
    <t>(GMT-11:00) International Date Line West</t>
  </si>
  <si>
    <t>(GMT-05:00) Indiana (East)</t>
  </si>
  <si>
    <t>(GMT-05:00) Eastern Time (US &amp; Canada)</t>
  </si>
  <si>
    <t>(GMT-06:00) Central Time (US &amp; Canada)</t>
  </si>
  <si>
    <t>(GMT-07:00) Mountain Time (US &amp; Canada)</t>
  </si>
  <si>
    <t>(GMT-07:00) Arizona</t>
  </si>
  <si>
    <t>GMT-09:00</t>
  </si>
  <si>
    <t>(GMT-08:00) Pacific Time (US &amp; Canada)</t>
  </si>
  <si>
    <t>GMT-10:00</t>
  </si>
  <si>
    <t>(GMT-09:00) Alaska</t>
  </si>
  <si>
    <t>(GMT-10:00) Hawaii</t>
  </si>
  <si>
    <t>Rank</t>
  </si>
  <si>
    <t>Count</t>
  </si>
  <si>
    <t>%</t>
  </si>
  <si>
    <t>Time GMT</t>
  </si>
  <si>
    <t>Zone by GMT</t>
  </si>
  <si>
    <t>Zone Name Long</t>
  </si>
  <si>
    <t>Zone Name User</t>
  </si>
  <si>
    <t>Username</t>
  </si>
  <si>
    <t>Full Name</t>
  </si>
  <si>
    <t>Topic</t>
  </si>
  <si>
    <t>Custom</t>
  </si>
  <si>
    <t>Simply Measured Online</t>
  </si>
  <si>
    <t>Hour/Minute</t>
  </si>
  <si>
    <t>Day</t>
  </si>
  <si>
    <t>Week</t>
  </si>
  <si>
    <t>Month</t>
  </si>
  <si>
    <t>Activity by Time - Select Ranges on Report Tab</t>
  </si>
  <si>
    <t>#utm_source=excel_to_web&amp;utm_medium=spreadsheet&amp;utm_content=web_viewer&amp;utm_campaign=excel_to_web</t>
  </si>
  <si>
    <t>Completed URL</t>
  </si>
  <si>
    <t>Tracking URL</t>
  </si>
  <si>
    <t>Base URL</t>
  </si>
  <si>
    <t>Upload to Web</t>
  </si>
  <si>
    <t>Web Viewer</t>
  </si>
  <si>
    <t>Interval</t>
  </si>
  <si>
    <t>Interval Placeholder</t>
  </si>
  <si>
    <t>Date 2</t>
  </si>
  <si>
    <t>Date 1</t>
  </si>
  <si>
    <t>Dates for Charts Tab</t>
  </si>
  <si>
    <t>Sunday</t>
  </si>
  <si>
    <t>Saturday</t>
  </si>
  <si>
    <t>Friday</t>
  </si>
  <si>
    <t>Thursday</t>
  </si>
  <si>
    <t>Dates For Sum Ranges</t>
  </si>
  <si>
    <t>Wednesday</t>
  </si>
  <si>
    <t>Tuesday</t>
  </si>
  <si>
    <t>Monday</t>
  </si>
  <si>
    <t>Date Location</t>
  </si>
  <si>
    <t>Time Shift</t>
  </si>
  <si>
    <t>Width</t>
  </si>
  <si>
    <t>Height</t>
  </si>
  <si>
    <t>Columns</t>
  </si>
  <si>
    <t>Rows</t>
  </si>
  <si>
    <t>Choose Week Start --&gt;</t>
  </si>
  <si>
    <t>Minute</t>
  </si>
  <si>
    <t>Hourly</t>
  </si>
  <si>
    <t>Daily</t>
  </si>
  <si>
    <t>Weekly</t>
  </si>
  <si>
    <t>Monthly</t>
  </si>
  <si>
    <t>End</t>
  </si>
  <si>
    <t>Start</t>
  </si>
  <si>
    <t>Row Shift</t>
  </si>
  <si>
    <t>Max Height</t>
  </si>
  <si>
    <t>Multiplier</t>
  </si>
  <si>
    <t>6 Months</t>
  </si>
  <si>
    <t>3 Months</t>
  </si>
  <si>
    <t>4 Weeks</t>
  </si>
  <si>
    <t>30 Days</t>
  </si>
  <si>
    <t>14 Days</t>
  </si>
  <si>
    <t>7 Days</t>
  </si>
  <si>
    <t>48 Hours</t>
  </si>
  <si>
    <t>24 Hours</t>
  </si>
  <si>
    <t>Duration</t>
  </si>
  <si>
    <t>Shift</t>
  </si>
  <si>
    <t>Maximum Rows</t>
  </si>
  <si>
    <t>Inputs and Ranges for Chart Creation</t>
  </si>
  <si>
    <t>Row</t>
  </si>
  <si>
    <t>Column</t>
  </si>
  <si>
    <t>Klout Score --&gt;</t>
  </si>
  <si>
    <t>Topic 1</t>
  </si>
  <si>
    <t>Topic 2</t>
  </si>
  <si>
    <t>Topic 3</t>
  </si>
  <si>
    <t>Topic 4</t>
  </si>
  <si>
    <t>Topic 5</t>
  </si>
  <si>
    <t>Santiago</t>
  </si>
  <si>
    <t>Topics</t>
  </si>
  <si>
    <t>#</t>
  </si>
  <si>
    <t xml:space="preserve"> Top Influencers Sorted By: </t>
  </si>
  <si>
    <t>Most Influential Users</t>
  </si>
  <si>
    <t>Total Keyword Matches</t>
  </si>
  <si>
    <t>Klout Distribution Buckets</t>
  </si>
  <si>
    <t>WW Score</t>
  </si>
  <si>
    <t>Highest Klout Score</t>
  </si>
  <si>
    <t>Lowest Klout Score</t>
  </si>
  <si>
    <t>Average Klout Score</t>
  </si>
  <si>
    <t>Followers/Friends Ratio</t>
  </si>
  <si>
    <t>Header</t>
  </si>
  <si>
    <t>User Tweet Distribution</t>
  </si>
  <si>
    <t>User Follower Distribution</t>
  </si>
  <si>
    <t>Top Time Zones: All Followers</t>
  </si>
  <si>
    <t>Top Time Zones: All Influencers</t>
  </si>
  <si>
    <t>Zone Distribution</t>
  </si>
  <si>
    <t>Followers by Date of Last Tweet</t>
  </si>
  <si>
    <t>Total</t>
  </si>
  <si>
    <t>Last Date:</t>
  </si>
  <si>
    <t>Klout Score Distribution</t>
  </si>
  <si>
    <t>Most Followed Users</t>
  </si>
  <si>
    <t>Topics Count</t>
  </si>
  <si>
    <t>To customize the keywords in this chart, download to Excel and edit the yellow cells.</t>
  </si>
  <si>
    <t>Keywords</t>
  </si>
  <si>
    <t>Total Friends</t>
  </si>
  <si>
    <t>% Total Matches</t>
  </si>
  <si>
    <t>Brand</t>
  </si>
  <si>
    <t>Audience</t>
  </si>
  <si>
    <t>minutes</t>
  </si>
  <si>
    <t>hours</t>
  </si>
  <si>
    <t>days</t>
  </si>
  <si>
    <t>weeks</t>
  </si>
  <si>
    <t>months</t>
  </si>
  <si>
    <t>minute</t>
  </si>
  <si>
    <t>hour</t>
  </si>
  <si>
    <t>day</t>
  </si>
  <si>
    <t>week</t>
  </si>
  <si>
    <t>month</t>
  </si>
  <si>
    <t>Follower Profile Analysis: Top Keywords</t>
  </si>
  <si>
    <t>Keyword</t>
  </si>
  <si>
    <t>% Total Followers</t>
  </si>
  <si>
    <t>Top Keywords in Audience Profiles</t>
  </si>
  <si>
    <t>Percent of Audience</t>
  </si>
  <si>
    <t>Your Most Influential Followers</t>
  </si>
  <si>
    <t>Sorted by</t>
  </si>
  <si>
    <t>Highest</t>
  </si>
  <si>
    <t>Lowest</t>
  </si>
  <si>
    <t>Top Klout Topics</t>
  </si>
  <si>
    <t>Your Klout Score</t>
  </si>
  <si>
    <t>Start Klout Score</t>
  </si>
  <si>
    <t>End Klout Score</t>
  </si>
  <si>
    <t>Klout Score Text:</t>
  </si>
  <si>
    <t>Change in Klout Score (ABS)</t>
  </si>
  <si>
    <t>Following</t>
  </si>
  <si>
    <t>User Following Distribution</t>
  </si>
  <si>
    <t>Audience With Klout Scores Above Worldwide Average</t>
  </si>
  <si>
    <t>Audience Follower Distribution</t>
  </si>
  <si>
    <t>between 0 and 100</t>
  </si>
  <si>
    <t>between 100 and 500</t>
  </si>
  <si>
    <t>between 500 and 1,000</t>
  </si>
  <si>
    <t>between 1,000 and 2,500</t>
  </si>
  <si>
    <t>greater than 2,500</t>
  </si>
  <si>
    <t>Last 24 hours</t>
  </si>
  <si>
    <t>1-2 weeks</t>
  </si>
  <si>
    <t>2-4 weeks</t>
  </si>
  <si>
    <t>24 hours-1 week</t>
  </si>
  <si>
    <t>1-3 months</t>
  </si>
  <si>
    <t>3-6 months</t>
  </si>
  <si>
    <t>6-12 months</t>
  </si>
  <si>
    <t>&gt; One year</t>
  </si>
  <si>
    <t>Change</t>
  </si>
  <si>
    <t>Followers-to-Following</t>
  </si>
  <si>
    <t>Highest Change</t>
  </si>
  <si>
    <t>Highest Followers</t>
  </si>
  <si>
    <t>Lowest Followers</t>
  </si>
  <si>
    <t>Largest Change in Followers</t>
  </si>
  <si>
    <t>Largest Change in Klout Score</t>
  </si>
  <si>
    <t>Your Followers</t>
  </si>
  <si>
    <t>Start Followers</t>
  </si>
  <si>
    <t>End Followers</t>
  </si>
  <si>
    <t>Change in Followers (ABS)</t>
  </si>
  <si>
    <t>Followers Text:</t>
  </si>
  <si>
    <t>food</t>
  </si>
  <si>
    <t>agricultural</t>
  </si>
  <si>
    <t>news</t>
  </si>
  <si>
    <t>economist</t>
  </si>
  <si>
    <t>agriculture</t>
  </si>
  <si>
    <t>markets</t>
  </si>
  <si>
    <t>#unfao</t>
  </si>
  <si>
    <t>commodities</t>
  </si>
  <si>
    <t>mehmet__aydogdu</t>
  </si>
  <si>
    <t>mehmet aydogdu</t>
  </si>
  <si>
    <t>bipinbhise1</t>
  </si>
  <si>
    <t>Bipin Bhise</t>
  </si>
  <si>
    <t>India</t>
  </si>
  <si>
    <t>mecardoAU</t>
  </si>
  <si>
    <t>Mecardo</t>
  </si>
  <si>
    <t>Australia's leading source of independent and original online agricultural market analysis.</t>
  </si>
  <si>
    <t>Australia</t>
  </si>
  <si>
    <t>GustavoTenSIAP</t>
  </si>
  <si>
    <t>Gustavo Tenorio</t>
  </si>
  <si>
    <t>CelineAgriFood</t>
  </si>
  <si>
    <t>CelineAg</t>
  </si>
  <si>
    <t>NimKiloo</t>
  </si>
  <si>
    <t>ISOA_official</t>
  </si>
  <si>
    <t>ISOA</t>
  </si>
  <si>
    <t>International Sunflower Oil Association</t>
  </si>
  <si>
    <t>Italy/Ukraine/China</t>
  </si>
  <si>
    <t>AggieDeSousa</t>
  </si>
  <si>
    <t>Agnieszka de Sousa</t>
  </si>
  <si>
    <t>#Agriculture correspondent at Bloomberg News. Ex-metals &amp; mining. Just another food enthusiast. Opinions my own, RTs ≠ endorsements.</t>
  </si>
  <si>
    <t>M_Pourhamidi</t>
  </si>
  <si>
    <t>Masoud Pourhamidi</t>
  </si>
  <si>
    <t>Managing Director and Chief Executive Officer at International at Sepehr Aeen Corporate Group (ISACG)</t>
  </si>
  <si>
    <t>PortierArthur</t>
  </si>
  <si>
    <t>Arthur Portier</t>
  </si>
  <si>
    <t>Agricultural Market Expert. Commodities, Farmer, Stategy. Tweets are my own.</t>
  </si>
  <si>
    <t>Andeville, France</t>
  </si>
  <si>
    <t>SonjaPerakis</t>
  </si>
  <si>
    <t>SonjamPerakis</t>
  </si>
  <si>
    <t>DC-based wife, mother, agricultural economist, mentor, and athlete. Enjoying adventures with family and work, and through sport, at home and abroad.</t>
  </si>
  <si>
    <t>ggeno65</t>
  </si>
  <si>
    <t>Giampiero</t>
  </si>
  <si>
    <t>Wowman19752003</t>
  </si>
  <si>
    <t>Wowman</t>
  </si>
  <si>
    <t>AhmedChil</t>
  </si>
  <si>
    <t>Ahmed Chilmeran</t>
  </si>
  <si>
    <t>About economy &amp; grain markets.SE-Sask. Tweets my own.</t>
  </si>
  <si>
    <t>Canada</t>
  </si>
  <si>
    <t>labs</t>
  </si>
  <si>
    <t>aicc_trading</t>
  </si>
  <si>
    <t>AICC Trading</t>
  </si>
  <si>
    <t>Trading, Marketing, Distribution &amp; Logistics of Grains, Pulses &amp; Agri-Products with Libya, Algeria &amp; The MENA region.</t>
  </si>
  <si>
    <t>Malta, Greece, Libya, Algeria</t>
  </si>
  <si>
    <t>Mtbrideman</t>
  </si>
  <si>
    <t>Lacroix Matthieu</t>
  </si>
  <si>
    <t>Agricultural commodities analyst</t>
  </si>
  <si>
    <t>vinc375</t>
  </si>
  <si>
    <t>Vincent</t>
  </si>
  <si>
    <t>whmeyers</t>
  </si>
  <si>
    <t>William H Meyers</t>
  </si>
  <si>
    <t>Highway2Mel007</t>
  </si>
  <si>
    <t>L.A. Homeboy</t>
  </si>
  <si>
    <t>Kailua, HI</t>
  </si>
  <si>
    <t>sizov_andre</t>
  </si>
  <si>
    <t>Andrey Sizov</t>
  </si>
  <si>
    <t>20+ years of research/consulting in agriculture mrkts &amp; food industry. Message me for Russia &amp; Black Sea info/analysis/consulting/speaking. Marathon runner.</t>
  </si>
  <si>
    <t>Москва, Россия</t>
  </si>
  <si>
    <t>Steven_Ramage</t>
  </si>
  <si>
    <t>Steven Ramage</t>
  </si>
  <si>
    <t>External Relations @GEOSec2025 Visiting Prof @ifuturecities SASNet Fellow @urbanbigdata Fellow @RGS_IBG Supporter @UNGGIM @opengeospatial @mapaction @hotosm</t>
  </si>
  <si>
    <t>Geneva, Switzerland</t>
  </si>
  <si>
    <t>geo</t>
  </si>
  <si>
    <t>video</t>
  </si>
  <si>
    <t>olympics</t>
  </si>
  <si>
    <t>geography</t>
  </si>
  <si>
    <t>3d</t>
  </si>
  <si>
    <t>EIPuricelli</t>
  </si>
  <si>
    <t>EPuricelli</t>
  </si>
  <si>
    <t>Financial_Orbit</t>
  </si>
  <si>
    <t>Chris Bailey</t>
  </si>
  <si>
    <t>Founder, Financial Orbit. Macro musing, global equities appraisal. "1 of 50 Twitter a/cs for investors to follow in '17"</t>
  </si>
  <si>
    <t>UK</t>
  </si>
  <si>
    <t>Jiabaochina</t>
  </si>
  <si>
    <t>Jiabao Sun</t>
  </si>
  <si>
    <t>Global analyst @Financial_Orbit, macro musing, global equities appraisal. PhD candidate, qualitative economic analysis, urbanisation specialist, futurist</t>
  </si>
  <si>
    <t>City of London, London</t>
  </si>
  <si>
    <t>jeanmarcquach</t>
  </si>
  <si>
    <t>Jean-Marc Quach</t>
  </si>
  <si>
    <t>p_pezzutti</t>
  </si>
  <si>
    <t>Paul PEZZUTTI</t>
  </si>
  <si>
    <t>Trainee Agri Commodities Trader Assistant</t>
  </si>
  <si>
    <t>Paris, France</t>
  </si>
  <si>
    <t>Agronegocios_Uy</t>
  </si>
  <si>
    <t>Agronegocios Uruguay</t>
  </si>
  <si>
    <t>Agronegocios - Economía - Política - Tecnología.   Ofertas de Ganados (Compra y Venta) Whats App +598 98 857 345</t>
  </si>
  <si>
    <t xml:space="preserve">Uruguay </t>
  </si>
  <si>
    <t>pbujak</t>
  </si>
  <si>
    <t>Piotr Bujak</t>
  </si>
  <si>
    <t>chief economist at #PKO Bank Polski (ex Nordea Markets, BZ WBK) - father of 2 sons - views personal - #POLGBs #PLN #economics #Poland</t>
  </si>
  <si>
    <t>france</t>
  </si>
  <si>
    <t>banking</t>
  </si>
  <si>
    <t>minimum wage</t>
  </si>
  <si>
    <t>poland</t>
  </si>
  <si>
    <t>economics</t>
  </si>
  <si>
    <t>jwilson29</t>
  </si>
  <si>
    <t>jeff wilson</t>
  </si>
  <si>
    <t>Agricultural Reporter in search of news behind the markets</t>
  </si>
  <si>
    <t>michalkoles</t>
  </si>
  <si>
    <t>Michał Koleśnikow</t>
  </si>
  <si>
    <t>CommoditiesAcad</t>
  </si>
  <si>
    <t>Commodities Academy</t>
  </si>
  <si>
    <t>Become a physical commodities trader</t>
  </si>
  <si>
    <t>MashaBelGrain</t>
  </si>
  <si>
    <t>Belikova Masha</t>
  </si>
  <si>
    <t>Grain market observer in ISM. Curious and trying to know more about agri/grain markets, aslo connected with freight market. Thoughts are my own</t>
  </si>
  <si>
    <t>Украина</t>
  </si>
  <si>
    <t>JOlipra</t>
  </si>
  <si>
    <t>Jakub Olipra</t>
  </si>
  <si>
    <t>Economist at Credit Agricole Bank Polska, agricultural market analyst</t>
  </si>
  <si>
    <t>agjtacon</t>
  </si>
  <si>
    <t>Albert GJ Tacon</t>
  </si>
  <si>
    <t>Aquaculture, Nutrition &amp; Feeding, Food Security</t>
  </si>
  <si>
    <t>FarmsNews</t>
  </si>
  <si>
    <t>Farms.com Ag News</t>
  </si>
  <si>
    <t>https://t.co/g3Ajy1OKQS - Agriculture news, videos &amp; information for farmers, ranchers and agri-businesses. Look for tweets from the entire team.</t>
  </si>
  <si>
    <t>email: info@farms.com</t>
  </si>
  <si>
    <t>media</t>
  </si>
  <si>
    <t>science and technology</t>
  </si>
  <si>
    <t>federal communications commission</t>
  </si>
  <si>
    <t>vegetable</t>
  </si>
  <si>
    <t>Beker50608901</t>
  </si>
  <si>
    <t>Nyak Baka</t>
  </si>
  <si>
    <t>KArovuori</t>
  </si>
  <si>
    <t>Kyösti Arovuori</t>
  </si>
  <si>
    <t>Agricultural Economist, Dr. Sc. | maatalousekonomisti, MMT 
@PTTfi</t>
  </si>
  <si>
    <t>Finland</t>
  </si>
  <si>
    <t>Jules_Girard2</t>
  </si>
  <si>
    <t>AgCommoditiesFr</t>
  </si>
  <si>
    <t>French student in agronomy and agribusiness, looking to work in #grain trading, I am in search of a 6 months internship abroad agricultural #commodities trading</t>
  </si>
  <si>
    <t>TTAFutGrains</t>
  </si>
  <si>
    <t>Thinker Trading Acad</t>
  </si>
  <si>
    <t>Actionable Grains Futures updates, daily performance &amp; news, investing education - be a Thinker, trade smart.</t>
  </si>
  <si>
    <t>USA</t>
  </si>
  <si>
    <t>craigaatkinson</t>
  </si>
  <si>
    <t>Craig A. Atkinson</t>
  </si>
  <si>
    <t>Director @Lexmercatrade. Formerly @ITCnews (@UNCTAD/@WTO), @Canadatrade &amp; @Austrade. I tweet about #agri, #dev, #GVCs, #SDGs, #trade, #tech &amp; #innovation!</t>
  </si>
  <si>
    <t>Canada &amp; Switzerland</t>
  </si>
  <si>
    <t>academics</t>
  </si>
  <si>
    <t>books</t>
  </si>
  <si>
    <t>Agmkts1</t>
  </si>
  <si>
    <t>AgMkts</t>
  </si>
  <si>
    <t>CBOT, CME, NYMEX, KCBT, Futures, options, OTC. Member of the CBOT. Trading Futures involves substantial risk. Past performance not indicative of future results</t>
  </si>
  <si>
    <t>stock market</t>
  </si>
  <si>
    <t>pork</t>
  </si>
  <si>
    <t>RussianGrainTra</t>
  </si>
  <si>
    <t>Swithun Still</t>
  </si>
  <si>
    <t>Director of Solaris Commodities S.A. Trader of Russian grains; Vice President of GAFTA https://t.co/HrzGZpEn67 ) &amp; a GAFTA Arbitrator.</t>
  </si>
  <si>
    <t>Morges, Switzerland</t>
  </si>
  <si>
    <t>mariana_gmtz</t>
  </si>
  <si>
    <t>Mariana García Mtz</t>
  </si>
  <si>
    <t>economist, data junkie and coffee addict</t>
  </si>
  <si>
    <t>davidwidmar</t>
  </si>
  <si>
    <t>David Widmar</t>
  </si>
  <si>
    <t>Agricultural Economist</t>
  </si>
  <si>
    <t>rnekrasov7</t>
  </si>
  <si>
    <t>Roman Nekrasov</t>
  </si>
  <si>
    <t>FX, derivatives trader (Forex - USDRUB, Commodities - Brent). Editor in chief of https://t.co/Eeu3z2zhyn</t>
  </si>
  <si>
    <t>Moscow, Russian</t>
  </si>
  <si>
    <t>shiotashiteii</t>
  </si>
  <si>
    <t>mogriculture</t>
  </si>
  <si>
    <t>Agricultural Economist 
tweeting about my research interests:
Future of agriculture in the developed countries.</t>
  </si>
  <si>
    <t>London, England</t>
  </si>
  <si>
    <t>uaolgamiz</t>
  </si>
  <si>
    <t>Olga Miz</t>
  </si>
  <si>
    <t>West Ukraine</t>
  </si>
  <si>
    <t>Fertecon</t>
  </si>
  <si>
    <t>An independent economic Agribusiness intelligence consultancy specializing in fertilizers and related products. Request a free sample copy of our reports online</t>
  </si>
  <si>
    <t>asia</t>
  </si>
  <si>
    <t>yorgaki</t>
  </si>
  <si>
    <t>George Kourous</t>
  </si>
  <si>
    <t>Higher-level primate occasionally tripped up by wetware glitches. Work at #UNFAO; board member #GlobalDetentionProject | Views my own.</t>
  </si>
  <si>
    <t>Rome, Italy</t>
  </si>
  <si>
    <t>public relations</t>
  </si>
  <si>
    <t>journalism</t>
  </si>
  <si>
    <t>yammer</t>
  </si>
  <si>
    <t>non-profit</t>
  </si>
  <si>
    <t>communications</t>
  </si>
  <si>
    <t>JT_Flaemig</t>
  </si>
  <si>
    <t>JT Flaemig</t>
  </si>
  <si>
    <t>Market Analyst @WFP; Tweets my own.</t>
  </si>
  <si>
    <t>legsteruel758</t>
  </si>
  <si>
    <t>ximena</t>
  </si>
  <si>
    <t>Si la luna es bonita mas bonito es el sol, pero una mirada tuya no tizne comparacivn.</t>
  </si>
  <si>
    <t>rimamutia</t>
  </si>
  <si>
    <t>jujur itu hebat✌✊</t>
  </si>
  <si>
    <t>NataMerkusheva</t>
  </si>
  <si>
    <t>Natalia Merkusheva</t>
  </si>
  <si>
    <t>Tweets are my own.
Economist at #UNFAO</t>
  </si>
  <si>
    <t>abueloeconomico</t>
  </si>
  <si>
    <t>Abuelo Economico</t>
  </si>
  <si>
    <t>Ex blogger con ganas de volver... Twitter es sólo un primer paso.</t>
  </si>
  <si>
    <t>paypal</t>
  </si>
  <si>
    <t>argentina</t>
  </si>
  <si>
    <t>FRANCONEGRI5</t>
  </si>
  <si>
    <t>Franco Negri</t>
  </si>
  <si>
    <t>Grain Trader /  World  Rice specialist  Durum Wheat    Gafta member  Former Marc Rich Manager
E mail: https://t.co/GaSidBn7iM.ltd@gmail.com</t>
  </si>
  <si>
    <t xml:space="preserve">EUROPE  </t>
  </si>
  <si>
    <t>pln8889023456</t>
  </si>
  <si>
    <t>Paulina Prasula</t>
  </si>
  <si>
    <t>International Reporting and Information Consultant at #UNFAO Working for #foodsecurity, #ZeroHunger #sustainabledevelopment</t>
  </si>
  <si>
    <t>EviePlumbMusic</t>
  </si>
  <si>
    <t>Evie Plumb</t>
  </si>
  <si>
    <t>Singer-songwriter in the Lake District</t>
  </si>
  <si>
    <t>North West, England</t>
  </si>
  <si>
    <t>antihumantrafk4</t>
  </si>
  <si>
    <t>antihumantrafficking</t>
  </si>
  <si>
    <t>We fight the global trade of humans, combat sex tourism, forced prostitution, organ harvesting, forced labor and everything associated with human trafficking.</t>
  </si>
  <si>
    <t>s108801s</t>
  </si>
  <si>
    <t>Dr Sandra Paulina</t>
  </si>
  <si>
    <t>postdoctoral fellow at the Institute of Computational Biology. Complexity explorer with passion for biomedical ‘big data’ x plant genetics x science policy</t>
  </si>
  <si>
    <t>Earth</t>
  </si>
  <si>
    <t>jaylenestebbens</t>
  </si>
  <si>
    <t>Jaylene Stebbens</t>
  </si>
  <si>
    <t>Have a passion for snowboarding; travelling; events; reading and a good glass of vino!</t>
  </si>
  <si>
    <t>diplomirko</t>
  </si>
  <si>
    <t>Mirko Montuori</t>
  </si>
  <si>
    <t>Project Manager (Consultant) at #UNFAO (@FAOWHOCodex &amp; @ippcnews), life lover, world citizen. Posts are my own.</t>
  </si>
  <si>
    <t>MirelaXhota</t>
  </si>
  <si>
    <t>Mirela Xhota,Msc</t>
  </si>
  <si>
    <t>Account Manager @FT #AnalyseAfrica; @Thisisafrica #thebanker #business #markets #art #data T&amp; RT aren't endorsements. Views, ideas are mine,not those of the FT.</t>
  </si>
  <si>
    <t>montchrestien</t>
  </si>
  <si>
    <t>ⒶtⒶrⒶxiⒶ</t>
  </si>
  <si>
    <t>#finance #commodities #gametheory #etrm PhD in Economics.</t>
  </si>
  <si>
    <t>thecommoditykid</t>
  </si>
  <si>
    <t>L. Gary</t>
  </si>
  <si>
    <t>It was bound to happen--the child of two brokers is finally exploring their world of grains and gold. Happy to share resources here as I find them.</t>
  </si>
  <si>
    <t>ScottIrwinUI</t>
  </si>
  <si>
    <t>Scott Irwin</t>
  </si>
  <si>
    <t>Agricultural Economist at the University of Illinois; Lifelong fascination with commodity markets; Iowa farmboy</t>
  </si>
  <si>
    <t>Champaign, Illinois</t>
  </si>
  <si>
    <t>AJMcD23</t>
  </si>
  <si>
    <t>Tony McDougall</t>
  </si>
  <si>
    <t>Ag Economist</t>
  </si>
  <si>
    <t>JASISON1</t>
  </si>
  <si>
    <t>Jaime A. Sison</t>
  </si>
  <si>
    <t>hnili</t>
  </si>
  <si>
    <t>Hadi Nili</t>
  </si>
  <si>
    <t>‏‏‏‏‏‏International Trade Consultant  
همه چیز در مورد کسب و کار صادرات، واردات و تجارت بین الملل</t>
  </si>
  <si>
    <t>Tehran, Isfahan</t>
  </si>
  <si>
    <t>Hepburn_JC</t>
  </si>
  <si>
    <t>Jonathan Hepburn</t>
  </si>
  <si>
    <t>Managing #agriculture programme @ICTSD. Research + dialogue on #food+#farm #trade policy + markets @ICTSDAG. News+analysis @ICTSD_Bridges. Own views, RT≠agree.</t>
  </si>
  <si>
    <t>ICTSDAG</t>
  </si>
  <si>
    <t>ICTSD Ag Programme</t>
  </si>
  <si>
    <t>News &amp; analysis on #agricultural #trade and #sustainabledevelopment from @ICTSD: #foodsecurity, #equity + #environmental sustainability. RT ≠ endorsement.</t>
  </si>
  <si>
    <t>#ag</t>
  </si>
  <si>
    <t>#farm</t>
  </si>
  <si>
    <t>Egy_UN_Rome</t>
  </si>
  <si>
    <t>EgyRoma</t>
  </si>
  <si>
    <t>DFleurance</t>
  </si>
  <si>
    <t>CommodityHedging</t>
  </si>
  <si>
    <t>EnriqueYeves</t>
  </si>
  <si>
    <t>Journalist&amp;writer, now Director Communications at #UNFAO. #politics, #development, #diplomacy, #Hunger #International Affairs, #UN. Tweets in several languages</t>
  </si>
  <si>
    <t>Mindcatkamonn</t>
  </si>
  <si>
    <t>เอ็ม</t>
  </si>
  <si>
    <t>พื้นที่ส่วนตัว|พิชเยศ❤️</t>
  </si>
  <si>
    <t>Rayong,Thailand</t>
  </si>
  <si>
    <t>KoohafkanParviz</t>
  </si>
  <si>
    <t>Parviz Koohafkan</t>
  </si>
  <si>
    <t>c_lacirignola</t>
  </si>
  <si>
    <t>Cosimo Lacirignola</t>
  </si>
  <si>
    <t>CIHEAM Secretary General. Passionate about #Mediterranean. Committed to struggling against #KnowledgeWaste, to working for #FoodSecurity &amp; #InclusiveDevelopment</t>
  </si>
  <si>
    <t>milasoa</t>
  </si>
  <si>
    <t>Milasoa ChérelRobson</t>
  </si>
  <si>
    <t>Economist, Phd. @UNCTAD #Commodities 4 development #UN #ONU + Alum support 4 @IDS_UK #SussexUni Usual disclaimers. Own VoiCe. #WithRefugees</t>
  </si>
  <si>
    <t>GusTrompiz</t>
  </si>
  <si>
    <t>Gus Trompiz</t>
  </si>
  <si>
    <t>Journalist at Reuters covering commodity markets.</t>
  </si>
  <si>
    <t>EconMitch</t>
  </si>
  <si>
    <t>Ian Mitchell</t>
  </si>
  <si>
    <t>Economics of trade, Brexit and development at Center for Global Development @CGDev and the Institute for Fiscal Studies @TheIFS. Views my own</t>
  </si>
  <si>
    <t>Blendhub</t>
  </si>
  <si>
    <t>Blendhub Corp.</t>
  </si>
  <si>
    <t>Blendhub Corp. is a company specialized in the formulation and food powder blending that creates solutions, services, and equipment for the agri-food industry.</t>
  </si>
  <si>
    <t>Murcia, Spain</t>
  </si>
  <si>
    <t>WFP_Europe</t>
  </si>
  <si>
    <t>WFP Europe</t>
  </si>
  <si>
    <t>The United Nations World Food Programme's Office in Brussels is working together with EU institutions towards a Zero Hunger world.</t>
  </si>
  <si>
    <t>Hashtag #MoreThanFoodEU</t>
  </si>
  <si>
    <t>nutrition</t>
  </si>
  <si>
    <t>facebook</t>
  </si>
  <si>
    <t>moms</t>
  </si>
  <si>
    <t>cereal</t>
  </si>
  <si>
    <t>YoussefChahb</t>
  </si>
  <si>
    <t>Youssef Chahb</t>
  </si>
  <si>
    <t>@SciencesPo Paris student - Finance - Geopolitics - US politics - Sports</t>
  </si>
  <si>
    <t>CECOSDACameroon</t>
  </si>
  <si>
    <t>CECOSDA Cameroon</t>
  </si>
  <si>
    <t>Center for Communication and Sustainable Development for All</t>
  </si>
  <si>
    <t>Cameroon</t>
  </si>
  <si>
    <t>jens_aksel</t>
  </si>
  <si>
    <t>Jens Aksel Munch</t>
  </si>
  <si>
    <t>Kitty04969508</t>
  </si>
  <si>
    <t>Kitty  Sara</t>
  </si>
  <si>
    <t>matthewcraze</t>
  </si>
  <si>
    <t>Matthew Craze</t>
  </si>
  <si>
    <t>Avid Golfer, Saints Fan, currently in residence @ Cornell University</t>
  </si>
  <si>
    <t>Santiago, London</t>
  </si>
  <si>
    <t>JeffSherman4</t>
  </si>
  <si>
    <t>Jeff Sherman</t>
  </si>
  <si>
    <t>Merca2_SIAP</t>
  </si>
  <si>
    <t>Merca2 SIAP</t>
  </si>
  <si>
    <t>BA0023</t>
  </si>
  <si>
    <t>P Robert</t>
  </si>
  <si>
    <t>Ingénieur retraité. Passionné de l'actualité internationale</t>
  </si>
  <si>
    <t>Montreal, Quebec, Canada</t>
  </si>
  <si>
    <t>hajimogoju</t>
  </si>
  <si>
    <t>AAA</t>
  </si>
  <si>
    <t>IBlanadet</t>
  </si>
  <si>
    <t>Iran Blanadet</t>
  </si>
  <si>
    <t>Kos89132224433</t>
  </si>
  <si>
    <t>Писанов константин</t>
  </si>
  <si>
    <t>GEOSEC2025</t>
  </si>
  <si>
    <t>GEO</t>
  </si>
  <si>
    <t>GEO advocates &amp; delivers open Earth observation data, providing 200m+ free and open EO resources for 2030 Agenda, climate change, disaster risk resilience etc.</t>
  </si>
  <si>
    <t>ereguly</t>
  </si>
  <si>
    <t>Eric Reguly</t>
  </si>
  <si>
    <t>European bureau chief of The Globe and Mail, Canada's national newspaper. Based in Rome. Le opinioni espresse sono solo le mie. PGP https://t.co/r9owQFVbQE</t>
  </si>
  <si>
    <t>venice</t>
  </si>
  <si>
    <t>rome</t>
  </si>
  <si>
    <t>florence</t>
  </si>
  <si>
    <t>russia</t>
  </si>
  <si>
    <t>UN_CFS</t>
  </si>
  <si>
    <t>CFS</t>
  </si>
  <si>
    <t>The Committee on World Food Security (CFS) is a @UN intergovernmental body to develop policy recommendations on #foodsecurity and #nutrition. 
RTs ≠ endorsement</t>
  </si>
  <si>
    <t>micheldg34</t>
  </si>
  <si>
    <t>Michel Deshayes</t>
  </si>
  <si>
    <t>DrogoBastiani</t>
  </si>
  <si>
    <t>Drogo Bastiani</t>
  </si>
  <si>
    <t>naveenramaiah</t>
  </si>
  <si>
    <t>NaveenRamaiah</t>
  </si>
  <si>
    <t>Bangalore</t>
  </si>
  <si>
    <t>G20_GEOGLAM</t>
  </si>
  <si>
    <t>GEOGLAM</t>
  </si>
  <si>
    <t>GEO Global Agricultural Monitoring -
Launched by G20 in 2011 - 
Strengthening #foodsecurity thru free &amp; open #Earthobservation &amp; information #zerohunger</t>
  </si>
  <si>
    <t>KStateAgRsch</t>
  </si>
  <si>
    <t>K-State Ag Research</t>
  </si>
  <si>
    <t>Preliminary results of research conducted around the state of Kansas in nearly all areas of agricultural production.</t>
  </si>
  <si>
    <t>Manhattan, KS</t>
  </si>
  <si>
    <t>AgricultAttach</t>
  </si>
  <si>
    <t>Vladimir Derbenskiy</t>
  </si>
  <si>
    <t>Vladimir Derbenskiy - Agricultural Attache, Russian Embassy to Great Britain. Agricultural cooperation between Russia and the UK</t>
  </si>
  <si>
    <t>GEOCropMonitor</t>
  </si>
  <si>
    <t>GEOGLAM Crop Monitor</t>
  </si>
  <si>
    <t>Transparent, Multi-source, Consensus Reports on Global Crop Conditions | The @G20_GEOGLAM Crop Monitor for @AMISOutlook &amp; Crop Monitor for Early Warning</t>
  </si>
  <si>
    <t>gatomar25</t>
  </si>
  <si>
    <t>Omar Ramirez</t>
  </si>
  <si>
    <t>stavush</t>
  </si>
  <si>
    <t>Siavosh Arasteh</t>
  </si>
  <si>
    <t>Co-Founder @ AgFlow - Rethinking agriculture trade information, interested in innovation, collaborative consumption, markets, current affairs &amp; geopolitics.</t>
  </si>
  <si>
    <t>iran</t>
  </si>
  <si>
    <t>IGEFutSofts</t>
  </si>
  <si>
    <t>IGE Softs Futures</t>
  </si>
  <si>
    <t>Actionable Softs Futures updates, daily performance &amp; news, investing education - from Iron Gate Education.</t>
  </si>
  <si>
    <t>jasonlbritt</t>
  </si>
  <si>
    <t>Jason Britt</t>
  </si>
  <si>
    <t>President of Central States Commodities, Inc. Full sevice brokerage for futures and options trading.Has appeared on Bloomberg TV, Barron's and WSJ on Ag markets</t>
  </si>
  <si>
    <t>Kansas City, Missouri</t>
  </si>
  <si>
    <t>finance</t>
  </si>
  <si>
    <t>hedge fund</t>
  </si>
  <si>
    <t>investing</t>
  </si>
  <si>
    <t>kansas</t>
  </si>
  <si>
    <t>JavierBlas2</t>
  </si>
  <si>
    <t>Javier Blas</t>
  </si>
  <si>
    <t>Chief Energy Correspondent at Bloomberg News. I write about oil, gas, mining, agriculture and commodities. Any views expressed are my own. jblas3@bloomberg.net</t>
  </si>
  <si>
    <t>AgronomyUkraine</t>
  </si>
  <si>
    <t>Mike Lee</t>
  </si>
  <si>
    <t>Whatever we strive to do, it all comes down to family and food... A view of farming from Ukraine, Russia, Belarus and Kazakhstan.</t>
  </si>
  <si>
    <t>trading</t>
  </si>
  <si>
    <t>photography</t>
  </si>
  <si>
    <t>sales</t>
  </si>
  <si>
    <t>ukraine</t>
  </si>
  <si>
    <t>LizWilsonUK</t>
  </si>
  <si>
    <t>Liz Wilson</t>
  </si>
  <si>
    <t>Supporting rural biz ecosystem in sub-Saharan Africa to increase smallholder incomes. @Visiola_Fdn global adviser. Enterprise for Dev trustee. FRSA. Own views.</t>
  </si>
  <si>
    <t>London &amp; The Chilterns</t>
  </si>
  <si>
    <t>technology</t>
  </si>
  <si>
    <t>advocacy</t>
  </si>
  <si>
    <t>observer</t>
  </si>
  <si>
    <t>health</t>
  </si>
  <si>
    <t>megandurisin</t>
  </si>
  <si>
    <t>Megan Durisin</t>
  </si>
  <si>
    <t>Commodities, agriculture reporter for Bloomberg News. Views = my own.</t>
  </si>
  <si>
    <t>Chicago, IL</t>
  </si>
  <si>
    <t>bacon</t>
  </si>
  <si>
    <t>homelessness</t>
  </si>
  <si>
    <t>queens</t>
  </si>
  <si>
    <t>michigan</t>
  </si>
  <si>
    <t>teens</t>
  </si>
  <si>
    <t>vmunkhammar</t>
  </si>
  <si>
    <t>viktor munkhammar</t>
  </si>
  <si>
    <t>Reporter/kommentator på Dagens industri. Åsikterna här är mina egna, i den mån jag inte stulit dem.</t>
  </si>
  <si>
    <t>jfarchy</t>
  </si>
  <si>
    <t>Jack Farchy</t>
  </si>
  <si>
    <t>Journalist covering Russia, Central Asia, Caucasus, Natural Resources.</t>
  </si>
  <si>
    <t>FAOFSNForum</t>
  </si>
  <si>
    <t>FSN Forum</t>
  </si>
  <si>
    <t>Discuss how to fight hunger and malnutrition ensuring food security for all! Twitter policy: https://t.co/T8F2IcRti6</t>
  </si>
  <si>
    <t>united nations</t>
  </si>
  <si>
    <t>human rights</t>
  </si>
  <si>
    <t>mythometre</t>
  </si>
  <si>
    <t>Mythometre</t>
  </si>
  <si>
    <t>Hi,I am by profession a Macro Analyst having keen interest on Indian History which is not yet revealed..</t>
  </si>
  <si>
    <t>uswheatassoc</t>
  </si>
  <si>
    <t>US Wheat Associates</t>
  </si>
  <si>
    <t>U.S. Wheat Associates is the industry’s export market development organization working in more than 100 countries on behalf of America's wheat producers.</t>
  </si>
  <si>
    <t>Arlington, VA</t>
  </si>
  <si>
    <t>pinterest</t>
  </si>
  <si>
    <t>korea</t>
  </si>
  <si>
    <t>dieting</t>
  </si>
  <si>
    <t>houston</t>
  </si>
  <si>
    <t>MEDAmin_network</t>
  </si>
  <si>
    <t>MED-Amin</t>
  </si>
  <si>
    <t>MED-Amin fosters mutual understanding  in order to provide greater information and transparency on Mediterranean food markets. #wheat #rice #maize #barley #corn</t>
  </si>
  <si>
    <t>Montpellier</t>
  </si>
  <si>
    <t>rice11056078</t>
  </si>
  <si>
    <t>katerina spanou</t>
  </si>
  <si>
    <t>chaserick123</t>
  </si>
  <si>
    <t>Rick chase</t>
  </si>
  <si>
    <t>#Theologian, #Father and #AmateurEconomist.  A #Canadian social #entrepreneur in the Golden Land of #Myanmar. #Soy Evangelist.</t>
  </si>
  <si>
    <t>Yangon, Myanmar</t>
  </si>
  <si>
    <t>burma</t>
  </si>
  <si>
    <t>travel and tourism</t>
  </si>
  <si>
    <t>GrainsGal</t>
  </si>
  <si>
    <t>Sandra Boga</t>
  </si>
  <si>
    <t>Deputy Editor of The Public Ledger, Grains hoarder with a side of Sugar</t>
  </si>
  <si>
    <t>guillaupierre</t>
  </si>
  <si>
    <t>Guillaume Pierre</t>
  </si>
  <si>
    <t>Economist | Data Analyst UN @FAO, #rstats &amp; #Stata enthousiast. Interested in Ag. Economics #climatechange #economics #energy #statistics #trade #technology</t>
  </si>
  <si>
    <t>LuisJessLozano</t>
  </si>
  <si>
    <t>Luis Jesús Lozano</t>
  </si>
  <si>
    <t>Apasionado por el Campo... Dirección de Agronegocios SEDER, Coahuila. Trabajando por México. #MéxicoProduce</t>
  </si>
  <si>
    <t>Air_Rops</t>
  </si>
  <si>
    <t>AIR-ROPS NA 2012</t>
  </si>
  <si>
    <t>Air-rops es un sistema automático de protección antivuelco.  Air-rops is an automatic rollover protection system.</t>
  </si>
  <si>
    <t>victorclick</t>
  </si>
  <si>
    <t>Victor LS</t>
  </si>
  <si>
    <t>Working on Sustainable Development @CIMMYT @CGIAR Leading #MasAgro TTF Interests: from green economy and ethical trade to innovation, TICs and performing arts.</t>
  </si>
  <si>
    <t>Living in Mexico City</t>
  </si>
  <si>
    <t>cars</t>
  </si>
  <si>
    <t>bicycles</t>
  </si>
  <si>
    <t>climate change</t>
  </si>
  <si>
    <t>UpYourCornhole</t>
  </si>
  <si>
    <t>The Unicorn</t>
  </si>
  <si>
    <t>Nothing I say is a trade recommendation. Except go long McDonalds over KFC when hung over.</t>
  </si>
  <si>
    <t>FAOwbf</t>
  </si>
  <si>
    <t>World Banana Forum</t>
  </si>
  <si>
    <t>Working together for sustainable banana production and trade. The World Banana Forum is a multi-stakeholder initiative facilitated by #UNFAO #UnitedNations</t>
  </si>
  <si>
    <t>forums</t>
  </si>
  <si>
    <t>ecuador</t>
  </si>
  <si>
    <t>conferences</t>
  </si>
  <si>
    <t>#csr</t>
  </si>
  <si>
    <t>influenza_bio</t>
  </si>
  <si>
    <t>A biologist</t>
  </si>
  <si>
    <t>All things influenza. Also other infectious diseases, including those due to MERS coronavirus, Ebola. PhD. Opinions are my own.</t>
  </si>
  <si>
    <t>mediamails</t>
  </si>
  <si>
    <t>mediamails.com</t>
  </si>
  <si>
    <t>BKruppa</t>
  </si>
  <si>
    <t>Bertalan Kruppa</t>
  </si>
  <si>
    <t>Analyst at the Research Institute of Agricultural Economics (AKI) and PhD student - Economics of GMOs, soybean production in the EU, Common Agricultural Policy</t>
  </si>
  <si>
    <t>Budapest, Hungary</t>
  </si>
  <si>
    <t>FAOKnowledge</t>
  </si>
  <si>
    <t>Stay in touch for latest documents, presentations, videos, news and events, etc. from Food &amp; Agriculture Organization of United Nations (#unfao).</t>
  </si>
  <si>
    <t>community</t>
  </si>
  <si>
    <t>#km</t>
  </si>
  <si>
    <t>marine</t>
  </si>
  <si>
    <t>OECDagriculture</t>
  </si>
  <si>
    <t>OECD Agriculture</t>
  </si>
  <si>
    <t>Latest news about OECD work on food, agriculture and fisheries by the Trade and Agriculture Directorate. Follows and RTs are not endorsements.</t>
  </si>
  <si>
    <t>brussels</t>
  </si>
  <si>
    <t>berlin</t>
  </si>
  <si>
    <t>poverty</t>
  </si>
  <si>
    <t>environment</t>
  </si>
  <si>
    <t>FAOUganda</t>
  </si>
  <si>
    <t>FAO in Uganda</t>
  </si>
  <si>
    <t>News and latest information from the Food and Agriculture Organization of the United Nations (FAO) aka #unfao in Uganda</t>
  </si>
  <si>
    <t>FAO IN Uganda</t>
  </si>
  <si>
    <t>theangerpig</t>
  </si>
  <si>
    <t>The Anger Pig</t>
  </si>
  <si>
    <t>The Anger Pig | Tweets about things that make the Anger Pig Angry #angry #angerpig</t>
  </si>
  <si>
    <t>FAOnews</t>
  </si>
  <si>
    <t>FAO Newsroom</t>
  </si>
  <si>
    <t>News &amp; info from the Food &amp; Agriculture Organization of the United Nations (FAO, aka #UNFAO), the UN agency that leads international efforts to defeat hunger.</t>
  </si>
  <si>
    <t>sustainability</t>
  </si>
  <si>
    <t>politics</t>
  </si>
  <si>
    <t>pacomemmedina</t>
  </si>
  <si>
    <t>Francisco Medina</t>
  </si>
  <si>
    <t>Leo y escribo. Entiendo y explico._x000D_
Comunicólogo más lo que haga falta._x000D_
Hecho en la batalla. _x000D_
Ropa usada que vendan...</t>
  </si>
  <si>
    <t>México</t>
  </si>
  <si>
    <t>ericjesper</t>
  </si>
  <si>
    <t>Jesper Karlsson</t>
  </si>
  <si>
    <t>Lid1108</t>
  </si>
  <si>
    <t>Lidija Stankovikj</t>
  </si>
  <si>
    <t>#Sustainability &amp; #CSR professional exploring Southeast Asia. Tweeting  about poverty, social justice and development.</t>
  </si>
  <si>
    <t>Myanmar &amp; India</t>
  </si>
  <si>
    <t>jenniestrand</t>
  </si>
  <si>
    <t>Jennie Strand</t>
  </si>
  <si>
    <t>Raketbyggare, Pizzaexpert, Gourmand, Drottning över Cosmos och enormt Kärleksfull</t>
  </si>
  <si>
    <t>doireannmcdTV</t>
  </si>
  <si>
    <t>Doireann Mc Dermott</t>
  </si>
  <si>
    <t>Irish TV journalist.  Passionate about business, culture &amp; food! https://t.co/OfcWXXFjfB</t>
  </si>
  <si>
    <t>Latvia</t>
  </si>
  <si>
    <t>advertising</t>
  </si>
  <si>
    <t>Ruedelelevage</t>
  </si>
  <si>
    <t>TheFeeder</t>
  </si>
  <si>
    <t>RoadBackToRome</t>
  </si>
  <si>
    <t>R_Jurkovskaja</t>
  </si>
  <si>
    <t>Roxane Jurkovskaja</t>
  </si>
  <si>
    <t>Passionate about how we can apply #tech &amp; #socent to solve global challenges | Co-Founder @Hackamena &amp; @theddot | Contributor @startupgrind | Let's #hack4impact</t>
  </si>
  <si>
    <t>CPH ➔ NYC ➔ DXB</t>
  </si>
  <si>
    <t>EmikoTerazono</t>
  </si>
  <si>
    <t>Emiko Terazono</t>
  </si>
  <si>
    <t>Financial Times commodities correspondent. All opinions are my own. Also tweeting at @ftcommodities.</t>
  </si>
  <si>
    <t>coffee</t>
  </si>
  <si>
    <t>IGCgrains</t>
  </si>
  <si>
    <t>Int. Grains Council</t>
  </si>
  <si>
    <t>Official International Grains Council twitter feed, providing independent analysis of grains, rice and oilseeds markets</t>
  </si>
  <si>
    <t>foodtank</t>
  </si>
  <si>
    <t>Food Tank</t>
  </si>
  <si>
    <t>Join Food Tank today, because together we'll change the food system! @DaniNierenberg, President. Sign-Up: https://t.co/uVb9OzynCy</t>
  </si>
  <si>
    <t>New Orleans, LA</t>
  </si>
  <si>
    <t>FAOFDI</t>
  </si>
  <si>
    <t>UNFAO FDI</t>
  </si>
  <si>
    <t>UNFAO promotes responsible investment in agriculture and food systems that contributes to food security and nutrition.</t>
  </si>
  <si>
    <t>caprazli</t>
  </si>
  <si>
    <t>Kafkas Caprazli</t>
  </si>
  <si>
    <t>Working at FAO of the UN - for a world free of hunger: #DRR #SDGs. Tweets are personal. I'm trying to think, don't confuse me with facts.</t>
  </si>
  <si>
    <t>Rome-Italy</t>
  </si>
  <si>
    <t>Drechsler_AMIS</t>
  </si>
  <si>
    <t>Denis Drechsler</t>
  </si>
  <si>
    <t>AMIS Project Manager at FAO Headquarters in Rome/Italy.</t>
  </si>
  <si>
    <t>AMISoutlook</t>
  </si>
  <si>
    <t>AMIS</t>
  </si>
  <si>
    <t>The Agricultural Market Information System (AMIS) enhances food market transparency and encourages coordination of policy action. #wheat #soybeans #rice #maize</t>
  </si>
  <si>
    <t>jamesanteater</t>
  </si>
  <si>
    <t>James Edge</t>
  </si>
  <si>
    <t>development, bicycles, disability, non-profits, aardvarks, travel, chocolate, bees, nuns, human rights, psychology, food, #UNFAO #UnitedNations @FAOstatistics</t>
  </si>
  <si>
    <t>Italy</t>
  </si>
  <si>
    <t>FAOstatistics</t>
  </si>
  <si>
    <t>FAO statistics</t>
  </si>
  <si>
    <t>Food and Agriculture Organization of the United Nations (#UNFAO). Food and agriculture statistics | Social and economic development. #FAOSTAT #FoodSecurity</t>
  </si>
  <si>
    <t>Rome, Lazio</t>
  </si>
  <si>
    <t>#data</t>
  </si>
  <si>
    <t>pakistan</t>
  </si>
  <si>
    <t>statistics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</si>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</sst>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m/d/yy;@"/>
    <numFmt numFmtId="165" formatCode="[$-409]mmm\-yy;@"/>
    <numFmt numFmtId="166" formatCode="[$-409]h:mm\ AM/PM;@"/>
    <numFmt numFmtId="167" formatCode="0.0%"/>
    <numFmt numFmtId="168" formatCode="0.0"/>
    <numFmt numFmtId="169" formatCode="#,##0.0"/>
    <numFmt numFmtId="170" formatCode="[$-409]m/d/yy\ h:mm\ AM/PM;@"/>
    <numFmt numFmtId="171" formatCode="\+#,##0.00"/>
    <numFmt numFmtId="172" formatCode="[&gt;=1000000].0,,&quot;M&quot;;[&gt;=1000].0,&quot;K&quot;;#,##0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8E8E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i/>
      <sz val="10"/>
      <color indexed="8"/>
      <name val="Calibri"/>
      <family val="2"/>
    </font>
    <font>
      <sz val="11"/>
      <color rgb="FFBFBFBF"/>
      <name val="Calibri"/>
      <family val="2"/>
    </font>
    <font>
      <sz val="11"/>
      <color rgb="FFCC0099"/>
      <name val="Calibri"/>
      <family val="2"/>
    </font>
    <font>
      <sz val="11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sz val="11"/>
      <color rgb="FF5F5F5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5F5F5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DCDCDC"/>
      <name val="Calibri"/>
      <family val="2"/>
      <scheme val="minor"/>
    </font>
    <font>
      <sz val="14"/>
      <color rgb="FFDCDCDC"/>
      <name val="Calibri"/>
      <family val="2"/>
      <scheme val="minor"/>
    </font>
    <font>
      <sz val="16"/>
      <color rgb="FFDCDCDC"/>
      <name val="Calibri"/>
      <family val="2"/>
      <scheme val="minor"/>
    </font>
    <font>
      <sz val="10"/>
      <color rgb="FFA1132E"/>
      <name val="Calibri"/>
      <family val="2"/>
      <scheme val="minor"/>
    </font>
    <font>
      <sz val="10"/>
      <color rgb="FFA0A0A0"/>
      <name val="Calibri"/>
      <family val="2"/>
      <scheme val="minor"/>
    </font>
    <font>
      <b/>
      <u/>
      <sz val="10"/>
      <color rgb="FF151515"/>
      <name val="Calibri"/>
      <family val="2"/>
      <scheme val="minor"/>
    </font>
    <font>
      <b/>
      <sz val="10"/>
      <color rgb="FF15151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DCDCDC"/>
      <name val="Calibri"/>
      <family val="2"/>
      <scheme val="minor"/>
    </font>
    <font>
      <sz val="16"/>
      <color rgb="FFDDDDDD"/>
      <name val="Calibri"/>
      <family val="2"/>
      <scheme val="minor"/>
    </font>
    <font>
      <sz val="10"/>
      <color rgb="FFDDDDDD"/>
      <name val="Calibri"/>
      <family val="2"/>
      <scheme val="minor"/>
    </font>
    <font>
      <i/>
      <sz val="12"/>
      <color rgb="FFA0A0A0"/>
      <name val="Calibri"/>
      <family val="2"/>
      <scheme val="minor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F2F2F2"/>
      </patternFill>
    </fill>
    <fill>
      <patternFill patternType="solid">
        <fgColor rgb="FF676767"/>
        <bgColor indexed="64"/>
      </patternFill>
    </fill>
    <fill>
      <gradientFill degree="90">
        <stop position="0">
          <color rgb="FFF6E99C"/>
        </stop>
        <stop position="1">
          <color rgb="FFFFFFCC"/>
        </stop>
      </gradientFill>
    </fill>
    <fill>
      <gradientFill degree="90">
        <stop position="0">
          <color rgb="FFDEDEDE"/>
        </stop>
        <stop position="1">
          <color rgb="FFDADADA"/>
        </stop>
      </gradientFill>
    </fill>
    <fill>
      <gradientFill degree="90">
        <stop position="0">
          <color theme="0"/>
        </stop>
        <stop position="1">
          <color rgb="FFDEDEDE"/>
        </stop>
      </gradientFill>
    </fill>
    <fill>
      <gradientFill degree="90">
        <stop position="0">
          <color rgb="FF33CC33"/>
        </stop>
        <stop position="1">
          <color rgb="FF009900"/>
        </stop>
      </gradientFill>
    </fill>
    <fill>
      <gradientFill degree="90">
        <stop position="0">
          <color rgb="FFEEEEEE"/>
        </stop>
        <stop position="1">
          <color rgb="FFE8E8E8"/>
        </stop>
      </gradientFill>
    </fill>
    <fill>
      <gradientFill degree="90">
        <stop position="0">
          <color rgb="FFF5F5F5"/>
        </stop>
        <stop position="1">
          <color rgb="FFEEEEEE"/>
        </stop>
      </gradientFill>
    </fill>
    <fill>
      <patternFill patternType="solid">
        <fgColor theme="6" tint="0.79998168889431442"/>
        <bgColor indexed="64"/>
      </patternFill>
    </fill>
    <fill>
      <patternFill patternType="solid">
        <fgColor theme="0" tint="-0.89999084444715716"/>
        <bgColor indexed="64"/>
      </patternFill>
    </fill>
    <fill>
      <patternFill patternType="solid">
        <fgColor theme="0" tint="-9.9978637043366805E-2"/>
        <bgColor indexed="64"/>
      </patternFill>
    </fill>
    <fill>
      <gradientFill degree="90">
        <stop position="0">
          <color rgb="FFA4C6EE"/>
        </stop>
        <stop position="1">
          <color rgb="FF84B1E8"/>
        </stop>
      </gradientFill>
    </fill>
    <fill>
      <patternFill patternType="solid">
        <fgColor rgb="FFFFFFFF"/>
        <bgColor indexed="64"/>
      </patternFill>
    </fill>
    <fill>
      <patternFill patternType="solid">
        <fgColor rgb="FFEAF0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76768"/>
        <bgColor indexed="64"/>
      </patternFill>
    </fill>
    <fill>
      <patternFill patternType="solid">
        <fgColor rgb="FF2627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6E2EE"/>
      </top>
      <bottom style="thin">
        <color rgb="FF83A7CA"/>
      </bottom>
      <diagonal/>
    </border>
    <border>
      <left/>
      <right/>
      <top style="thin">
        <color rgb="FFD8E3F0"/>
      </top>
      <bottom style="thin">
        <color rgb="FFD8E3F0"/>
      </bottom>
      <diagonal/>
    </border>
    <border>
      <left style="medium">
        <color rgb="FF151515"/>
      </left>
      <right/>
      <top style="thin">
        <color rgb="FFD6E2EE"/>
      </top>
      <bottom style="thin">
        <color rgb="FF83A7CA"/>
      </bottom>
      <diagonal/>
    </border>
    <border>
      <left/>
      <right style="medium">
        <color rgb="FF151515"/>
      </right>
      <top style="thin">
        <color rgb="FFD6E2EE"/>
      </top>
      <bottom style="thin">
        <color rgb="FF83A7CA"/>
      </bottom>
      <diagonal/>
    </border>
    <border>
      <left style="medium">
        <color rgb="FF151515"/>
      </left>
      <right/>
      <top style="thin">
        <color rgb="FFD8E3F0"/>
      </top>
      <bottom style="thin">
        <color rgb="FFD8E3F0"/>
      </bottom>
      <diagonal/>
    </border>
    <border>
      <left/>
      <right style="medium">
        <color rgb="FF151515"/>
      </right>
      <top style="thin">
        <color rgb="FFD8E3F0"/>
      </top>
      <bottom style="thin">
        <color rgb="FFD8E3F0"/>
      </bottom>
      <diagonal/>
    </border>
    <border>
      <left/>
      <right/>
      <top style="thin">
        <color rgb="FFD8E3F0"/>
      </top>
      <bottom style="medium">
        <color rgb="FF151515"/>
      </bottom>
      <diagonal/>
    </border>
    <border>
      <left style="medium">
        <color rgb="FF151515"/>
      </left>
      <right/>
      <top style="thin">
        <color rgb="FFD8E3F0"/>
      </top>
      <bottom style="medium">
        <color rgb="FF151515"/>
      </bottom>
      <diagonal/>
    </border>
    <border>
      <left/>
      <right style="medium">
        <color rgb="FF151515"/>
      </right>
      <top style="thin">
        <color rgb="FFD8E3F0"/>
      </top>
      <bottom style="medium">
        <color rgb="FF1515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/>
      <right/>
      <top style="medium">
        <color rgb="FF151516"/>
      </top>
      <bottom/>
      <diagonal/>
    </border>
    <border>
      <left style="medium">
        <color rgb="FF151516"/>
      </left>
      <right/>
      <top style="medium">
        <color rgb="FF151516"/>
      </top>
      <bottom/>
      <diagonal/>
    </border>
    <border>
      <left/>
      <right style="medium">
        <color rgb="FF151516"/>
      </right>
      <top style="medium">
        <color rgb="FF151516"/>
      </top>
      <bottom/>
      <diagonal/>
    </border>
    <border>
      <left style="medium">
        <color rgb="FF151516"/>
      </left>
      <right/>
      <top/>
      <bottom/>
      <diagonal/>
    </border>
    <border>
      <left/>
      <right style="medium">
        <color rgb="FF151516"/>
      </right>
      <top/>
      <bottom/>
      <diagonal/>
    </border>
    <border>
      <left style="medium">
        <color rgb="FF151515"/>
      </left>
      <right/>
      <top style="medium">
        <color rgb="FF151515"/>
      </top>
      <bottom/>
      <diagonal/>
    </border>
    <border>
      <left/>
      <right/>
      <top style="medium">
        <color rgb="FF151515"/>
      </top>
      <bottom/>
      <diagonal/>
    </border>
    <border>
      <left/>
      <right style="medium">
        <color rgb="FF151515"/>
      </right>
      <top style="medium">
        <color rgb="FF151515"/>
      </top>
      <bottom/>
      <diagonal/>
    </border>
    <border>
      <left style="medium">
        <color rgb="FF151515"/>
      </left>
      <right/>
      <top/>
      <bottom/>
      <diagonal/>
    </border>
    <border>
      <left style="thin">
        <color rgb="FF000000"/>
      </left>
      <right style="medium">
        <color rgb="FF151515"/>
      </right>
      <top style="thin">
        <color rgb="FF000000"/>
      </top>
      <bottom style="thin">
        <color rgb="FF000000"/>
      </bottom>
      <diagonal/>
    </border>
    <border>
      <left style="medium">
        <color rgb="FF151515"/>
      </left>
      <right/>
      <top/>
      <bottom style="medium">
        <color rgb="FF151515"/>
      </bottom>
      <diagonal/>
    </border>
    <border>
      <left/>
      <right/>
      <top/>
      <bottom style="medium">
        <color rgb="FF151515"/>
      </bottom>
      <diagonal/>
    </border>
    <border>
      <left/>
      <right style="medium">
        <color rgb="FF151515"/>
      </right>
      <top/>
      <bottom style="medium">
        <color rgb="FF151515"/>
      </bottom>
      <diagonal/>
    </border>
    <border>
      <left/>
      <right style="medium">
        <color rgb="FF151515"/>
      </right>
      <top/>
      <bottom/>
      <diagonal/>
    </border>
    <border>
      <left/>
      <right/>
      <top style="thin">
        <color rgb="FF83A7CA"/>
      </top>
      <bottom/>
      <diagonal/>
    </border>
    <border>
      <left style="medium">
        <color rgb="FF151515"/>
      </left>
      <right/>
      <top style="thin">
        <color rgb="FF83A7CA"/>
      </top>
      <bottom/>
      <diagonal/>
    </border>
    <border>
      <left/>
      <right/>
      <top style="thin">
        <color rgb="FFD8E3F0"/>
      </top>
      <bottom/>
      <diagonal/>
    </border>
    <border>
      <left style="medium">
        <color rgb="FF151515"/>
      </left>
      <right/>
      <top style="thin">
        <color rgb="FFD8E3F0"/>
      </top>
      <bottom/>
      <diagonal/>
    </border>
    <border>
      <left/>
      <right/>
      <top style="thin">
        <color rgb="FF83A7CA"/>
      </top>
      <bottom style="thin">
        <color rgb="FFD8E3F0"/>
      </bottom>
      <diagonal/>
    </border>
    <border>
      <left/>
      <right style="medium">
        <color rgb="FF151515"/>
      </right>
      <top style="thin">
        <color rgb="FF83A7CA"/>
      </top>
      <bottom style="thin">
        <color rgb="FFD8E3F0"/>
      </bottom>
      <diagonal/>
    </border>
    <border>
      <left style="thin">
        <color rgb="FF33CC33"/>
      </left>
      <right/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5" fillId="0" borderId="0" applyNumberFormat="0" applyFill="0" applyBorder="0" applyAlignment="0" applyProtection="0"/>
    <xf numFmtId="165" fontId="16" fillId="6" borderId="4" applyNumberFormat="0" applyAlignment="0" applyProtection="0"/>
  </cellStyleXfs>
  <cellXfs count="312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7" fillId="4" borderId="0" xfId="0" applyFont="1" applyFill="1"/>
    <xf numFmtId="1" fontId="0" fillId="0" borderId="0" xfId="0" applyNumberFormat="1"/>
    <xf numFmtId="0" fontId="0" fillId="7" borderId="0" xfId="0" applyFill="1"/>
    <xf numFmtId="0" fontId="0" fillId="3" borderId="0" xfId="0" applyFill="1" applyBorder="1"/>
    <xf numFmtId="0" fontId="19" fillId="3" borderId="0" xfId="0" applyFont="1" applyFill="1" applyBorder="1" applyAlignment="1">
      <alignment horizontal="right" vertical="center" indent="1"/>
    </xf>
    <xf numFmtId="0" fontId="20" fillId="3" borderId="0" xfId="0" applyFont="1" applyFill="1" applyBorder="1" applyAlignment="1">
      <alignment horizontal="right"/>
    </xf>
    <xf numFmtId="0" fontId="0" fillId="9" borderId="0" xfId="0" applyFill="1"/>
    <xf numFmtId="0" fontId="0" fillId="10" borderId="0" xfId="0" applyFill="1"/>
    <xf numFmtId="165" fontId="6" fillId="10" borderId="0" xfId="0" applyNumberFormat="1" applyFont="1" applyFill="1" applyBorder="1" applyAlignment="1">
      <alignment horizontal="center" vertical="center"/>
    </xf>
    <xf numFmtId="0" fontId="5" fillId="12" borderId="0" xfId="0" applyFont="1" applyFill="1" applyBorder="1"/>
    <xf numFmtId="0" fontId="0" fillId="12" borderId="0" xfId="0" applyFill="1" applyBorder="1"/>
    <xf numFmtId="0" fontId="0" fillId="13" borderId="0" xfId="0" applyFill="1"/>
    <xf numFmtId="0" fontId="0" fillId="0" borderId="0" xfId="0" applyFill="1" applyBorder="1"/>
    <xf numFmtId="165" fontId="0" fillId="0" borderId="0" xfId="0" applyNumberFormat="1" applyFill="1" applyBorder="1"/>
    <xf numFmtId="14" fontId="0" fillId="0" borderId="0" xfId="0" applyNumberFormat="1" applyFill="1" applyBorder="1"/>
    <xf numFmtId="165" fontId="0" fillId="0" borderId="0" xfId="0" applyNumberFormat="1" applyFill="1"/>
    <xf numFmtId="164" fontId="14" fillId="14" borderId="0" xfId="0" applyNumberFormat="1" applyFont="1" applyFill="1"/>
    <xf numFmtId="165" fontId="0" fillId="0" borderId="0" xfId="0" applyNumberFormat="1" applyFill="1" applyAlignment="1">
      <alignment horizontal="center"/>
    </xf>
    <xf numFmtId="164" fontId="0" fillId="0" borderId="0" xfId="0" applyNumberFormat="1" applyFill="1"/>
    <xf numFmtId="165" fontId="8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center"/>
    </xf>
    <xf numFmtId="165" fontId="6" fillId="15" borderId="0" xfId="0" applyNumberFormat="1" applyFont="1" applyFill="1"/>
    <xf numFmtId="0" fontId="6" fillId="15" borderId="0" xfId="0" applyFont="1" applyFill="1"/>
    <xf numFmtId="165" fontId="7" fillId="4" borderId="0" xfId="0" applyNumberFormat="1" applyFont="1" applyFill="1"/>
    <xf numFmtId="14" fontId="0" fillId="0" borderId="0" xfId="0" applyNumberFormat="1" applyFill="1"/>
    <xf numFmtId="0" fontId="25" fillId="16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" fontId="14" fillId="14" borderId="0" xfId="0" applyNumberFormat="1" applyFon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" fontId="0" fillId="0" borderId="5" xfId="0" applyNumberFormat="1" applyFill="1" applyBorder="1"/>
    <xf numFmtId="14" fontId="0" fillId="0" borderId="5" xfId="0" applyNumberFormat="1" applyBorder="1"/>
    <xf numFmtId="1" fontId="14" fillId="14" borderId="0" xfId="0" applyNumberFormat="1" applyFont="1" applyFill="1" applyBorder="1"/>
    <xf numFmtId="0" fontId="7" fillId="15" borderId="8" xfId="0" applyFont="1" applyFill="1" applyBorder="1"/>
    <xf numFmtId="0" fontId="7" fillId="15" borderId="9" xfId="0" applyFont="1" applyFill="1" applyBorder="1"/>
    <xf numFmtId="0" fontId="7" fillId="15" borderId="10" xfId="0" applyFont="1" applyFill="1" applyBorder="1"/>
    <xf numFmtId="0" fontId="23" fillId="12" borderId="0" xfId="0" applyFont="1" applyFill="1" applyBorder="1" applyAlignment="1"/>
    <xf numFmtId="0" fontId="3" fillId="3" borderId="14" xfId="0" applyFont="1" applyFill="1" applyBorder="1" applyAlignment="1">
      <alignment horizontal="left" indent="2"/>
    </xf>
    <xf numFmtId="0" fontId="4" fillId="3" borderId="15" xfId="0" applyFont="1" applyFill="1" applyBorder="1" applyAlignment="1">
      <alignment horizontal="center"/>
    </xf>
    <xf numFmtId="0" fontId="21" fillId="3" borderId="15" xfId="0" applyFont="1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3" fillId="3" borderId="1" xfId="0" applyFont="1" applyFill="1" applyBorder="1" applyAlignment="1">
      <alignment horizontal="left" indent="2"/>
    </xf>
    <xf numFmtId="0" fontId="0" fillId="3" borderId="2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8" xfId="0" applyFill="1" applyBorder="1"/>
    <xf numFmtId="0" fontId="0" fillId="10" borderId="0" xfId="0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2" xfId="0" applyNumberFormat="1" applyBorder="1"/>
    <xf numFmtId="0" fontId="9" fillId="0" borderId="0" xfId="2" applyNumberFormat="1" applyFon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Border="1"/>
    <xf numFmtId="0" fontId="0" fillId="0" borderId="0" xfId="0" applyNumberFormat="1" applyBorder="1" applyAlignment="1">
      <alignment horizontal="center"/>
    </xf>
    <xf numFmtId="166" fontId="0" fillId="0" borderId="0" xfId="0" applyNumberFormat="1" applyFill="1"/>
    <xf numFmtId="166" fontId="14" fillId="14" borderId="0" xfId="0" applyNumberFormat="1" applyFont="1" applyFill="1"/>
    <xf numFmtId="164" fontId="0" fillId="0" borderId="0" xfId="0" applyNumberFormat="1"/>
    <xf numFmtId="0" fontId="27" fillId="5" borderId="0" xfId="0" applyFont="1" applyFill="1" applyBorder="1" applyAlignment="1">
      <alignment horizontal="left" vertical="center" indent="1"/>
    </xf>
    <xf numFmtId="0" fontId="28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vertical="center"/>
    </xf>
    <xf numFmtId="167" fontId="0" fillId="0" borderId="0" xfId="0" applyNumberFormat="1"/>
    <xf numFmtId="0" fontId="8" fillId="4" borderId="0" xfId="0" applyFont="1" applyFill="1"/>
    <xf numFmtId="0" fontId="0" fillId="4" borderId="0" xfId="0" applyFill="1"/>
    <xf numFmtId="0" fontId="3" fillId="20" borderId="29" xfId="0" applyFont="1" applyFill="1" applyBorder="1"/>
    <xf numFmtId="0" fontId="3" fillId="20" borderId="30" xfId="0" applyFont="1" applyFill="1" applyBorder="1"/>
    <xf numFmtId="169" fontId="0" fillId="21" borderId="16" xfId="0" applyNumberFormat="1" applyFill="1" applyBorder="1"/>
    <xf numFmtId="0" fontId="0" fillId="0" borderId="31" xfId="0" applyBorder="1"/>
    <xf numFmtId="3" fontId="0" fillId="21" borderId="31" xfId="0" applyNumberFormat="1" applyFill="1" applyBorder="1"/>
    <xf numFmtId="0" fontId="3" fillId="20" borderId="31" xfId="0" applyFont="1" applyFill="1" applyBorder="1"/>
    <xf numFmtId="169" fontId="0" fillId="21" borderId="2" xfId="0" applyNumberFormat="1" applyFill="1" applyBorder="1"/>
    <xf numFmtId="0" fontId="3" fillId="20" borderId="32" xfId="0" applyFont="1" applyFill="1" applyBorder="1"/>
    <xf numFmtId="169" fontId="0" fillId="21" borderId="18" xfId="0" applyNumberFormat="1" applyFill="1" applyBorder="1"/>
    <xf numFmtId="9" fontId="0" fillId="0" borderId="31" xfId="0" applyNumberFormat="1" applyBorder="1"/>
    <xf numFmtId="0" fontId="0" fillId="0" borderId="32" xfId="0" applyBorder="1"/>
    <xf numFmtId="3" fontId="0" fillId="21" borderId="32" xfId="0" applyNumberFormat="1" applyFill="1" applyBorder="1"/>
    <xf numFmtId="0" fontId="7" fillId="0" borderId="0" xfId="0" applyFont="1" applyFill="1"/>
    <xf numFmtId="0" fontId="34" fillId="0" borderId="0" xfId="0" applyNumberFormat="1" applyFont="1"/>
    <xf numFmtId="0" fontId="11" fillId="0" borderId="1" xfId="0" applyNumberFormat="1" applyFont="1" applyFill="1" applyBorder="1"/>
    <xf numFmtId="0" fontId="10" fillId="0" borderId="0" xfId="0" applyNumberFormat="1" applyFont="1" applyFill="1" applyBorder="1"/>
    <xf numFmtId="0" fontId="10" fillId="0" borderId="1" xfId="2" applyNumberFormat="1" applyFont="1" applyFill="1" applyBorder="1"/>
    <xf numFmtId="3" fontId="0" fillId="0" borderId="0" xfId="0" applyNumberFormat="1" applyBorder="1"/>
    <xf numFmtId="0" fontId="7" fillId="4" borderId="15" xfId="0" applyNumberFormat="1" applyFont="1" applyFill="1" applyBorder="1"/>
    <xf numFmtId="0" fontId="0" fillId="0" borderId="17" xfId="0" applyNumberFormat="1" applyBorder="1"/>
    <xf numFmtId="0" fontId="0" fillId="0" borderId="13" xfId="0" applyNumberFormat="1" applyBorder="1"/>
    <xf numFmtId="0" fontId="0" fillId="0" borderId="18" xfId="0" applyNumberFormat="1" applyBorder="1"/>
    <xf numFmtId="0" fontId="0" fillId="0" borderId="1" xfId="0" applyNumberFormat="1" applyBorder="1" applyAlignment="1">
      <alignment horizontal="left"/>
    </xf>
    <xf numFmtId="3" fontId="0" fillId="0" borderId="2" xfId="0" applyNumberFormat="1" applyBorder="1"/>
    <xf numFmtId="0" fontId="0" fillId="0" borderId="17" xfId="0" applyNumberFormat="1" applyBorder="1" applyAlignment="1">
      <alignment horizontal="left"/>
    </xf>
    <xf numFmtId="3" fontId="0" fillId="0" borderId="13" xfId="0" applyNumberFormat="1" applyBorder="1"/>
    <xf numFmtId="3" fontId="0" fillId="0" borderId="18" xfId="0" applyNumberFormat="1" applyBorder="1"/>
    <xf numFmtId="0" fontId="3" fillId="0" borderId="11" xfId="0" applyNumberFormat="1" applyFont="1" applyFill="1" applyBorder="1"/>
    <xf numFmtId="3" fontId="8" fillId="0" borderId="0" xfId="2" applyNumberFormat="1" applyFont="1" applyBorder="1" applyAlignment="1">
      <alignment horizontal="right"/>
    </xf>
    <xf numFmtId="3" fontId="9" fillId="0" borderId="0" xfId="2" applyNumberFormat="1" applyFont="1" applyBorder="1" applyAlignment="1">
      <alignment horizontal="right"/>
    </xf>
    <xf numFmtId="167" fontId="8" fillId="0" borderId="0" xfId="3" applyNumberFormat="1" applyFont="1" applyBorder="1" applyAlignment="1">
      <alignment horizontal="right"/>
    </xf>
    <xf numFmtId="167" fontId="0" fillId="0" borderId="0" xfId="3" applyNumberFormat="1" applyFont="1" applyBorder="1"/>
    <xf numFmtId="0" fontId="0" fillId="0" borderId="1" xfId="0" applyNumberFormat="1" applyBorder="1" applyAlignment="1">
      <alignment horizontal="right"/>
    </xf>
    <xf numFmtId="0" fontId="8" fillId="0" borderId="2" xfId="2" applyNumberFormat="1" applyFont="1" applyBorder="1" applyAlignment="1">
      <alignment horizontal="right"/>
    </xf>
    <xf numFmtId="0" fontId="9" fillId="0" borderId="2" xfId="2" applyNumberFormat="1" applyFont="1" applyBorder="1" applyAlignment="1">
      <alignment horizontal="right"/>
    </xf>
    <xf numFmtId="0" fontId="9" fillId="0" borderId="13" xfId="2" applyNumberFormat="1" applyFont="1" applyBorder="1" applyAlignment="1">
      <alignment horizontal="right"/>
    </xf>
    <xf numFmtId="3" fontId="9" fillId="0" borderId="13" xfId="2" applyNumberFormat="1" applyFont="1" applyBorder="1" applyAlignment="1">
      <alignment horizontal="right"/>
    </xf>
    <xf numFmtId="0" fontId="9" fillId="0" borderId="18" xfId="2" applyNumberFormat="1" applyFont="1" applyBorder="1" applyAlignment="1">
      <alignment horizontal="right"/>
    </xf>
    <xf numFmtId="0" fontId="0" fillId="0" borderId="2" xfId="0" applyBorder="1"/>
    <xf numFmtId="3" fontId="0" fillId="0" borderId="2" xfId="2" applyNumberFormat="1" applyFont="1" applyBorder="1"/>
    <xf numFmtId="0" fontId="0" fillId="0" borderId="17" xfId="0" applyNumberFormat="1" applyBorder="1" applyAlignment="1">
      <alignment horizontal="center"/>
    </xf>
    <xf numFmtId="0" fontId="0" fillId="0" borderId="13" xfId="2" applyNumberFormat="1" applyFont="1" applyBorder="1"/>
    <xf numFmtId="168" fontId="0" fillId="0" borderId="32" xfId="0" applyNumberFormat="1" applyBorder="1"/>
    <xf numFmtId="0" fontId="0" fillId="0" borderId="17" xfId="0" applyBorder="1"/>
    <xf numFmtId="0" fontId="0" fillId="0" borderId="18" xfId="0" applyBorder="1"/>
    <xf numFmtId="0" fontId="3" fillId="20" borderId="11" xfId="0" applyNumberFormat="1" applyFont="1" applyFill="1" applyBorder="1"/>
    <xf numFmtId="0" fontId="3" fillId="20" borderId="33" xfId="0" applyNumberFormat="1" applyFont="1" applyFill="1" applyBorder="1"/>
    <xf numFmtId="0" fontId="3" fillId="20" borderId="12" xfId="0" applyNumberFormat="1" applyFont="1" applyFill="1" applyBorder="1"/>
    <xf numFmtId="3" fontId="0" fillId="0" borderId="0" xfId="0" applyNumberFormat="1" applyFont="1" applyBorder="1"/>
    <xf numFmtId="168" fontId="0" fillId="0" borderId="0" xfId="0" applyNumberFormat="1" applyBorder="1"/>
    <xf numFmtId="1" fontId="0" fillId="0" borderId="0" xfId="0" applyNumberFormat="1" applyBorder="1"/>
    <xf numFmtId="0" fontId="0" fillId="0" borderId="13" xfId="0" applyBorder="1"/>
    <xf numFmtId="3" fontId="0" fillId="0" borderId="13" xfId="0" applyNumberFormat="1" applyFont="1" applyBorder="1"/>
    <xf numFmtId="168" fontId="0" fillId="0" borderId="13" xfId="0" applyNumberFormat="1" applyBorder="1"/>
    <xf numFmtId="1" fontId="0" fillId="0" borderId="13" xfId="0" applyNumberFormat="1" applyBorder="1"/>
    <xf numFmtId="0" fontId="3" fillId="20" borderId="11" xfId="0" applyFont="1" applyFill="1" applyBorder="1"/>
    <xf numFmtId="0" fontId="3" fillId="20" borderId="33" xfId="0" applyFont="1" applyFill="1" applyBorder="1"/>
    <xf numFmtId="0" fontId="3" fillId="20" borderId="12" xfId="0" applyFont="1" applyFill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6" fillId="4" borderId="15" xfId="0" applyNumberFormat="1" applyFont="1" applyFill="1" applyBorder="1"/>
    <xf numFmtId="0" fontId="10" fillId="0" borderId="14" xfId="2" applyNumberFormat="1" applyFont="1" applyFill="1" applyBorder="1"/>
    <xf numFmtId="0" fontId="10" fillId="0" borderId="17" xfId="2" applyNumberFormat="1" applyFont="1" applyFill="1" applyBorder="1"/>
    <xf numFmtId="0" fontId="10" fillId="0" borderId="30" xfId="2" applyNumberFormat="1" applyFont="1" applyFill="1" applyBorder="1"/>
    <xf numFmtId="3" fontId="10" fillId="0" borderId="31" xfId="2" applyNumberFormat="1" applyFont="1" applyFill="1" applyBorder="1"/>
    <xf numFmtId="3" fontId="10" fillId="0" borderId="32" xfId="2" applyNumberFormat="1" applyFont="1" applyFill="1" applyBorder="1"/>
    <xf numFmtId="0" fontId="3" fillId="20" borderId="11" xfId="0" applyNumberFormat="1" applyFont="1" applyFill="1" applyBorder="1" applyAlignment="1">
      <alignment horizontal="left"/>
    </xf>
    <xf numFmtId="0" fontId="3" fillId="20" borderId="33" xfId="0" applyNumberFormat="1" applyFont="1" applyFill="1" applyBorder="1" applyAlignment="1">
      <alignment horizontal="left"/>
    </xf>
    <xf numFmtId="0" fontId="3" fillId="20" borderId="33" xfId="0" applyNumberFormat="1" applyFont="1" applyFill="1" applyBorder="1" applyAlignment="1">
      <alignment horizontal="center"/>
    </xf>
    <xf numFmtId="0" fontId="3" fillId="20" borderId="12" xfId="0" applyNumberFormat="1" applyFont="1" applyFill="1" applyBorder="1" applyAlignment="1">
      <alignment horizontal="center"/>
    </xf>
    <xf numFmtId="0" fontId="3" fillId="20" borderId="11" xfId="0" applyNumberFormat="1" applyFont="1" applyFill="1" applyBorder="1" applyAlignment="1">
      <alignment horizontal="center"/>
    </xf>
    <xf numFmtId="0" fontId="9" fillId="20" borderId="33" xfId="2" applyNumberFormat="1" applyFont="1" applyFill="1" applyBorder="1" applyAlignment="1">
      <alignment horizontal="center"/>
    </xf>
    <xf numFmtId="0" fontId="9" fillId="20" borderId="12" xfId="2" applyNumberFormat="1" applyFont="1" applyFill="1" applyBorder="1" applyAlignment="1">
      <alignment horizontal="center"/>
    </xf>
    <xf numFmtId="0" fontId="3" fillId="20" borderId="33" xfId="2" applyNumberFormat="1" applyFont="1" applyFill="1" applyBorder="1" applyAlignment="1">
      <alignment horizontal="center"/>
    </xf>
    <xf numFmtId="0" fontId="0" fillId="0" borderId="14" xfId="0" applyBorder="1"/>
    <xf numFmtId="0" fontId="34" fillId="0" borderId="0" xfId="0" applyFont="1"/>
    <xf numFmtId="1" fontId="0" fillId="0" borderId="15" xfId="0" applyNumberFormat="1" applyBorder="1"/>
    <xf numFmtId="170" fontId="0" fillId="0" borderId="0" xfId="0" applyNumberFormat="1" applyBorder="1"/>
    <xf numFmtId="3" fontId="0" fillId="0" borderId="0" xfId="0" applyNumberFormat="1"/>
    <xf numFmtId="168" fontId="0" fillId="21" borderId="29" xfId="0" applyNumberFormat="1" applyFont="1" applyFill="1" applyBorder="1"/>
    <xf numFmtId="167" fontId="0" fillId="0" borderId="16" xfId="0" applyNumberFormat="1" applyBorder="1"/>
    <xf numFmtId="167" fontId="0" fillId="0" borderId="2" xfId="0" applyNumberFormat="1" applyBorder="1"/>
    <xf numFmtId="167" fontId="0" fillId="0" borderId="18" xfId="0" applyNumberFormat="1" applyBorder="1"/>
    <xf numFmtId="0" fontId="0" fillId="22" borderId="0" xfId="0" applyFill="1"/>
    <xf numFmtId="0" fontId="18" fillId="22" borderId="0" xfId="0" applyFont="1" applyFill="1"/>
    <xf numFmtId="0" fontId="17" fillId="22" borderId="0" xfId="0" applyFont="1" applyFill="1"/>
    <xf numFmtId="0" fontId="0" fillId="22" borderId="0" xfId="0" applyFill="1" applyAlignment="1">
      <alignment horizontal="center"/>
    </xf>
    <xf numFmtId="0" fontId="28" fillId="5" borderId="41" xfId="0" applyFont="1" applyFill="1" applyBorder="1" applyAlignment="1">
      <alignment vertical="center"/>
    </xf>
    <xf numFmtId="0" fontId="27" fillId="5" borderId="40" xfId="0" applyFont="1" applyFill="1" applyBorder="1" applyAlignment="1">
      <alignment horizontal="left" vertical="center" indent="1"/>
    </xf>
    <xf numFmtId="0" fontId="0" fillId="22" borderId="0" xfId="0" applyFill="1" applyAlignment="1">
      <alignment horizontal="left" indent="2"/>
    </xf>
    <xf numFmtId="0" fontId="0" fillId="0" borderId="0" xfId="0" applyAlignment="1">
      <alignment horizontal="left" indent="2"/>
    </xf>
    <xf numFmtId="0" fontId="36" fillId="23" borderId="45" xfId="0" applyFont="1" applyFill="1" applyBorder="1" applyAlignment="1">
      <alignment horizontal="left" vertical="center" indent="1"/>
    </xf>
    <xf numFmtId="0" fontId="36" fillId="23" borderId="0" xfId="0" applyFont="1" applyFill="1" applyBorder="1" applyAlignment="1">
      <alignment horizontal="left" vertical="center" indent="1"/>
    </xf>
    <xf numFmtId="0" fontId="3" fillId="0" borderId="14" xfId="0" applyFont="1" applyBorder="1"/>
    <xf numFmtId="0" fontId="3" fillId="0" borderId="1" xfId="0" applyFont="1" applyBorder="1"/>
    <xf numFmtId="0" fontId="3" fillId="0" borderId="17" xfId="0" applyFont="1" applyBorder="1"/>
    <xf numFmtId="3" fontId="0" fillId="0" borderId="30" xfId="0" applyNumberFormat="1" applyBorder="1"/>
    <xf numFmtId="3" fontId="0" fillId="0" borderId="31" xfId="0" applyNumberFormat="1" applyBorder="1"/>
    <xf numFmtId="3" fontId="3" fillId="20" borderId="30" xfId="0" applyNumberFormat="1" applyFont="1" applyFill="1" applyBorder="1" applyAlignment="1">
      <alignment horizontal="center"/>
    </xf>
    <xf numFmtId="0" fontId="3" fillId="20" borderId="3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169" fontId="0" fillId="0" borderId="0" xfId="0" applyNumberFormat="1" applyBorder="1"/>
    <xf numFmtId="169" fontId="0" fillId="0" borderId="13" xfId="0" applyNumberFormat="1" applyBorder="1"/>
    <xf numFmtId="0" fontId="0" fillId="21" borderId="14" xfId="0" applyFill="1" applyBorder="1"/>
    <xf numFmtId="0" fontId="0" fillId="21" borderId="30" xfId="0" applyFill="1" applyBorder="1"/>
    <xf numFmtId="0" fontId="0" fillId="21" borderId="16" xfId="0" applyFill="1" applyBorder="1"/>
    <xf numFmtId="0" fontId="0" fillId="21" borderId="1" xfId="0" applyFill="1" applyBorder="1"/>
    <xf numFmtId="0" fontId="0" fillId="21" borderId="31" xfId="0" applyFill="1" applyBorder="1"/>
    <xf numFmtId="0" fontId="0" fillId="21" borderId="2" xfId="0" applyFill="1" applyBorder="1"/>
    <xf numFmtId="0" fontId="0" fillId="21" borderId="17" xfId="0" applyFill="1" applyBorder="1"/>
    <xf numFmtId="0" fontId="0" fillId="21" borderId="32" xfId="0" applyFill="1" applyBorder="1"/>
    <xf numFmtId="0" fontId="0" fillId="21" borderId="18" xfId="0" applyFill="1" applyBorder="1"/>
    <xf numFmtId="0" fontId="7" fillId="4" borderId="0" xfId="0" applyFont="1" applyFill="1" applyAlignment="1">
      <alignment wrapText="1"/>
    </xf>
    <xf numFmtId="167" fontId="0" fillId="0" borderId="2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8" fontId="3" fillId="20" borderId="33" xfId="0" applyNumberFormat="1" applyFont="1" applyFill="1" applyBorder="1"/>
    <xf numFmtId="0" fontId="3" fillId="20" borderId="12" xfId="0" applyFont="1" applyFill="1" applyBorder="1" applyAlignment="1">
      <alignment horizontal="right"/>
    </xf>
    <xf numFmtId="14" fontId="0" fillId="22" borderId="0" xfId="0" applyNumberFormat="1" applyFill="1"/>
    <xf numFmtId="2" fontId="0" fillId="22" borderId="0" xfId="0" applyNumberFormat="1" applyFill="1"/>
    <xf numFmtId="0" fontId="3" fillId="0" borderId="0" xfId="0" applyFont="1"/>
    <xf numFmtId="2" fontId="0" fillId="0" borderId="30" xfId="0" applyNumberFormat="1" applyBorder="1"/>
    <xf numFmtId="2" fontId="0" fillId="0" borderId="31" xfId="0" applyNumberFormat="1" applyBorder="1"/>
    <xf numFmtId="2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0" fontId="14" fillId="14" borderId="0" xfId="0" applyNumberFormat="1" applyFont="1" applyFill="1" applyBorder="1" applyAlignment="1">
      <alignment horizontal="right"/>
    </xf>
    <xf numFmtId="0" fontId="0" fillId="0" borderId="5" xfId="0" applyNumberFormat="1" applyBorder="1"/>
    <xf numFmtId="0" fontId="0" fillId="0" borderId="5" xfId="0" applyNumberFormat="1" applyFill="1" applyBorder="1"/>
    <xf numFmtId="170" fontId="0" fillId="0" borderId="5" xfId="0" applyNumberFormat="1" applyFill="1" applyBorder="1" applyAlignment="1">
      <alignment horizontal="center"/>
    </xf>
    <xf numFmtId="0" fontId="6" fillId="10" borderId="0" xfId="0" applyFont="1" applyFill="1" applyBorder="1"/>
    <xf numFmtId="0" fontId="0" fillId="0" borderId="12" xfId="0" applyBorder="1"/>
    <xf numFmtId="2" fontId="0" fillId="0" borderId="29" xfId="0" applyNumberFormat="1" applyBorder="1"/>
    <xf numFmtId="2" fontId="0" fillId="0" borderId="12" xfId="0" applyNumberFormat="1" applyBorder="1"/>
    <xf numFmtId="2" fontId="0" fillId="0" borderId="32" xfId="0" applyNumberFormat="1" applyBorder="1"/>
    <xf numFmtId="0" fontId="0" fillId="0" borderId="29" xfId="0" applyBorder="1" applyAlignment="1">
      <alignment horizontal="center"/>
    </xf>
    <xf numFmtId="0" fontId="0" fillId="0" borderId="29" xfId="0" applyBorder="1"/>
    <xf numFmtId="14" fontId="0" fillId="0" borderId="16" xfId="0" applyNumberFormat="1" applyBorder="1"/>
    <xf numFmtId="14" fontId="0" fillId="0" borderId="18" xfId="0" applyNumberFormat="1" applyBorder="1"/>
    <xf numFmtId="0" fontId="0" fillId="20" borderId="29" xfId="0" applyFill="1" applyBorder="1"/>
    <xf numFmtId="0" fontId="7" fillId="24" borderId="0" xfId="0" applyFont="1" applyFill="1"/>
    <xf numFmtId="0" fontId="0" fillId="24" borderId="0" xfId="0" applyFill="1"/>
    <xf numFmtId="0" fontId="0" fillId="0" borderId="30" xfId="0" applyBorder="1"/>
    <xf numFmtId="3" fontId="0" fillId="0" borderId="0" xfId="0" applyNumberFormat="1" applyBorder="1" applyAlignment="1">
      <alignment horizontal="right"/>
    </xf>
    <xf numFmtId="167" fontId="0" fillId="0" borderId="31" xfId="0" applyNumberFormat="1" applyBorder="1"/>
    <xf numFmtId="167" fontId="0" fillId="0" borderId="32" xfId="0" applyNumberFormat="1" applyBorder="1"/>
    <xf numFmtId="3" fontId="0" fillId="0" borderId="0" xfId="0" applyNumberFormat="1" applyAlignment="1">
      <alignment horizontal="left"/>
    </xf>
    <xf numFmtId="0" fontId="0" fillId="0" borderId="0" xfId="0" applyNumberFormat="1" applyFill="1" applyBorder="1"/>
    <xf numFmtId="0" fontId="3" fillId="0" borderId="29" xfId="0" applyFont="1" applyBorder="1"/>
    <xf numFmtId="0" fontId="0" fillId="0" borderId="32" xfId="0" applyFill="1" applyBorder="1"/>
    <xf numFmtId="0" fontId="0" fillId="0" borderId="11" xfId="0" applyBorder="1"/>
    <xf numFmtId="14" fontId="0" fillId="0" borderId="12" xfId="0" applyNumberFormat="1" applyBorder="1"/>
    <xf numFmtId="171" fontId="0" fillId="0" borderId="29" xfId="0" applyNumberFormat="1" applyBorder="1"/>
    <xf numFmtId="3" fontId="13" fillId="21" borderId="2" xfId="2" applyNumberFormat="1" applyFont="1" applyFill="1" applyBorder="1"/>
    <xf numFmtId="3" fontId="12" fillId="0" borderId="2" xfId="2" applyNumberFormat="1" applyFont="1" applyFill="1" applyBorder="1"/>
    <xf numFmtId="3" fontId="10" fillId="0" borderId="2" xfId="2" applyNumberFormat="1" applyFont="1" applyFill="1" applyBorder="1"/>
    <xf numFmtId="3" fontId="10" fillId="0" borderId="1" xfId="2" applyNumberFormat="1" applyFont="1" applyFill="1" applyBorder="1"/>
    <xf numFmtId="22" fontId="0" fillId="0" borderId="0" xfId="0" applyNumberFormat="1"/>
    <xf numFmtId="0" fontId="0" fillId="25" borderId="0" xfId="0" applyFill="1"/>
    <xf numFmtId="172" fontId="0" fillId="0" borderId="30" xfId="0" applyNumberFormat="1" applyBorder="1"/>
    <xf numFmtId="172" fontId="0" fillId="0" borderId="32" xfId="0" applyNumberFormat="1" applyBorder="1"/>
    <xf numFmtId="172" fontId="0" fillId="0" borderId="29" xfId="0" applyNumberFormat="1" applyBorder="1"/>
    <xf numFmtId="0" fontId="40" fillId="0" borderId="0" xfId="0" applyFont="1"/>
    <xf numFmtId="3" fontId="33" fillId="18" borderId="0" xfId="2" applyNumberFormat="1" applyFont="1" applyFill="1" applyBorder="1" applyAlignment="1">
      <alignment horizontal="center" vertical="center"/>
    </xf>
    <xf numFmtId="3" fontId="33" fillId="19" borderId="21" xfId="2" applyNumberFormat="1" applyFont="1" applyFill="1" applyBorder="1" applyAlignment="1">
      <alignment horizontal="center" vertical="center"/>
    </xf>
    <xf numFmtId="3" fontId="33" fillId="19" borderId="26" xfId="2" applyNumberFormat="1" applyFont="1" applyFill="1" applyBorder="1" applyAlignment="1">
      <alignment horizontal="center" vertical="center"/>
    </xf>
    <xf numFmtId="3" fontId="31" fillId="23" borderId="0" xfId="0" applyNumberFormat="1" applyFont="1" applyFill="1" applyBorder="1" applyAlignment="1">
      <alignment horizontal="center" vertical="center"/>
    </xf>
    <xf numFmtId="3" fontId="33" fillId="18" borderId="0" xfId="0" applyNumberFormat="1" applyFont="1" applyFill="1" applyBorder="1" applyAlignment="1">
      <alignment horizontal="center" vertical="center"/>
    </xf>
    <xf numFmtId="0" fontId="33" fillId="17" borderId="20" xfId="0" applyFont="1" applyFill="1" applyBorder="1" applyAlignment="1">
      <alignment horizontal="center" vertical="center" wrapText="1"/>
    </xf>
    <xf numFmtId="167" fontId="31" fillId="23" borderId="48" xfId="0" applyNumberFormat="1" applyFont="1" applyFill="1" applyBorder="1" applyAlignment="1">
      <alignment horizontal="center" vertical="center"/>
    </xf>
    <xf numFmtId="168" fontId="33" fillId="18" borderId="55" xfId="0" applyNumberFormat="1" applyFont="1" applyFill="1" applyBorder="1" applyAlignment="1">
      <alignment horizontal="center" vertical="center"/>
    </xf>
    <xf numFmtId="168" fontId="33" fillId="18" borderId="21" xfId="0" applyNumberFormat="1" applyFont="1" applyFill="1" applyBorder="1" applyAlignment="1">
      <alignment horizontal="center" vertical="center"/>
    </xf>
    <xf numFmtId="168" fontId="33" fillId="19" borderId="21" xfId="0" applyNumberFormat="1" applyFont="1" applyFill="1" applyBorder="1" applyAlignment="1">
      <alignment horizontal="center" vertical="center"/>
    </xf>
    <xf numFmtId="0" fontId="29" fillId="5" borderId="38" xfId="0" applyFont="1" applyFill="1" applyBorder="1" applyAlignment="1">
      <alignment horizontal="left" vertical="center" indent="2"/>
    </xf>
    <xf numFmtId="0" fontId="29" fillId="5" borderId="37" xfId="0" applyFont="1" applyFill="1" applyBorder="1" applyAlignment="1">
      <alignment horizontal="left" vertical="center" indent="2"/>
    </xf>
    <xf numFmtId="0" fontId="29" fillId="5" borderId="39" xfId="0" applyFont="1" applyFill="1" applyBorder="1" applyAlignment="1">
      <alignment horizontal="left" vertical="center" indent="2"/>
    </xf>
    <xf numFmtId="169" fontId="33" fillId="18" borderId="0" xfId="0" applyNumberFormat="1" applyFont="1" applyFill="1" applyBorder="1" applyAlignment="1">
      <alignment horizontal="center" vertical="center"/>
    </xf>
    <xf numFmtId="3" fontId="31" fillId="23" borderId="50" xfId="0" applyNumberFormat="1" applyFont="1" applyFill="1" applyBorder="1" applyAlignment="1">
      <alignment horizontal="center" vertical="center"/>
    </xf>
    <xf numFmtId="165" fontId="32" fillId="18" borderId="54" xfId="4" applyFont="1" applyFill="1" applyBorder="1" applyAlignment="1">
      <alignment horizontal="left" vertical="center" wrapText="1" indent="1"/>
    </xf>
    <xf numFmtId="165" fontId="32" fillId="18" borderId="53" xfId="4" applyFont="1" applyFill="1" applyBorder="1" applyAlignment="1">
      <alignment horizontal="left" vertical="center" wrapText="1" indent="1"/>
    </xf>
    <xf numFmtId="3" fontId="37" fillId="23" borderId="45" xfId="0" applyNumberFormat="1" applyFont="1" applyFill="1" applyBorder="1" applyAlignment="1">
      <alignment horizontal="left" vertical="center" indent="5"/>
    </xf>
    <xf numFmtId="3" fontId="37" fillId="23" borderId="0" xfId="0" applyNumberFormat="1" applyFont="1" applyFill="1" applyBorder="1" applyAlignment="1">
      <alignment horizontal="left" vertical="center" indent="5"/>
    </xf>
    <xf numFmtId="0" fontId="30" fillId="8" borderId="19" xfId="0" applyNumberFormat="1" applyFont="1" applyFill="1" applyBorder="1" applyAlignment="1">
      <alignment horizontal="center" vertical="center"/>
    </xf>
    <xf numFmtId="3" fontId="33" fillId="19" borderId="26" xfId="0" applyNumberFormat="1" applyFont="1" applyFill="1" applyBorder="1" applyAlignment="1">
      <alignment horizontal="center" vertical="center"/>
    </xf>
    <xf numFmtId="3" fontId="33" fillId="19" borderId="21" xfId="0" applyNumberFormat="1" applyFont="1" applyFill="1" applyBorder="1" applyAlignment="1">
      <alignment horizontal="center" vertical="center"/>
    </xf>
    <xf numFmtId="165" fontId="30" fillId="8" borderId="19" xfId="0" applyNumberFormat="1" applyFont="1" applyFill="1" applyBorder="1" applyAlignment="1">
      <alignment horizontal="center" vertical="center"/>
    </xf>
    <xf numFmtId="0" fontId="33" fillId="17" borderId="22" xfId="0" applyFont="1" applyFill="1" applyBorder="1" applyAlignment="1">
      <alignment horizontal="left" vertical="center" wrapText="1" indent="1"/>
    </xf>
    <xf numFmtId="0" fontId="33" fillId="17" borderId="20" xfId="0" applyFont="1" applyFill="1" applyBorder="1" applyAlignment="1">
      <alignment horizontal="left" vertical="center" wrapText="1" indent="1"/>
    </xf>
    <xf numFmtId="165" fontId="32" fillId="18" borderId="52" xfId="4" applyFont="1" applyFill="1" applyBorder="1" applyAlignment="1">
      <alignment horizontal="left" vertical="center" wrapText="1" indent="1"/>
    </xf>
    <xf numFmtId="165" fontId="32" fillId="18" borderId="51" xfId="4" applyFont="1" applyFill="1" applyBorder="1" applyAlignment="1">
      <alignment horizontal="left" vertical="center" wrapText="1" indent="1"/>
    </xf>
    <xf numFmtId="165" fontId="32" fillId="19" borderId="24" xfId="4" applyFont="1" applyFill="1" applyBorder="1" applyAlignment="1">
      <alignment horizontal="left" vertical="center" wrapText="1" indent="1"/>
    </xf>
    <xf numFmtId="165" fontId="32" fillId="19" borderId="21" xfId="4" applyFont="1" applyFill="1" applyBorder="1" applyAlignment="1">
      <alignment horizontal="left" vertical="center" wrapText="1" indent="1"/>
    </xf>
    <xf numFmtId="0" fontId="24" fillId="13" borderId="0" xfId="0" applyFont="1" applyFill="1" applyBorder="1" applyAlignment="1">
      <alignment horizontal="center" vertical="center"/>
    </xf>
    <xf numFmtId="165" fontId="14" fillId="8" borderId="11" xfId="0" applyNumberFormat="1" applyFont="1" applyFill="1" applyBorder="1" applyAlignment="1">
      <alignment horizontal="center" vertical="center"/>
    </xf>
    <xf numFmtId="165" fontId="14" fillId="8" borderId="12" xfId="0" applyNumberFormat="1" applyFont="1" applyFill="1" applyBorder="1" applyAlignment="1">
      <alignment horizontal="center" vertical="center"/>
    </xf>
    <xf numFmtId="0" fontId="23" fillId="12" borderId="0" xfId="0" applyFont="1" applyFill="1" applyBorder="1" applyAlignment="1">
      <alignment horizontal="center"/>
    </xf>
    <xf numFmtId="0" fontId="27" fillId="5" borderId="40" xfId="0" applyFont="1" applyFill="1" applyBorder="1" applyAlignment="1">
      <alignment horizontal="left" vertical="center" indent="2"/>
    </xf>
    <xf numFmtId="0" fontId="35" fillId="5" borderId="0" xfId="0" applyFont="1" applyFill="1" applyBorder="1" applyAlignment="1">
      <alignment horizontal="left" vertical="center" indent="2"/>
    </xf>
    <xf numFmtId="167" fontId="31" fillId="23" borderId="49" xfId="0" applyNumberFormat="1" applyFont="1" applyFill="1" applyBorder="1" applyAlignment="1">
      <alignment horizontal="center" vertical="center"/>
    </xf>
    <xf numFmtId="3" fontId="31" fillId="23" borderId="47" xfId="0" applyNumberFormat="1" applyFont="1" applyFill="1" applyBorder="1" applyAlignment="1">
      <alignment horizontal="left" vertical="center" indent="5"/>
    </xf>
    <xf numFmtId="3" fontId="31" fillId="23" borderId="48" xfId="0" applyNumberFormat="1" applyFont="1" applyFill="1" applyBorder="1" applyAlignment="1">
      <alignment horizontal="left" vertical="center" indent="5"/>
    </xf>
    <xf numFmtId="0" fontId="36" fillId="23" borderId="42" xfId="0" applyFont="1" applyFill="1" applyBorder="1" applyAlignment="1">
      <alignment horizontal="left" vertical="center" indent="2"/>
    </xf>
    <xf numFmtId="0" fontId="36" fillId="23" borderId="43" xfId="0" applyFont="1" applyFill="1" applyBorder="1" applyAlignment="1">
      <alignment horizontal="left" vertical="center" indent="2"/>
    </xf>
    <xf numFmtId="0" fontId="36" fillId="23" borderId="44" xfId="0" applyFont="1" applyFill="1" applyBorder="1" applyAlignment="1">
      <alignment horizontal="left" vertical="center" indent="2"/>
    </xf>
    <xf numFmtId="0" fontId="38" fillId="23" borderId="0" xfId="0" applyFont="1" applyFill="1" applyBorder="1" applyAlignment="1">
      <alignment vertical="center"/>
    </xf>
    <xf numFmtId="0" fontId="38" fillId="23" borderId="50" xfId="0" applyFont="1" applyFill="1" applyBorder="1" applyAlignment="1">
      <alignment vertical="center"/>
    </xf>
    <xf numFmtId="0" fontId="30" fillId="8" borderId="46" xfId="0" applyNumberFormat="1" applyFont="1" applyFill="1" applyBorder="1" applyAlignment="1">
      <alignment horizontal="center" vertical="center"/>
    </xf>
    <xf numFmtId="3" fontId="31" fillId="23" borderId="45" xfId="0" applyNumberFormat="1" applyFont="1" applyFill="1" applyBorder="1" applyAlignment="1">
      <alignment horizontal="left" vertical="center" indent="5"/>
    </xf>
    <xf numFmtId="3" fontId="31" fillId="23" borderId="0" xfId="0" applyNumberFormat="1" applyFont="1" applyFill="1" applyBorder="1" applyAlignment="1">
      <alignment horizontal="left" vertical="center" indent="5"/>
    </xf>
    <xf numFmtId="165" fontId="22" fillId="11" borderId="57" xfId="4" applyFont="1" applyFill="1" applyBorder="1" applyAlignment="1">
      <alignment horizontal="center" vertical="center"/>
    </xf>
    <xf numFmtId="165" fontId="22" fillId="11" borderId="0" xfId="4" applyFont="1" applyFill="1" applyBorder="1" applyAlignment="1">
      <alignment horizontal="center" vertical="center"/>
    </xf>
    <xf numFmtId="169" fontId="33" fillId="19" borderId="21" xfId="0" applyNumberFormat="1" applyFont="1" applyFill="1" applyBorder="1" applyAlignment="1">
      <alignment horizontal="center" vertical="center"/>
    </xf>
    <xf numFmtId="169" fontId="33" fillId="19" borderId="26" xfId="0" applyNumberFormat="1" applyFont="1" applyFill="1" applyBorder="1" applyAlignment="1">
      <alignment horizontal="center" vertical="center"/>
    </xf>
    <xf numFmtId="165" fontId="32" fillId="19" borderId="27" xfId="4" applyFont="1" applyFill="1" applyBorder="1" applyAlignment="1">
      <alignment horizontal="left" vertical="center" wrapText="1" indent="1"/>
    </xf>
    <xf numFmtId="165" fontId="32" fillId="19" borderId="26" xfId="4" applyFont="1" applyFill="1" applyBorder="1" applyAlignment="1">
      <alignment horizontal="left" vertical="center" wrapText="1" indent="1"/>
    </xf>
    <xf numFmtId="3" fontId="33" fillId="19" borderId="21" xfId="2" applyNumberFormat="1" applyFont="1" applyFill="1" applyBorder="1" applyAlignment="1">
      <alignment horizontal="left" vertical="center" wrapText="1" indent="1"/>
    </xf>
    <xf numFmtId="3" fontId="33" fillId="19" borderId="25" xfId="2" applyNumberFormat="1" applyFont="1" applyFill="1" applyBorder="1" applyAlignment="1">
      <alignment horizontal="left" vertical="center" wrapText="1" indent="1"/>
    </xf>
    <xf numFmtId="3" fontId="33" fillId="18" borderId="21" xfId="2" applyNumberFormat="1" applyFont="1" applyFill="1" applyBorder="1" applyAlignment="1">
      <alignment horizontal="left" vertical="center" wrapText="1" indent="1"/>
    </xf>
    <xf numFmtId="3" fontId="33" fillId="18" borderId="25" xfId="2" applyNumberFormat="1" applyFont="1" applyFill="1" applyBorder="1" applyAlignment="1">
      <alignment horizontal="left" vertical="center" wrapText="1" indent="1"/>
    </xf>
    <xf numFmtId="3" fontId="33" fillId="19" borderId="26" xfId="2" applyNumberFormat="1" applyFont="1" applyFill="1" applyBorder="1" applyAlignment="1">
      <alignment horizontal="left" vertical="center" wrapText="1" indent="1"/>
    </xf>
    <xf numFmtId="3" fontId="33" fillId="19" borderId="28" xfId="2" applyNumberFormat="1" applyFont="1" applyFill="1" applyBorder="1" applyAlignment="1">
      <alignment horizontal="left" vertical="center" wrapText="1" indent="1"/>
    </xf>
    <xf numFmtId="168" fontId="33" fillId="19" borderId="26" xfId="0" applyNumberFormat="1" applyFont="1" applyFill="1" applyBorder="1" applyAlignment="1">
      <alignment horizontal="center" vertical="center"/>
    </xf>
    <xf numFmtId="0" fontId="33" fillId="17" borderId="23" xfId="0" applyFont="1" applyFill="1" applyBorder="1" applyAlignment="1">
      <alignment horizontal="left" vertical="center" wrapText="1" indent="1"/>
    </xf>
    <xf numFmtId="3" fontId="33" fillId="18" borderId="55" xfId="2" applyNumberFormat="1" applyFont="1" applyFill="1" applyBorder="1" applyAlignment="1">
      <alignment horizontal="left" vertical="center" wrapText="1" indent="1"/>
    </xf>
    <xf numFmtId="3" fontId="33" fillId="18" borderId="56" xfId="2" applyNumberFormat="1" applyFont="1" applyFill="1" applyBorder="1" applyAlignment="1">
      <alignment horizontal="left" vertical="center" wrapText="1" indent="1"/>
    </xf>
    <xf numFmtId="0" fontId="6" fillId="4" borderId="0" xfId="0" applyFont="1" applyFill="1" applyAlignment="1">
      <alignment horizontal="center"/>
    </xf>
    <xf numFmtId="0" fontId="16" fillId="20" borderId="34" xfId="5" applyNumberFormat="1" applyFill="1" applyBorder="1" applyAlignment="1">
      <alignment horizontal="center"/>
    </xf>
    <xf numFmtId="0" fontId="16" fillId="20" borderId="35" xfId="5" applyNumberFormat="1" applyFill="1" applyBorder="1" applyAlignment="1">
      <alignment horizontal="center"/>
    </xf>
    <xf numFmtId="0" fontId="16" fillId="20" borderId="36" xfId="5" applyNumberFormat="1" applyFill="1" applyBorder="1" applyAlignment="1">
      <alignment horizontal="center"/>
    </xf>
    <xf numFmtId="0" fontId="3" fillId="20" borderId="11" xfId="0" applyNumberFormat="1" applyFont="1" applyFill="1" applyBorder="1" applyAlignment="1">
      <alignment horizontal="center"/>
    </xf>
    <xf numFmtId="0" fontId="3" fillId="20" borderId="33" xfId="0" applyNumberFormat="1" applyFont="1" applyFill="1" applyBorder="1" applyAlignment="1">
      <alignment horizontal="center"/>
    </xf>
    <xf numFmtId="0" fontId="3" fillId="20" borderId="12" xfId="0" applyNumberFormat="1" applyFont="1" applyFill="1" applyBorder="1" applyAlignment="1">
      <alignment horizontal="center"/>
    </xf>
    <xf numFmtId="0" fontId="0" fillId="0" borderId="7" xfId="0" applyBorder="1" applyAlignment="1">
      <alignment horizontal="right" indent="2"/>
    </xf>
    <xf numFmtId="0" fontId="0" fillId="0" borderId="6" xfId="0" applyBorder="1" applyAlignment="1">
      <alignment horizontal="right" indent="2"/>
    </xf>
    <xf numFmtId="0" fontId="26" fillId="0" borderId="0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</cellXfs>
  <cellStyles count="6">
    <cellStyle name="Comma" xfId="2" builtinId="3"/>
    <cellStyle name="Hyperlink" xfId="4" builtinId="8"/>
    <cellStyle name="Normal" xfId="0" builtinId="0" customBuiltin="1"/>
    <cellStyle name="Normal 2" xfId="1"/>
    <cellStyle name="Output" xfId="5" builtinId="21"/>
    <cellStyle name="Percent" xfId="3" builtinId="5"/>
  </cellStyles>
  <dxfs count="0"/>
  <tableStyles count="0" defaultTableStyle="TableStyleMedium2" defaultPivotStyle="PivotStyleMedium4"/>
  <colors>
    <mruColors>
      <color rgb="FFB3DFFF"/>
      <color rgb="FF151515"/>
      <color rgb="FFA0A0A0"/>
      <color rgb="FFDDDDDD"/>
      <color rgb="FF262726"/>
      <color rgb="FF3B7AC6"/>
      <color rgb="FF2C80BC"/>
      <color rgb="FF262626"/>
      <color rgb="FF008CEF"/>
      <color rgb="FFD2D2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600" b="0" cap="none">
                <a:solidFill>
                  <a:srgbClr val="DCDCDC"/>
                </a:solidFill>
                <a:latin typeface="Calibri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Top Klout Topics</a:t>
            </a:r>
          </a:p>
        </c:rich>
      </c:tx>
      <c:layout>
        <c:manualLayout>
          <c:xMode val="edge"/>
          <c:yMode val="edge"/>
          <c:x val="7.7981651376146793E-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852633099761611"/>
          <c:y val="0.15277777777777779"/>
          <c:w val="0.70642201834862384"/>
          <c:h val="0.71875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184479"/>
                </a:gs>
                <a:gs pos="100000">
                  <a:srgbClr val="3B7AC6"/>
                </a:gs>
                <a:gs pos="50000">
                  <a:srgbClr val="2765AF"/>
                </a:gs>
              </a:gsLst>
              <a:lin ang="16200000" scaled="1"/>
              <a:tileRect/>
            </a:gradFill>
            <a:ln w="9525">
              <a:solidFill>
                <a:srgbClr val="3B7AC6"/>
              </a:solidFill>
            </a:ln>
          </c:spPr>
          <c:invertIfNegative val="0"/>
          <c:dLbls>
            <c:numFmt formatCode="[&gt;=1000000].0,,&quot;M&quot;;[&gt;=10000].0,&quot;K&quot;;#,##0" sourceLinked="0"/>
            <c:txPr>
              <a:bodyPr/>
              <a:lstStyle/>
              <a:p>
                <a:pPr>
                  <a:defRPr sz="800" b="1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Calculations!$B$255:$B$264</c:f>
              <c:strCache>
                <c:ptCount val="10"/>
                <c:pt idx="0">
                  <c:v>facebook</c:v>
                </c:pt>
                <c:pt idx="1">
                  <c:v>russia</c:v>
                </c:pt>
                <c:pt idx="2">
                  <c:v>investing</c:v>
                </c:pt>
                <c:pt idx="3">
                  <c:v>photography</c:v>
                </c:pt>
                <c:pt idx="4">
                  <c:v>united nations</c:v>
                </c:pt>
                <c:pt idx="5">
                  <c:v>advertising</c:v>
                </c:pt>
                <c:pt idx="6">
                  <c:v>video</c:v>
                </c:pt>
                <c:pt idx="7">
                  <c:v>economics</c:v>
                </c:pt>
                <c:pt idx="8">
                  <c:v>agriculture</c:v>
                </c:pt>
                <c:pt idx="9">
                  <c:v>food</c:v>
                </c:pt>
              </c:strCache>
            </c:strRef>
          </c:cat>
          <c:val>
            <c:numRef>
              <c:f>Calculations!$C$255:$C$264</c:f>
              <c:numCache>
                <c:formatCode>0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146880"/>
        <c:axId val="73778304"/>
      </c:barChart>
      <c:catAx>
        <c:axId val="7314688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0" vert="horz"/>
          <a:lstStyle/>
          <a:p>
            <a:pPr>
              <a:defRPr sz="1000" b="0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778304"/>
        <c:crosses val="autoZero"/>
        <c:auto val="1"/>
        <c:lblAlgn val="ctr"/>
        <c:lblOffset val="50"/>
        <c:noMultiLvlLbl val="0"/>
      </c:catAx>
      <c:valAx>
        <c:axId val="73778304"/>
        <c:scaling>
          <c:orientation val="minMax"/>
        </c:scaling>
        <c:delete val="0"/>
        <c:axPos val="b"/>
        <c:numFmt formatCode="[&gt;=1000000].0,,&quot;M&quot;;[&gt;=1000].0,&quot;K&quot;;#,##0" sourceLinked="0"/>
        <c:majorTickMark val="none"/>
        <c:minorTickMark val="none"/>
        <c:tickLblPos val="none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46880"/>
        <c:crosses val="autoZero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10800000" scaled="1"/>
          <a:tileRect/>
        </a:gradFill>
        <a:ln w="12700">
          <a:solidFill>
            <a:srgbClr val="262626"/>
          </a:solidFill>
        </a:ln>
      </c:spPr>
    </c:plotArea>
    <c:plotVisOnly val="1"/>
    <c:dispBlanksAs val="gap"/>
    <c:showDLblsOverMax val="0"/>
  </c:chart>
  <c:spPr>
    <a:solidFill>
      <a:srgbClr val="262626"/>
    </a:solidFill>
    <a:ln w="19050">
      <a:solidFill>
        <a:srgbClr val="151515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600" b="0" cap="none">
                <a:solidFill>
                  <a:srgbClr val="DCDCDC"/>
                </a:solidFill>
                <a:latin typeface="Calibri"/>
              </a:defRPr>
            </a:pPr>
            <a:r>
              <a:rPr lang="en-US"/>
              <a:t>Audience Klout Score Distribution</a:t>
            </a:r>
          </a:p>
        </c:rich>
      </c:tx>
      <c:layout>
        <c:manualLayout>
          <c:xMode val="edge"/>
          <c:yMode val="edge"/>
          <c:x val="7.8138444748175426E-2"/>
          <c:y val="3.50800626469150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19683590875644"/>
          <c:y val="0.22760457677165355"/>
          <c:w val="0.80700527103533548"/>
          <c:h val="0.59111876640419947"/>
        </c:manualLayout>
      </c:layout>
      <c:areaChart>
        <c:grouping val="standard"/>
        <c:varyColors val="0"/>
        <c:ser>
          <c:idx val="1"/>
          <c:order val="0"/>
          <c:tx>
            <c:v>Distribution</c:v>
          </c:tx>
          <c:spPr>
            <a:gradFill flip="none" rotWithShape="1">
              <a:gsLst>
                <a:gs pos="0">
                  <a:srgbClr val="A03500"/>
                </a:gs>
                <a:gs pos="100000">
                  <a:srgbClr val="FF6200"/>
                </a:gs>
                <a:gs pos="50000">
                  <a:srgbClr val="E65100"/>
                </a:gs>
              </a:gsLst>
              <a:lin ang="16200000" scaled="1"/>
              <a:tileRect/>
            </a:gradFill>
            <a:ln w="9525">
              <a:solidFill>
                <a:srgbClr val="FF6200"/>
              </a:solidFill>
              <a:bevel/>
            </a:ln>
          </c:spPr>
          <c:cat>
            <c:numRef>
              <c:f>Calculations!$A$149:$A$239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cat>
          <c:val>
            <c:numRef>
              <c:f>Calculations!$B$149:$B$239</c:f>
              <c:numCache>
                <c:formatCode>#,##0</c:formatCode>
                <c:ptCount val="91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0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9</c:v>
                </c:pt>
                <c:pt idx="38">
                  <c:v>6</c:v>
                </c:pt>
                <c:pt idx="39">
                  <c:v>3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9440"/>
        <c:axId val="73780032"/>
      </c:areaChart>
      <c:barChart>
        <c:barDir val="col"/>
        <c:grouping val="clustered"/>
        <c:varyColors val="0"/>
        <c:ser>
          <c:idx val="0"/>
          <c:order val="1"/>
          <c:tx>
            <c:v>WW Score</c:v>
          </c:tx>
          <c:spPr>
            <a:solidFill>
              <a:srgbClr val="3B7AC6"/>
            </a:solidFill>
            <a:ln w="9525">
              <a:noFill/>
            </a:ln>
          </c:spPr>
          <c:invertIfNegative val="0"/>
          <c:dPt>
            <c:idx val="38"/>
            <c:invertIfNegative val="0"/>
            <c:bubble3D val="0"/>
            <c:spPr>
              <a:solidFill>
                <a:srgbClr val="3B7AC6"/>
              </a:solidFill>
              <a:ln w="12700">
                <a:solidFill>
                  <a:srgbClr val="3B7AC6"/>
                </a:solidFill>
              </a:ln>
            </c:spPr>
          </c:dPt>
          <c:cat>
            <c:multiLvlStrRef>
              <c:f>#REF!</c:f>
            </c:multiLvlStrRef>
          </c:cat>
          <c:val>
            <c:numRef>
              <c:f>Calculations!$C$149:$C$239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0%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73179648"/>
        <c:axId val="73780608"/>
      </c:barChart>
      <c:catAx>
        <c:axId val="7314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kern="1200" baseline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rPr>
                  <a:t>Klout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0" vert="horz"/>
          <a:lstStyle/>
          <a:p>
            <a:pPr>
              <a:defRPr sz="850" b="0">
                <a:solidFill>
                  <a:srgbClr val="B4B4B4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780032"/>
        <c:crosses val="autoZero"/>
        <c:auto val="1"/>
        <c:lblAlgn val="ctr"/>
        <c:lblOffset val="50"/>
        <c:tickLblSkip val="10"/>
        <c:tickMarkSkip val="10"/>
        <c:noMultiLvlLbl val="0"/>
      </c:catAx>
      <c:valAx>
        <c:axId val="73780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 lang="en-US" sz="1000" b="0" i="0" u="none" strike="noStrike" kern="1200" baseline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kern="1200" baseline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rPr>
                  <a:t>Users</a:t>
                </a:r>
              </a:p>
            </c:rich>
          </c:tx>
          <c:layout>
            <c:manualLayout>
              <c:xMode val="edge"/>
              <c:yMode val="edge"/>
              <c:x val="2.7049124024786163E-2"/>
              <c:y val="0.40862245734908137"/>
            </c:manualLayout>
          </c:layout>
          <c:overlay val="0"/>
        </c:title>
        <c:numFmt formatCode="[&gt;=1000000].0,,&quot;M&quot;;[&gt;=1000].0,&quot;K&quot;;#,##0" sourceLinked="0"/>
        <c:majorTickMark val="out"/>
        <c:minorTickMark val="none"/>
        <c:tickLblPos val="nextTo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49440"/>
        <c:crosses val="autoZero"/>
        <c:crossBetween val="midCat"/>
      </c:valAx>
      <c:valAx>
        <c:axId val="73780608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73179648"/>
        <c:crosses val="max"/>
        <c:crossBetween val="between"/>
      </c:valAx>
      <c:catAx>
        <c:axId val="7317964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780608"/>
        <c:crosses val="autoZero"/>
        <c:auto val="1"/>
        <c:lblAlgn val="ctr"/>
        <c:lblOffset val="100"/>
        <c:noMultiLvlLbl val="0"/>
      </c:cat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5400000" scaled="1"/>
          <a:tileRect/>
        </a:gradFill>
        <a:ln w="12700">
          <a:solidFill>
            <a:srgbClr val="262626"/>
          </a:solidFill>
        </a:ln>
      </c:spPr>
    </c:plotArea>
    <c:plotVisOnly val="1"/>
    <c:dispBlanksAs val="gap"/>
    <c:showDLblsOverMax val="0"/>
  </c:chart>
  <c:spPr>
    <a:noFill/>
    <a:ln w="1905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0" cap="none" baseline="0">
                <a:solidFill>
                  <a:srgbClr val="DCDCDC"/>
                </a:solidFill>
                <a:latin typeface="Calibri"/>
                <a:cs typeface="Arial" pitchFamily="34" charset="0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Top Time Zones: Total</a:t>
            </a:r>
            <a:r>
              <a:rPr lang="en-US" sz="1600" b="0" cap="none" baseline="0">
                <a:solidFill>
                  <a:srgbClr val="DCDCDC"/>
                </a:solidFill>
                <a:latin typeface="Calibri"/>
              </a:rPr>
              <a:t> Audience</a:t>
            </a:r>
            <a:endParaRPr lang="en-US" sz="1600" b="0" cap="none">
              <a:solidFill>
                <a:srgbClr val="DCDCDC"/>
              </a:solidFill>
              <a:latin typeface="Calibri"/>
            </a:endParaRPr>
          </a:p>
        </c:rich>
      </c:tx>
      <c:layout>
        <c:manualLayout>
          <c:xMode val="edge"/>
          <c:yMode val="edge"/>
          <c:x val="7.7981651376146793E-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390088853572201"/>
          <c:y val="0.15277777777777779"/>
          <c:w val="0.72105323990464487"/>
          <c:h val="0.718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Calculations!$L$298</c:f>
              <c:strCache>
                <c:ptCount val="1"/>
                <c:pt idx="0">
                  <c:v>Time Zone</c:v>
                </c:pt>
              </c:strCache>
            </c:strRef>
          </c:tx>
          <c:spPr>
            <a:gradFill flip="none" rotWithShape="1">
              <a:gsLst>
                <a:gs pos="0">
                  <a:srgbClr val="184479"/>
                </a:gs>
                <a:gs pos="100000">
                  <a:srgbClr val="3B7AC6"/>
                </a:gs>
                <a:gs pos="50000">
                  <a:srgbClr val="2765AF"/>
                </a:gs>
              </a:gsLst>
              <a:lin ang="16200000" scaled="1"/>
              <a:tileRect/>
            </a:gradFill>
            <a:ln w="12700">
              <a:solidFill>
                <a:srgbClr val="3B7AC6"/>
              </a:solidFill>
            </a:ln>
          </c:spPr>
          <c:invertIfNegative val="0"/>
          <c:dLbls>
            <c:numFmt formatCode="0%" sourceLinked="0"/>
            <c:txPr>
              <a:bodyPr/>
              <a:lstStyle/>
              <a:p>
                <a:pPr>
                  <a:defRPr sz="8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[0]!calculations.top_time_zones_followers_zone</c:f>
              <c:strCache>
                <c:ptCount val="10"/>
                <c:pt idx="0">
                  <c:v>GMT+01:00</c:v>
                </c:pt>
                <c:pt idx="1">
                  <c:v>GMT-08:00</c:v>
                </c:pt>
                <c:pt idx="2">
                  <c:v>GMT</c:v>
                </c:pt>
                <c:pt idx="3">
                  <c:v>GMT+02:00</c:v>
                </c:pt>
                <c:pt idx="4">
                  <c:v>GMT-05:00</c:v>
                </c:pt>
                <c:pt idx="5">
                  <c:v>GMT-06:00</c:v>
                </c:pt>
                <c:pt idx="6">
                  <c:v>GMT-03:00</c:v>
                </c:pt>
                <c:pt idx="7">
                  <c:v>GMT-04:00</c:v>
                </c:pt>
                <c:pt idx="8">
                  <c:v>GMT+03:30</c:v>
                </c:pt>
                <c:pt idx="9">
                  <c:v>GMT+05:30</c:v>
                </c:pt>
              </c:strCache>
            </c:strRef>
          </c:cat>
          <c:val>
            <c:numRef>
              <c:f>[0]!calculations.top_time_zones_followers_pct</c:f>
              <c:numCache>
                <c:formatCode>0.0%</c:formatCode>
                <c:ptCount val="10"/>
                <c:pt idx="0">
                  <c:v>0.31868131868131866</c:v>
                </c:pt>
                <c:pt idx="1">
                  <c:v>0.15384615384615385</c:v>
                </c:pt>
                <c:pt idx="2">
                  <c:v>0.12087912087912088</c:v>
                </c:pt>
                <c:pt idx="3">
                  <c:v>9.8901098901098897E-2</c:v>
                </c:pt>
                <c:pt idx="4">
                  <c:v>8.7912087912087919E-2</c:v>
                </c:pt>
                <c:pt idx="5">
                  <c:v>7.6923076923076927E-2</c:v>
                </c:pt>
                <c:pt idx="6">
                  <c:v>4.3956043956043959E-2</c:v>
                </c:pt>
                <c:pt idx="7">
                  <c:v>2.197802197802198E-2</c:v>
                </c:pt>
                <c:pt idx="8">
                  <c:v>2.197802197802198E-2</c:v>
                </c:pt>
                <c:pt idx="9">
                  <c:v>2.197802197802198E-2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182208"/>
        <c:axId val="73783488"/>
      </c:barChart>
      <c:catAx>
        <c:axId val="731822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0" vert="horz"/>
          <a:lstStyle/>
          <a:p>
            <a:pPr>
              <a:defRPr sz="1000" b="0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783488"/>
        <c:crosses val="autoZero"/>
        <c:auto val="1"/>
        <c:lblAlgn val="ctr"/>
        <c:lblOffset val="50"/>
        <c:noMultiLvlLbl val="0"/>
      </c:catAx>
      <c:valAx>
        <c:axId val="73783488"/>
        <c:scaling>
          <c:orientation val="minMax"/>
        </c:scaling>
        <c:delete val="0"/>
        <c:axPos val="b"/>
        <c:numFmt formatCode="[&gt;=1000000].0,,&quot;M&quot;;[&gt;=1000].0,&quot;K&quot;;#,##0" sourceLinked="0"/>
        <c:majorTickMark val="none"/>
        <c:minorTickMark val="none"/>
        <c:tickLblPos val="none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82208"/>
        <c:crosses val="max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10800000" scaled="1"/>
          <a:tileRect/>
        </a:gradFill>
        <a:ln w="12700">
          <a:solidFill>
            <a:srgbClr val="262626"/>
          </a:solidFill>
        </a:ln>
      </c:spPr>
    </c:plotArea>
    <c:plotVisOnly val="0"/>
    <c:dispBlanksAs val="gap"/>
    <c:showDLblsOverMax val="0"/>
  </c:chart>
  <c:spPr>
    <a:solidFill>
      <a:srgbClr val="262626"/>
    </a:solidFill>
    <a:ln w="19050">
      <a:solidFill>
        <a:srgbClr val="151515"/>
      </a:solidFill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0" cap="none" baseline="0">
                <a:solidFill>
                  <a:srgbClr val="DCDCDC"/>
                </a:solidFill>
                <a:latin typeface="Calibri"/>
                <a:cs typeface="Arial" pitchFamily="34" charset="0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Top Time Zones: All Influencers</a:t>
            </a:r>
          </a:p>
        </c:rich>
      </c:tx>
      <c:layout>
        <c:manualLayout>
          <c:xMode val="edge"/>
          <c:yMode val="edge"/>
          <c:x val="7.7981651376146793E-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390088853572201"/>
          <c:y val="0.15277777777777779"/>
          <c:w val="0.71646608394134215"/>
          <c:h val="0.718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Calculations!$L$327</c:f>
              <c:strCache>
                <c:ptCount val="1"/>
                <c:pt idx="0">
                  <c:v>Time Zone</c:v>
                </c:pt>
              </c:strCache>
            </c:strRef>
          </c:tx>
          <c:spPr>
            <a:gradFill flip="none" rotWithShape="1">
              <a:gsLst>
                <a:gs pos="0">
                  <a:srgbClr val="3F1260"/>
                </a:gs>
                <a:gs pos="100000">
                  <a:srgbClr val="7128A8"/>
                </a:gs>
                <a:gs pos="50000">
                  <a:srgbClr val="5E1F8D"/>
                </a:gs>
              </a:gsLst>
              <a:lin ang="16200000" scaled="1"/>
              <a:tileRect/>
            </a:gradFill>
            <a:ln w="12700">
              <a:solidFill>
                <a:srgbClr val="7128A8"/>
              </a:solidFill>
            </a:ln>
          </c:spPr>
          <c:invertIfNegative val="0"/>
          <c:dLbls>
            <c:numFmt formatCode="0%" sourceLinked="0"/>
            <c:txPr>
              <a:bodyPr/>
              <a:lstStyle/>
              <a:p>
                <a:pPr>
                  <a:defRPr sz="8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[0]!calculations.top_time_zones_influencers_zone</c:f>
              <c:strCache>
                <c:ptCount val="10"/>
                <c:pt idx="0">
                  <c:v>GMT+01:00</c:v>
                </c:pt>
                <c:pt idx="1">
                  <c:v>GMT-05:00</c:v>
                </c:pt>
                <c:pt idx="2">
                  <c:v>GMT</c:v>
                </c:pt>
                <c:pt idx="3">
                  <c:v>GMT+02:00</c:v>
                </c:pt>
                <c:pt idx="4">
                  <c:v>GMT-08:00</c:v>
                </c:pt>
                <c:pt idx="5">
                  <c:v>GMT-06:00</c:v>
                </c:pt>
                <c:pt idx="6">
                  <c:v>GMT-03:00</c:v>
                </c:pt>
                <c:pt idx="7">
                  <c:v>GMT-04:00</c:v>
                </c:pt>
                <c:pt idx="8">
                  <c:v>GMT+03:00</c:v>
                </c:pt>
                <c:pt idx="9">
                  <c:v>GMT+10:00</c:v>
                </c:pt>
              </c:strCache>
            </c:strRef>
          </c:cat>
          <c:val>
            <c:numRef>
              <c:f>[0]!calculations.top_time_zones_influencers_pct</c:f>
              <c:numCache>
                <c:formatCode>0.0%</c:formatCode>
                <c:ptCount val="10"/>
                <c:pt idx="0">
                  <c:v>0.38636363636363635</c:v>
                </c:pt>
                <c:pt idx="1">
                  <c:v>0.15909090909090909</c:v>
                </c:pt>
                <c:pt idx="2">
                  <c:v>0.13636363636363635</c:v>
                </c:pt>
                <c:pt idx="3">
                  <c:v>9.0909090909090912E-2</c:v>
                </c:pt>
                <c:pt idx="4">
                  <c:v>6.8181818181818177E-2</c:v>
                </c:pt>
                <c:pt idx="5">
                  <c:v>4.5454545454545456E-2</c:v>
                </c:pt>
                <c:pt idx="6">
                  <c:v>4.5454545454545456E-2</c:v>
                </c:pt>
                <c:pt idx="7">
                  <c:v>2.2727272727272728E-2</c:v>
                </c:pt>
                <c:pt idx="8">
                  <c:v>2.2727272727272728E-2</c:v>
                </c:pt>
                <c:pt idx="9">
                  <c:v>2.2727272727272728E-2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182720"/>
        <c:axId val="74498048"/>
      </c:barChart>
      <c:catAx>
        <c:axId val="73182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0" vert="horz"/>
          <a:lstStyle/>
          <a:p>
            <a:pPr>
              <a:defRPr sz="1000" b="0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498048"/>
        <c:crosses val="autoZero"/>
        <c:auto val="1"/>
        <c:lblAlgn val="ctr"/>
        <c:lblOffset val="50"/>
        <c:noMultiLvlLbl val="0"/>
      </c:catAx>
      <c:valAx>
        <c:axId val="74498048"/>
        <c:scaling>
          <c:orientation val="minMax"/>
        </c:scaling>
        <c:delete val="0"/>
        <c:axPos val="b"/>
        <c:numFmt formatCode="[&gt;=1000000].0,,&quot;M&quot;;[&gt;=1000].0,&quot;K&quot;;#,##0" sourceLinked="0"/>
        <c:majorTickMark val="none"/>
        <c:minorTickMark val="none"/>
        <c:tickLblPos val="none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82720"/>
        <c:crosses val="max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10800000" scaled="1"/>
          <a:tileRect/>
        </a:gradFill>
        <a:ln w="12700">
          <a:solidFill>
            <a:srgbClr val="262626"/>
          </a:solidFill>
        </a:ln>
      </c:spPr>
    </c:plotArea>
    <c:plotVisOnly val="0"/>
    <c:dispBlanksAs val="gap"/>
    <c:showDLblsOverMax val="0"/>
  </c:chart>
  <c:spPr>
    <a:solidFill>
      <a:srgbClr val="262626"/>
    </a:solidFill>
    <a:ln w="19050">
      <a:solidFill>
        <a:srgbClr val="151515"/>
      </a:solidFill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0" cap="none" baseline="0">
                <a:solidFill>
                  <a:srgbClr val="DCDCDC"/>
                </a:solidFill>
                <a:latin typeface="Calibri"/>
                <a:cs typeface="Arial" pitchFamily="34" charset="0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Audience by # Followers</a:t>
            </a:r>
          </a:p>
        </c:rich>
      </c:tx>
      <c:layout>
        <c:manualLayout>
          <c:xMode val="edge"/>
          <c:yMode val="edge"/>
          <c:x val="0.11805555555555555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576388888888889"/>
          <c:y val="0.15277777777777779"/>
          <c:w val="0.5"/>
          <c:h val="0.718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Calculations!$C$123</c:f>
              <c:strCache>
                <c:ptCount val="1"/>
                <c:pt idx="0">
                  <c:v>Followers</c:v>
                </c:pt>
              </c:strCache>
            </c:strRef>
          </c:tx>
          <c:spPr>
            <a:gradFill flip="none" rotWithShape="1">
              <a:gsLst>
                <a:gs pos="0">
                  <a:srgbClr val="620014"/>
                </a:gs>
                <a:gs pos="100000">
                  <a:srgbClr val="AC082B"/>
                </a:gs>
                <a:gs pos="50000">
                  <a:srgbClr val="900522"/>
                </a:gs>
              </a:gsLst>
              <a:lin ang="16200000" scaled="1"/>
              <a:tileRect/>
            </a:gradFill>
            <a:ln w="12700">
              <a:solidFill>
                <a:srgbClr val="AC082B"/>
              </a:solidFill>
            </a:ln>
          </c:spPr>
          <c:invertIfNegative val="0"/>
          <c:dLbls>
            <c:numFmt formatCode="[&gt;=1000000].0,,&quot;M&quot;;[&gt;=10000].0,&quot;K&quot;;#,##0" sourceLinked="0"/>
            <c:txPr>
              <a:bodyPr/>
              <a:lstStyle/>
              <a:p>
                <a:pPr>
                  <a:defRPr sz="8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[0]!calculations.most_followed_users_name</c:f>
              <c:strCache>
                <c:ptCount val="10"/>
                <c:pt idx="0">
                  <c:v>FAOnews</c:v>
                </c:pt>
                <c:pt idx="1">
                  <c:v>foodtank</c:v>
                </c:pt>
                <c:pt idx="2">
                  <c:v>FAOKnowledge</c:v>
                </c:pt>
                <c:pt idx="3">
                  <c:v>FarmsNews</c:v>
                </c:pt>
                <c:pt idx="4">
                  <c:v>mediamails</c:v>
                </c:pt>
                <c:pt idx="5">
                  <c:v>FAOstatistics</c:v>
                </c:pt>
                <c:pt idx="6">
                  <c:v>MirelaXhota</c:v>
                </c:pt>
                <c:pt idx="7">
                  <c:v>JavierBlas2</c:v>
                </c:pt>
                <c:pt idx="8">
                  <c:v>uswheatassoc</c:v>
                </c:pt>
                <c:pt idx="9">
                  <c:v>Agronegocios_Uy</c:v>
                </c:pt>
              </c:strCache>
            </c:strRef>
          </c:cat>
          <c:val>
            <c:numRef>
              <c:f>[0]!calculations.most_followed_users_count</c:f>
              <c:numCache>
                <c:formatCode>#,##0</c:formatCode>
                <c:ptCount val="10"/>
                <c:pt idx="0">
                  <c:v>210157</c:v>
                </c:pt>
                <c:pt idx="1">
                  <c:v>191171</c:v>
                </c:pt>
                <c:pt idx="2">
                  <c:v>85182</c:v>
                </c:pt>
                <c:pt idx="3">
                  <c:v>66494</c:v>
                </c:pt>
                <c:pt idx="4">
                  <c:v>53127</c:v>
                </c:pt>
                <c:pt idx="5">
                  <c:v>46295</c:v>
                </c:pt>
                <c:pt idx="6">
                  <c:v>32669</c:v>
                </c:pt>
                <c:pt idx="7">
                  <c:v>28466</c:v>
                </c:pt>
                <c:pt idx="8">
                  <c:v>10460</c:v>
                </c:pt>
                <c:pt idx="9">
                  <c:v>9159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5822080"/>
        <c:axId val="74499776"/>
      </c:barChart>
      <c:catAx>
        <c:axId val="75822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0" vert="horz"/>
          <a:lstStyle/>
          <a:p>
            <a:pPr>
              <a:defRPr sz="1000" b="0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499776"/>
        <c:crosses val="autoZero"/>
        <c:auto val="1"/>
        <c:lblAlgn val="ctr"/>
        <c:lblOffset val="50"/>
        <c:noMultiLvlLbl val="0"/>
      </c:catAx>
      <c:valAx>
        <c:axId val="7449977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0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Followers</a:t>
                </a:r>
              </a:p>
            </c:rich>
          </c:tx>
          <c:layout>
            <c:manualLayout>
              <c:xMode val="edge"/>
              <c:yMode val="edge"/>
              <c:x val="0.52907097550306215"/>
              <c:y val="0.92708333333333337"/>
            </c:manualLayout>
          </c:layout>
          <c:overlay val="0"/>
        </c:title>
        <c:numFmt formatCode="[&gt;=1000000].0,,&quot;M&quot;;[&gt;=1000].0,&quot;K&quot;;#,##0" sourceLinked="0"/>
        <c:majorTickMark val="none"/>
        <c:minorTickMark val="none"/>
        <c:tickLblPos val="none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822080"/>
        <c:crosses val="max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10800000" scaled="1"/>
          <a:tileRect/>
        </a:gradFill>
        <a:ln w="12700">
          <a:solidFill>
            <a:srgbClr val="262626"/>
          </a:solidFill>
        </a:ln>
      </c:spPr>
    </c:plotArea>
    <c:plotVisOnly val="0"/>
    <c:dispBlanksAs val="gap"/>
    <c:showDLblsOverMax val="0"/>
  </c:chart>
  <c:spPr>
    <a:solidFill>
      <a:srgbClr val="262626"/>
    </a:solidFill>
    <a:ln w="19050">
      <a:solidFill>
        <a:srgbClr val="151515"/>
      </a:solidFill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0" cap="none" baseline="0">
                <a:solidFill>
                  <a:srgbClr val="DCDCDC"/>
                </a:solidFill>
                <a:latin typeface="Calibri"/>
                <a:cs typeface="Arial" pitchFamily="34" charset="0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Audience Distribution by Date of Last Tweet</a:t>
            </a:r>
          </a:p>
        </c:rich>
      </c:tx>
      <c:layout>
        <c:manualLayout>
          <c:xMode val="edge"/>
          <c:yMode val="edge"/>
          <c:x val="5.8219178082191778E-2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328767123287671"/>
          <c:y val="0.1875"/>
          <c:w val="0.8030963655541774"/>
          <c:h val="0.5763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v>Followers by Date of Last Tweet (%)</c:v>
          </c:tx>
          <c:spPr>
            <a:gradFill flip="none" rotWithShape="1">
              <a:gsLst>
                <a:gs pos="0">
                  <a:srgbClr val="620014"/>
                </a:gs>
                <a:gs pos="100000">
                  <a:srgbClr val="AC082B"/>
                </a:gs>
                <a:gs pos="50000">
                  <a:srgbClr val="900522"/>
                </a:gs>
              </a:gsLst>
              <a:lin ang="0" scaled="1"/>
              <a:tileRect/>
            </a:gradFill>
            <a:ln w="12700">
              <a:solidFill>
                <a:srgbClr val="AC082B"/>
              </a:solidFill>
            </a:ln>
          </c:spPr>
          <c:invertIfNegative val="0"/>
          <c:dLbls>
            <c:numFmt formatCode="[&gt;=0.1]#%;[=0]0%;0.0%" sourceLinked="0"/>
            <c:txPr>
              <a:bodyPr/>
              <a:lstStyle/>
              <a:p>
                <a:pPr>
                  <a:defRPr sz="8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Calculations!$A$106:$A$113</c:f>
              <c:strCache>
                <c:ptCount val="8"/>
                <c:pt idx="0">
                  <c:v>Last 24 hours</c:v>
                </c:pt>
                <c:pt idx="1">
                  <c:v>24 hours-1 week</c:v>
                </c:pt>
                <c:pt idx="2">
                  <c:v>1-2 weeks</c:v>
                </c:pt>
                <c:pt idx="3">
                  <c:v>2-4 weeks</c:v>
                </c:pt>
                <c:pt idx="4">
                  <c:v>1-3 months</c:v>
                </c:pt>
                <c:pt idx="5">
                  <c:v>3-6 months</c:v>
                </c:pt>
                <c:pt idx="6">
                  <c:v>6-12 months</c:v>
                </c:pt>
                <c:pt idx="7">
                  <c:v>&gt; One year</c:v>
                </c:pt>
              </c:strCache>
            </c:strRef>
          </c:cat>
          <c:val>
            <c:numRef>
              <c:f>Calculations!$B$106:$B$113</c:f>
              <c:numCache>
                <c:formatCode>0.0%</c:formatCode>
                <c:ptCount val="8"/>
                <c:pt idx="0">
                  <c:v>0.39416058394160586</c:v>
                </c:pt>
                <c:pt idx="1">
                  <c:v>0.19708029197080293</c:v>
                </c:pt>
                <c:pt idx="2">
                  <c:v>8.0291970802919707E-2</c:v>
                </c:pt>
                <c:pt idx="3">
                  <c:v>6.569343065693431E-2</c:v>
                </c:pt>
                <c:pt idx="4">
                  <c:v>5.8394160583941604E-2</c:v>
                </c:pt>
                <c:pt idx="5">
                  <c:v>2.9197080291970802E-2</c:v>
                </c:pt>
                <c:pt idx="6">
                  <c:v>3.6496350364963501E-2</c:v>
                </c:pt>
                <c:pt idx="7">
                  <c:v>0.13868613138686131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5822592"/>
        <c:axId val="74498624"/>
      </c:barChart>
      <c:catAx>
        <c:axId val="7582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-2820000" vert="horz"/>
          <a:lstStyle/>
          <a:p>
            <a:pPr>
              <a:defRPr sz="1000" b="0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498624"/>
        <c:crosses val="autoZero"/>
        <c:auto val="1"/>
        <c:lblAlgn val="ctr"/>
        <c:lblOffset val="50"/>
        <c:noMultiLvlLbl val="0"/>
      </c:catAx>
      <c:valAx>
        <c:axId val="74498624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822592"/>
        <c:crosses val="autoZero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5400000" scaled="1"/>
          <a:tileRect/>
        </a:gradFill>
        <a:ln w="12700">
          <a:solidFill>
            <a:srgbClr val="262626"/>
          </a:solidFill>
        </a:ln>
      </c:spPr>
    </c:plotArea>
    <c:plotVisOnly val="1"/>
    <c:dispBlanksAs val="zero"/>
    <c:showDLblsOverMax val="0"/>
  </c:chart>
  <c:spPr>
    <a:solidFill>
      <a:srgbClr val="262626"/>
    </a:solidFill>
    <a:ln w="19050">
      <a:solidFill>
        <a:srgbClr val="151515"/>
      </a:solidFill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0" cap="none" baseline="0">
                <a:solidFill>
                  <a:srgbClr val="DCDCDC"/>
                </a:solidFill>
                <a:latin typeface="Calibri"/>
                <a:cs typeface="Arial" pitchFamily="34" charset="0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Audience </a:t>
            </a:r>
            <a:r>
              <a:rPr lang="en-US" sz="1600" b="0" cap="none" baseline="0">
                <a:solidFill>
                  <a:srgbClr val="DCDCDC"/>
                </a:solidFill>
                <a:latin typeface="Calibri"/>
              </a:rPr>
              <a:t>Distribution </a:t>
            </a:r>
            <a:r>
              <a:rPr lang="en-US" sz="1600" b="0" cap="none">
                <a:solidFill>
                  <a:srgbClr val="DCDCDC"/>
                </a:solidFill>
                <a:latin typeface="Calibri"/>
              </a:rPr>
              <a:t>by Time Zone (Relative to GMT)</a:t>
            </a:r>
          </a:p>
        </c:rich>
      </c:tx>
      <c:layout>
        <c:manualLayout>
          <c:xMode val="edge"/>
          <c:yMode val="edge"/>
          <c:x val="3.8636363636363635E-2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1818181818181818E-2"/>
          <c:y val="0.2638888888888889"/>
          <c:w val="0.83181818181818179"/>
          <c:h val="0.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Calculations!$D$298</c:f>
              <c:strCache>
                <c:ptCount val="1"/>
                <c:pt idx="0">
                  <c:v>Audience</c:v>
                </c:pt>
              </c:strCache>
            </c:strRef>
          </c:tx>
          <c:spPr>
            <a:gradFill flip="none" rotWithShape="1">
              <a:gsLst>
                <a:gs pos="0">
                  <a:srgbClr val="184479"/>
                </a:gs>
                <a:gs pos="100000">
                  <a:srgbClr val="3B7AC6"/>
                </a:gs>
                <a:gs pos="50000">
                  <a:srgbClr val="2765AF"/>
                </a:gs>
              </a:gsLst>
              <a:lin ang="0" scaled="1"/>
              <a:tileRect/>
            </a:gradFill>
            <a:ln w="12700">
              <a:solidFill>
                <a:srgbClr val="3B7AC6"/>
              </a:solidFill>
            </a:ln>
          </c:spPr>
          <c:invertIfNegative val="0"/>
          <c:cat>
            <c:strRef>
              <c:f>Calculations!$F$299:$F$331</c:f>
              <c:strCache>
                <c:ptCount val="33"/>
                <c:pt idx="0">
                  <c:v>GMT-11:00</c:v>
                </c:pt>
                <c:pt idx="1">
                  <c:v>GMT-10:00</c:v>
                </c:pt>
                <c:pt idx="2">
                  <c:v>GMT-09:00</c:v>
                </c:pt>
                <c:pt idx="3">
                  <c:v>GMT-08:00</c:v>
                </c:pt>
                <c:pt idx="4">
                  <c:v>GMT-07:00</c:v>
                </c:pt>
                <c:pt idx="5">
                  <c:v>GMT-06:00</c:v>
                </c:pt>
                <c:pt idx="6">
                  <c:v>GMT-05:00</c:v>
                </c:pt>
                <c:pt idx="7">
                  <c:v>GMT-04:30</c:v>
                </c:pt>
                <c:pt idx="8">
                  <c:v>GMT-04:00</c:v>
                </c:pt>
                <c:pt idx="9">
                  <c:v>GMT-03:30</c:v>
                </c:pt>
                <c:pt idx="10">
                  <c:v>GMT-03:00</c:v>
                </c:pt>
                <c:pt idx="11">
                  <c:v>GMT-02:00</c:v>
                </c:pt>
                <c:pt idx="12">
                  <c:v>GMT-01:00</c:v>
                </c:pt>
                <c:pt idx="13">
                  <c:v>GMT</c:v>
                </c:pt>
                <c:pt idx="14">
                  <c:v>GMT+01:00</c:v>
                </c:pt>
                <c:pt idx="15">
                  <c:v>GMT+02:00</c:v>
                </c:pt>
                <c:pt idx="16">
                  <c:v>GMT+03:00</c:v>
                </c:pt>
                <c:pt idx="17">
                  <c:v>GMT+03:30</c:v>
                </c:pt>
                <c:pt idx="18">
                  <c:v>GMT+04:00</c:v>
                </c:pt>
                <c:pt idx="19">
                  <c:v>GMT+04:30</c:v>
                </c:pt>
                <c:pt idx="20">
                  <c:v>GMT+05:00</c:v>
                </c:pt>
                <c:pt idx="21">
                  <c:v>GMT+05:30</c:v>
                </c:pt>
                <c:pt idx="22">
                  <c:v>GMT+05:45</c:v>
                </c:pt>
                <c:pt idx="23">
                  <c:v>GMT+06:00</c:v>
                </c:pt>
                <c:pt idx="24">
                  <c:v>GMT+06:30</c:v>
                </c:pt>
                <c:pt idx="25">
                  <c:v>GMT+07:00</c:v>
                </c:pt>
                <c:pt idx="26">
                  <c:v>GMT+08:00</c:v>
                </c:pt>
                <c:pt idx="27">
                  <c:v>GMT+09:00</c:v>
                </c:pt>
                <c:pt idx="28">
                  <c:v>GMT+09:30</c:v>
                </c:pt>
                <c:pt idx="29">
                  <c:v>GMT+10:00</c:v>
                </c:pt>
                <c:pt idx="30">
                  <c:v>GMT+11:00</c:v>
                </c:pt>
                <c:pt idx="31">
                  <c:v>GMT+12:00</c:v>
                </c:pt>
                <c:pt idx="32">
                  <c:v>GMT+13:00</c:v>
                </c:pt>
              </c:strCache>
            </c:strRef>
          </c:cat>
          <c:val>
            <c:numRef>
              <c:f>Calculations!$G$299:$G$331</c:f>
              <c:numCache>
                <c:formatCode>0.0%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  <c:pt idx="4">
                  <c:v>1.098901098901099E-2</c:v>
                </c:pt>
                <c:pt idx="5">
                  <c:v>7.6923076923076927E-2</c:v>
                </c:pt>
                <c:pt idx="6">
                  <c:v>8.7912087912087919E-2</c:v>
                </c:pt>
                <c:pt idx="7">
                  <c:v>0</c:v>
                </c:pt>
                <c:pt idx="8">
                  <c:v>2.197802197802198E-2</c:v>
                </c:pt>
                <c:pt idx="9">
                  <c:v>0</c:v>
                </c:pt>
                <c:pt idx="10">
                  <c:v>4.3956043956043959E-2</c:v>
                </c:pt>
                <c:pt idx="11">
                  <c:v>0</c:v>
                </c:pt>
                <c:pt idx="12">
                  <c:v>0</c:v>
                </c:pt>
                <c:pt idx="13">
                  <c:v>0.12087912087912088</c:v>
                </c:pt>
                <c:pt idx="14">
                  <c:v>0.31868131868131866</c:v>
                </c:pt>
                <c:pt idx="15">
                  <c:v>9.8901098901098897E-2</c:v>
                </c:pt>
                <c:pt idx="16">
                  <c:v>1.098901098901099E-2</c:v>
                </c:pt>
                <c:pt idx="17">
                  <c:v>2.197802197802198E-2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2.197802197802198E-2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1.098901098901099E-2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Calculations!$E$298</c:f>
              <c:strCache>
                <c:ptCount val="1"/>
                <c:pt idx="0">
                  <c:v>Audience With Klout Scores Above Worldwide Average</c:v>
                </c:pt>
              </c:strCache>
            </c:strRef>
          </c:tx>
          <c:spPr>
            <a:gradFill flip="none" rotWithShape="1">
              <a:gsLst>
                <a:gs pos="0">
                  <a:srgbClr val="620014"/>
                </a:gs>
                <a:gs pos="100000">
                  <a:srgbClr val="AC082B"/>
                </a:gs>
                <a:gs pos="50000">
                  <a:srgbClr val="900522"/>
                </a:gs>
              </a:gsLst>
              <a:lin ang="0" scaled="1"/>
              <a:tileRect/>
            </a:gradFill>
            <a:ln w="12700">
              <a:solidFill>
                <a:srgbClr val="AC082B"/>
              </a:solidFill>
            </a:ln>
          </c:spPr>
          <c:invertIfNegative val="0"/>
          <c:val>
            <c:numRef>
              <c:f>Calculations!$I$299:$I$331</c:f>
              <c:numCache>
                <c:formatCode>0.0%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6.8181818181818177E-2</c:v>
                </c:pt>
                <c:pt idx="4">
                  <c:v>0</c:v>
                </c:pt>
                <c:pt idx="5">
                  <c:v>4.5454545454545456E-2</c:v>
                </c:pt>
                <c:pt idx="6">
                  <c:v>0.15909090909090909</c:v>
                </c:pt>
                <c:pt idx="7">
                  <c:v>0</c:v>
                </c:pt>
                <c:pt idx="8">
                  <c:v>2.2727272727272728E-2</c:v>
                </c:pt>
                <c:pt idx="9">
                  <c:v>0</c:v>
                </c:pt>
                <c:pt idx="10">
                  <c:v>4.5454545454545456E-2</c:v>
                </c:pt>
                <c:pt idx="11">
                  <c:v>0</c:v>
                </c:pt>
                <c:pt idx="12">
                  <c:v>0</c:v>
                </c:pt>
                <c:pt idx="13">
                  <c:v>0.13636363636363635</c:v>
                </c:pt>
                <c:pt idx="14">
                  <c:v>0.38636363636363635</c:v>
                </c:pt>
                <c:pt idx="15">
                  <c:v>9.0909090909090912E-2</c:v>
                </c:pt>
                <c:pt idx="16">
                  <c:v>2.2727272727272728E-2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2.2727272727272728E-2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148928"/>
        <c:axId val="74504384"/>
      </c:barChart>
      <c:catAx>
        <c:axId val="73148928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-2820000" vert="horz"/>
          <a:lstStyle/>
          <a:p>
            <a:pPr>
              <a:defRPr sz="800" b="1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504384"/>
        <c:crosses val="autoZero"/>
        <c:auto val="1"/>
        <c:lblAlgn val="ctr"/>
        <c:lblOffset val="50"/>
        <c:noMultiLvlLbl val="0"/>
      </c:catAx>
      <c:valAx>
        <c:axId val="745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% Of User Base</a:t>
                </a:r>
              </a:p>
            </c:rich>
          </c:tx>
          <c:layout>
            <c:manualLayout>
              <c:xMode val="edge"/>
              <c:yMode val="edge"/>
              <c:x val="1.2500000000000001E-2"/>
              <c:y val="0.396701388888888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48928"/>
        <c:crosses val="autoZero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5400000" scaled="1"/>
          <a:tileRect/>
        </a:gradFill>
        <a:ln w="12700">
          <a:solidFill>
            <a:srgbClr val="262626"/>
          </a:solidFill>
        </a:ln>
      </c:spPr>
    </c:plotArea>
    <c:legend>
      <c:legendPos val="t"/>
      <c:layout>
        <c:manualLayout>
          <c:xMode val="edge"/>
          <c:yMode val="edge"/>
          <c:x val="8.1818181818181818E-2"/>
          <c:y val="0.13541666666666666"/>
          <c:w val="0.83181818181818179"/>
          <c:h val="8.3333333333333329E-2"/>
        </c:manualLayout>
      </c:layout>
      <c:overlay val="0"/>
      <c:spPr>
        <a:gradFill flip="none" rotWithShape="1">
          <a:gsLst>
            <a:gs pos="0">
              <a:srgbClr val="151515"/>
            </a:gs>
            <a:gs pos="100000">
              <a:srgbClr val="404040"/>
            </a:gs>
            <a:gs pos="3000">
              <a:srgbClr val="151515"/>
            </a:gs>
            <a:gs pos="4000">
              <a:srgbClr val="404040"/>
            </a:gs>
            <a:gs pos="7000">
              <a:srgbClr val="404040"/>
            </a:gs>
            <a:gs pos="8000">
              <a:srgbClr val="262626"/>
            </a:gs>
            <a:gs pos="92000">
              <a:srgbClr val="262626"/>
            </a:gs>
            <a:gs pos="93000">
              <a:srgbClr val="151515"/>
            </a:gs>
            <a:gs pos="96000">
              <a:srgbClr val="151515"/>
            </a:gs>
            <a:gs pos="97000">
              <a:srgbClr val="404040"/>
            </a:gs>
          </a:gsLst>
          <a:lin ang="5400000" scaled="1"/>
          <a:tileRect/>
        </a:gradFill>
      </c:spPr>
      <c:txPr>
        <a:bodyPr/>
        <a:lstStyle/>
        <a:p>
          <a:pPr>
            <a:defRPr sz="1000" b="0">
              <a:solidFill>
                <a:srgbClr val="C8C8C8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262626"/>
    </a:solidFill>
    <a:ln w="19050">
      <a:solidFill>
        <a:srgbClr val="151515"/>
      </a:solidFill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0" cap="none" baseline="0">
                <a:solidFill>
                  <a:srgbClr val="DCDCDC"/>
                </a:solidFill>
                <a:latin typeface="Calibri"/>
                <a:cs typeface="Arial" pitchFamily="34" charset="0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Audience Profile Analysis: Top Keywords</a:t>
            </a:r>
          </a:p>
        </c:rich>
      </c:tx>
      <c:layout>
        <c:manualLayout>
          <c:xMode val="edge"/>
          <c:yMode val="edge"/>
          <c:x val="3.8636363636363635E-2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1818181818181818E-2"/>
          <c:y val="0.1875"/>
          <c:w val="0.83181818181818179"/>
          <c:h val="0.5763888888888888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3F1260"/>
                </a:gs>
                <a:gs pos="100000">
                  <a:srgbClr val="7128A8"/>
                </a:gs>
                <a:gs pos="50000">
                  <a:srgbClr val="5E1F8D"/>
                </a:gs>
              </a:gsLst>
              <a:lin ang="0" scaled="1"/>
              <a:tileRect/>
            </a:gradFill>
            <a:ln w="9525">
              <a:solidFill>
                <a:srgbClr val="7128A8"/>
              </a:solidFill>
            </a:ln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620014"/>
                  </a:gs>
                  <a:gs pos="100000">
                    <a:srgbClr val="AC082B"/>
                  </a:gs>
                  <a:gs pos="50000">
                    <a:srgbClr val="900522"/>
                  </a:gs>
                </a:gsLst>
                <a:lin ang="0" scaled="1"/>
                <a:tileRect/>
              </a:gradFill>
              <a:ln w="12700">
                <a:solidFill>
                  <a:srgbClr val="AC082B"/>
                </a:solidFill>
              </a:ln>
            </c:spPr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A03500"/>
                  </a:gs>
                  <a:gs pos="100000">
                    <a:srgbClr val="FF6200"/>
                  </a:gs>
                  <a:gs pos="50000">
                    <a:srgbClr val="E65100"/>
                  </a:gs>
                </a:gsLst>
                <a:lin ang="0" scaled="1"/>
                <a:tileRect/>
              </a:gradFill>
              <a:ln w="12700">
                <a:solidFill>
                  <a:srgbClr val="FF6200"/>
                </a:solidFill>
              </a:ln>
            </c:spPr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A0A000"/>
                  </a:gs>
                  <a:gs pos="100000">
                    <a:srgbClr val="FFFF00"/>
                  </a:gs>
                  <a:gs pos="50000">
                    <a:srgbClr val="E6E600"/>
                  </a:gs>
                </a:gsLst>
                <a:lin ang="0" scaled="1"/>
                <a:tileRect/>
              </a:gradFill>
              <a:ln w="12700">
                <a:solidFill>
                  <a:srgbClr val="FFFF00"/>
                </a:solidFill>
              </a:ln>
            </c:spPr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238000"/>
                  </a:gs>
                  <a:gs pos="100000">
                    <a:srgbClr val="41D509"/>
                  </a:gs>
                  <a:gs pos="50000">
                    <a:srgbClr val="35B305"/>
                  </a:gs>
                </a:gsLst>
                <a:lin ang="0" scaled="1"/>
                <a:tileRect/>
              </a:gradFill>
              <a:ln w="12700">
                <a:solidFill>
                  <a:srgbClr val="41D509"/>
                </a:solidFill>
              </a:ln>
            </c:spPr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356994"/>
                  </a:gs>
                  <a:gs pos="100000">
                    <a:srgbClr val="61B7FD"/>
                  </a:gs>
                  <a:gs pos="50000">
                    <a:srgbClr val="5099D5"/>
                  </a:gs>
                </a:gsLst>
                <a:lin ang="0" scaled="1"/>
                <a:tileRect/>
              </a:gradFill>
              <a:ln w="12700">
                <a:solidFill>
                  <a:srgbClr val="61B7FD"/>
                </a:solidFill>
              </a:ln>
            </c:spPr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184479"/>
                  </a:gs>
                  <a:gs pos="100000">
                    <a:srgbClr val="3B7AC6"/>
                  </a:gs>
                  <a:gs pos="50000">
                    <a:srgbClr val="2765AF"/>
                  </a:gs>
                </a:gsLst>
                <a:lin ang="0" scaled="1"/>
                <a:tileRect/>
              </a:gradFill>
              <a:ln w="12700">
                <a:solidFill>
                  <a:srgbClr val="3B7AC6"/>
                </a:solidFill>
              </a:ln>
            </c:spPr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0B2A50"/>
                  </a:gs>
                  <a:gs pos="100000">
                    <a:srgbClr val="1B4E8C"/>
                  </a:gs>
                  <a:gs pos="50000">
                    <a:srgbClr val="144075"/>
                  </a:gs>
                </a:gsLst>
                <a:lin ang="0" scaled="1"/>
                <a:tileRect/>
              </a:gradFill>
              <a:ln w="12700">
                <a:solidFill>
                  <a:srgbClr val="1B4E8C"/>
                </a:solidFill>
              </a:ln>
            </c:spPr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3F1260"/>
                  </a:gs>
                  <a:gs pos="100000">
                    <a:srgbClr val="7128A8"/>
                  </a:gs>
                  <a:gs pos="50000">
                    <a:srgbClr val="5E1F8D"/>
                  </a:gs>
                </a:gsLst>
                <a:lin ang="0" scaled="1"/>
                <a:tileRect/>
              </a:gradFill>
              <a:ln w="12700">
                <a:solidFill>
                  <a:srgbClr val="7128A8"/>
                </a:solidFill>
              </a:ln>
            </c:spPr>
          </c:dPt>
          <c:dLbls>
            <c:numFmt formatCode="[&gt;=1000000].0,,&quot;M&quot;;[&gt;=10000].0,&quot;K&quot;;#,##0" sourceLinked="0"/>
            <c:txPr>
              <a:bodyPr/>
              <a:lstStyle/>
              <a:p>
                <a:pPr>
                  <a:defRPr sz="8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Calculations!$A$62:$A$69</c:f>
              <c:strCache>
                <c:ptCount val="8"/>
                <c:pt idx="0">
                  <c:v>food</c:v>
                </c:pt>
                <c:pt idx="1">
                  <c:v>agricultural</c:v>
                </c:pt>
                <c:pt idx="2">
                  <c:v>news</c:v>
                </c:pt>
                <c:pt idx="3">
                  <c:v>economist</c:v>
                </c:pt>
                <c:pt idx="4">
                  <c:v>agriculture</c:v>
                </c:pt>
                <c:pt idx="5">
                  <c:v>markets</c:v>
                </c:pt>
                <c:pt idx="6">
                  <c:v>#unfao</c:v>
                </c:pt>
                <c:pt idx="7">
                  <c:v>commodities</c:v>
                </c:pt>
              </c:strCache>
            </c:strRef>
          </c:cat>
          <c:val>
            <c:numRef>
              <c:f>Calculations!$B$62:$B$69</c:f>
              <c:numCache>
                <c:formatCode>#,##0</c:formatCode>
                <c:ptCount val="8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6042752"/>
        <c:axId val="74503808"/>
      </c:barChart>
      <c:catAx>
        <c:axId val="7604275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-2820000" vert="horz"/>
          <a:lstStyle/>
          <a:p>
            <a:pPr>
              <a:defRPr sz="800" b="1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503808"/>
        <c:crosses val="autoZero"/>
        <c:auto val="1"/>
        <c:lblAlgn val="ctr"/>
        <c:lblOffset val="50"/>
        <c:noMultiLvlLbl val="0"/>
      </c:catAx>
      <c:valAx>
        <c:axId val="74503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Profiles</a:t>
                </a:r>
              </a:p>
            </c:rich>
          </c:tx>
          <c:layout>
            <c:manualLayout>
              <c:xMode val="edge"/>
              <c:yMode val="edge"/>
              <c:x val="1.2500000000000001E-2"/>
              <c:y val="0.39984361329833773"/>
            </c:manualLayout>
          </c:layout>
          <c:overlay val="0"/>
        </c:title>
        <c:numFmt formatCode="[&gt;=1000000].0,,&quot;M&quot;;[&gt;=1000].0,&quot;K&quot;;#,##0" sourceLinked="0"/>
        <c:majorTickMark val="out"/>
        <c:minorTickMark val="none"/>
        <c:tickLblPos val="nextTo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6042752"/>
        <c:crosses val="autoZero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5400000" scaled="1"/>
          <a:tileRect/>
        </a:gradFill>
        <a:ln w="12700">
          <a:solidFill>
            <a:srgbClr val="262626"/>
          </a:solidFill>
        </a:ln>
      </c:spPr>
    </c:plotArea>
    <c:plotVisOnly val="1"/>
    <c:dispBlanksAs val="zero"/>
    <c:showDLblsOverMax val="0"/>
  </c:chart>
  <c:spPr>
    <a:solidFill>
      <a:srgbClr val="262626"/>
    </a:solidFill>
    <a:ln w="19050">
      <a:solidFill>
        <a:srgbClr val="151515"/>
      </a:solidFill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600" b="0" cap="none">
                <a:solidFill>
                  <a:srgbClr val="DCDCDC"/>
                </a:solidFill>
                <a:latin typeface="Calibri"/>
              </a:defRPr>
            </a:pPr>
            <a:r>
              <a:rPr lang="en-US" sz="1600" b="0" cap="none">
                <a:solidFill>
                  <a:srgbClr val="DCDCDC"/>
                </a:solidFill>
                <a:latin typeface="Calibri"/>
              </a:rPr>
              <a:t>Audience Follower Distribution</a:t>
            </a:r>
          </a:p>
        </c:rich>
      </c:tx>
      <c:layout>
        <c:manualLayout>
          <c:xMode val="edge"/>
          <c:yMode val="edge"/>
          <c:x val="5.8219178082191778E-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28767123287671"/>
          <c:y val="0.1875"/>
          <c:w val="0.80308219178082196"/>
          <c:h val="0.5763888888888888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356994"/>
                </a:gs>
                <a:gs pos="100000">
                  <a:srgbClr val="61B7FD"/>
                </a:gs>
                <a:gs pos="50000">
                  <a:srgbClr val="5099D5"/>
                </a:gs>
              </a:gsLst>
              <a:lin ang="0" scaled="1"/>
              <a:tileRect/>
            </a:gradFill>
            <a:ln w="12700">
              <a:solidFill>
                <a:srgbClr val="61B7FD"/>
              </a:solidFill>
            </a:ln>
          </c:spPr>
          <c:invertIfNegative val="0"/>
          <c:dLbls>
            <c:numFmt formatCode="[&gt;=1000000].0,,&quot;M&quot;;[&gt;=10000].0,&quot;K&quot;;#,##0" sourceLinked="0"/>
            <c:txPr>
              <a:bodyPr/>
              <a:lstStyle/>
              <a:p>
                <a:pPr>
                  <a:defRPr sz="800" b="0">
                    <a:solidFill>
                      <a:srgbClr val="B4B4B4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Calculations!$B$42:$B$46</c:f>
              <c:strCache>
                <c:ptCount val="5"/>
                <c:pt idx="0">
                  <c:v>0 to 100</c:v>
                </c:pt>
                <c:pt idx="1">
                  <c:v>100 to 500</c:v>
                </c:pt>
                <c:pt idx="2">
                  <c:v>500 to 1,000</c:v>
                </c:pt>
                <c:pt idx="3">
                  <c:v>1,000 to 2,500</c:v>
                </c:pt>
                <c:pt idx="4">
                  <c:v>&gt; 2,500</c:v>
                </c:pt>
              </c:strCache>
            </c:strRef>
          </c:cat>
          <c:val>
            <c:numRef>
              <c:f>Calculations!$C$42:$C$46</c:f>
              <c:numCache>
                <c:formatCode>#,##0</c:formatCode>
                <c:ptCount val="5"/>
                <c:pt idx="0">
                  <c:v>49</c:v>
                </c:pt>
                <c:pt idx="1">
                  <c:v>37</c:v>
                </c:pt>
                <c:pt idx="2">
                  <c:v>12</c:v>
                </c:pt>
                <c:pt idx="3">
                  <c:v>21</c:v>
                </c:pt>
                <c:pt idx="4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110528"/>
        <c:axId val="76767808"/>
      </c:barChart>
      <c:catAx>
        <c:axId val="73110528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ln>
            <a:solidFill>
              <a:srgbClr val="969696"/>
            </a:solidFill>
          </a:ln>
        </c:spPr>
        <c:txPr>
          <a:bodyPr rot="0" vert="horz"/>
          <a:lstStyle/>
          <a:p>
            <a:pPr>
              <a:defRPr sz="1000" b="0">
                <a:solidFill>
                  <a:srgbClr val="C8C8C8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6767808"/>
        <c:crosses val="autoZero"/>
        <c:auto val="1"/>
        <c:lblAlgn val="ctr"/>
        <c:lblOffset val="50"/>
        <c:noMultiLvlLbl val="0"/>
      </c:catAx>
      <c:valAx>
        <c:axId val="76767808"/>
        <c:scaling>
          <c:orientation val="minMax"/>
        </c:scaling>
        <c:delete val="0"/>
        <c:axPos val="l"/>
        <c:numFmt formatCode="[&gt;=1000000].0,,&quot;M&quot;;[&gt;=1000].0,&quot;K&quot;;#,##0" sourceLinked="0"/>
        <c:majorTickMark val="out"/>
        <c:minorTickMark val="none"/>
        <c:tickLblPos val="nextTo"/>
        <c:spPr>
          <a:ln>
            <a:solidFill>
              <a:srgbClr val="969696"/>
            </a:solidFill>
          </a:ln>
        </c:spPr>
        <c:txPr>
          <a:bodyPr/>
          <a:lstStyle/>
          <a:p>
            <a:pPr>
              <a:defRPr sz="800" b="0">
                <a:solidFill>
                  <a:srgbClr val="A0A0A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10528"/>
        <c:crosses val="autoZero"/>
        <c:crossBetween val="between"/>
      </c:valAx>
      <c:spPr>
        <a:gradFill flip="none" rotWithShape="1">
          <a:gsLst>
            <a:gs pos="0">
              <a:srgbClr val="262626"/>
            </a:gs>
            <a:gs pos="60000">
              <a:srgbClr val="151515"/>
            </a:gs>
          </a:gsLst>
          <a:lin ang="5400000" scaled="1"/>
          <a:tileRect/>
        </a:gradFill>
        <a:ln w="12700">
          <a:solidFill>
            <a:srgbClr val="262626"/>
          </a:solidFill>
        </a:ln>
      </c:spPr>
    </c:plotArea>
    <c:plotVisOnly val="1"/>
    <c:dispBlanksAs val="gap"/>
    <c:showDLblsOverMax val="0"/>
  </c:chart>
  <c:spPr>
    <a:noFill/>
    <a:ln w="1905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1.png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88</xdr:row>
      <xdr:rowOff>104775</xdr:rowOff>
    </xdr:from>
    <xdr:to>
      <xdr:col>23</xdr:col>
      <xdr:colOff>587375</xdr:colOff>
      <xdr:row>107</xdr:row>
      <xdr:rowOff>142875</xdr:rowOff>
    </xdr:to>
    <xdr:grpSp>
      <xdr:nvGrpSpPr>
        <xdr:cNvPr id="7" name="Group 6"/>
        <xdr:cNvGrpSpPr/>
      </xdr:nvGrpSpPr>
      <xdr:grpSpPr>
        <a:xfrm>
          <a:off x="247650" y="16506825"/>
          <a:ext cx="11169650" cy="3657600"/>
          <a:chOff x="247650" y="16506825"/>
          <a:chExt cx="11169650" cy="3657600"/>
        </a:xfrm>
      </xdr:grpSpPr>
      <xdr:graphicFrame macro="">
        <xdr:nvGraphicFramePr>
          <xdr:cNvPr id="4" name="Chart 3"/>
          <xdr:cNvGraphicFramePr/>
        </xdr:nvGraphicFramePr>
        <xdr:xfrm>
          <a:off x="5880100" y="16506825"/>
          <a:ext cx="5537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82" name="Group 81"/>
          <xdr:cNvGrpSpPr/>
        </xdr:nvGrpSpPr>
        <xdr:grpSpPr>
          <a:xfrm>
            <a:off x="247650" y="16516350"/>
            <a:ext cx="5541835" cy="3648075"/>
            <a:chOff x="247650" y="16516350"/>
            <a:chExt cx="5541835" cy="3648075"/>
          </a:xfrm>
        </xdr:grpSpPr>
        <xdr:grpSp>
          <xdr:nvGrpSpPr>
            <xdr:cNvPr id="33" name="Group 32"/>
            <xdr:cNvGrpSpPr/>
          </xdr:nvGrpSpPr>
          <xdr:grpSpPr>
            <a:xfrm>
              <a:off x="247650" y="16516350"/>
              <a:ext cx="5532501" cy="3648075"/>
              <a:chOff x="247650" y="16516350"/>
              <a:chExt cx="5532501" cy="3648075"/>
            </a:xfrm>
          </xdr:grpSpPr>
          <xdr:grpSp>
            <xdr:nvGrpSpPr>
              <xdr:cNvPr id="86" name="Group 85"/>
              <xdr:cNvGrpSpPr/>
            </xdr:nvGrpSpPr>
            <xdr:grpSpPr>
              <a:xfrm>
                <a:off x="247650" y="16516350"/>
                <a:ext cx="5532120" cy="3648075"/>
                <a:chOff x="6953250" y="13830300"/>
                <a:chExt cx="5532120" cy="3648075"/>
              </a:xfrm>
            </xdr:grpSpPr>
            <xdr:sp macro="" textlink="">
              <xdr:nvSpPr>
                <xdr:cNvPr id="101" name="Rectangle 100"/>
                <xdr:cNvSpPr/>
              </xdr:nvSpPr>
              <xdr:spPr>
                <a:xfrm>
                  <a:off x="6953250" y="13830300"/>
                  <a:ext cx="5532120" cy="3648075"/>
                </a:xfrm>
                <a:prstGeom prst="rect">
                  <a:avLst/>
                </a:prstGeom>
                <a:solidFill>
                  <a:srgbClr val="262626"/>
                </a:solidFill>
                <a:ln w="31750" cap="flat" cmpd="sng" algn="ctr">
                  <a:solidFill>
                    <a:srgbClr val="151515"/>
                  </a:solidFill>
                  <a:prstDash val="solid"/>
                </a:ln>
                <a:effectLst/>
                <a:ex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102" name="Group 101"/>
                <xdr:cNvGrpSpPr/>
              </xdr:nvGrpSpPr>
              <xdr:grpSpPr>
                <a:xfrm>
                  <a:off x="6966966" y="16478251"/>
                  <a:ext cx="5513832" cy="1000124"/>
                  <a:chOff x="280416" y="13315950"/>
                  <a:chExt cx="5513832" cy="1000124"/>
                </a:xfrm>
              </xdr:grpSpPr>
              <xdr:sp macro="" textlink="">
                <xdr:nvSpPr>
                  <xdr:cNvPr id="103" name="Rectangle 102"/>
                  <xdr:cNvSpPr/>
                </xdr:nvSpPr>
                <xdr:spPr>
                  <a:xfrm>
                    <a:off x="285750" y="13792200"/>
                    <a:ext cx="5504688" cy="523874"/>
                  </a:xfrm>
                  <a:prstGeom prst="rect">
                    <a:avLst/>
                  </a:prstGeom>
                  <a:solidFill>
                    <a:srgbClr val="202020"/>
                  </a:solidFill>
                  <a:ln w="19050" cap="flat" cmpd="sng" algn="ctr">
                    <a:noFill/>
                    <a:prstDash val="solid"/>
                  </a:ln>
                  <a:effectLst/>
                  <a:ex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4" name="Rectangle 103"/>
                  <xdr:cNvSpPr/>
                </xdr:nvSpPr>
                <xdr:spPr>
                  <a:xfrm>
                    <a:off x="285750" y="13323570"/>
                    <a:ext cx="5504688" cy="621029"/>
                  </a:xfrm>
                  <a:prstGeom prst="rect">
                    <a:avLst/>
                  </a:prstGeom>
                  <a:gradFill>
                    <a:gsLst>
                      <a:gs pos="0">
                        <a:srgbClr val="101010"/>
                      </a:gs>
                      <a:gs pos="5000">
                        <a:srgbClr val="161616"/>
                      </a:gs>
                      <a:gs pos="100000">
                        <a:srgbClr val="202020"/>
                      </a:gs>
                    </a:gsLst>
                    <a:lin ang="5400000" scaled="0"/>
                  </a:gradFill>
                  <a:ln w="19050" cap="flat" cmpd="sng" algn="ctr">
                    <a:noFill/>
                    <a:prstDash val="solid"/>
                  </a:ln>
                  <a:effectLst/>
                  <a:ex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cxnSp macro="">
                <xdr:nvCxnSpPr>
                  <xdr:cNvPr id="105" name="Straight Connector 104"/>
                  <xdr:cNvCxnSpPr/>
                </xdr:nvCxnSpPr>
                <xdr:spPr>
                  <a:xfrm>
                    <a:off x="280416" y="13315950"/>
                    <a:ext cx="5513832" cy="0"/>
                  </a:xfrm>
                  <a:prstGeom prst="line">
                    <a:avLst/>
                  </a:prstGeom>
                  <a:ln>
                    <a:solidFill>
                      <a:srgbClr val="2D2D2D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87" name="Rectangle 86"/>
              <xdr:cNvSpPr/>
            </xdr:nvSpPr>
            <xdr:spPr>
              <a:xfrm>
                <a:off x="257175" y="16525875"/>
                <a:ext cx="5522976" cy="2642616"/>
              </a:xfrm>
              <a:prstGeom prst="rect">
                <a:avLst/>
              </a:prstGeom>
              <a:solidFill>
                <a:srgbClr val="262626"/>
              </a:solidFill>
              <a:ln w="19050" cap="flat" cmpd="sng" algn="ctr">
                <a:noFill/>
                <a:prstDash val="solid"/>
              </a:ln>
              <a:effectLst/>
              <a:ex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94" name="Group 93"/>
              <xdr:cNvGrpSpPr/>
            </xdr:nvGrpSpPr>
            <xdr:grpSpPr>
              <a:xfrm>
                <a:off x="1570673" y="19211926"/>
                <a:ext cx="2781300" cy="900684"/>
                <a:chOff x="7222871" y="13354050"/>
                <a:chExt cx="2781300" cy="900684"/>
              </a:xfrm>
            </xdr:grpSpPr>
            <xdr:sp macro="" textlink="Calculations!F148">
              <xdr:nvSpPr>
                <xdr:cNvPr id="95" name="TextBox 94"/>
                <xdr:cNvSpPr txBox="1"/>
              </xdr:nvSpPr>
              <xdr:spPr>
                <a:xfrm>
                  <a:off x="8632571" y="13354050"/>
                  <a:ext cx="1371600" cy="32918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lIns="0" tIns="0" rIns="0" bIns="0" rtlCol="0" anchor="ctr"/>
                <a:lstStyle/>
                <a:p>
                  <a:pPr marL="0" indent="0" algn="r"/>
                  <a:fld id="{113AC961-149A-4A74-9437-B95406EEEC73}" type="TxLink">
                    <a:rPr lang="en-US" sz="1400" b="0" i="0" baseline="0">
                      <a:solidFill>
                        <a:srgbClr val="92B7E3"/>
                      </a:solidFill>
                      <a:latin typeface="+mn-lt"/>
                      <a:ea typeface="+mn-ea"/>
                      <a:cs typeface="+mn-cs"/>
                    </a:rPr>
                    <a:pPr marL="0" indent="0" algn="r"/>
                    <a:t>82.0</a:t>
                  </a:fld>
                  <a:endParaRPr lang="en-US" sz="1400" b="0" i="0" baseline="0">
                    <a:solidFill>
                      <a:srgbClr val="92B7E3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96" name="TextBox 95"/>
                <xdr:cNvSpPr txBox="1"/>
              </xdr:nvSpPr>
              <xdr:spPr>
                <a:xfrm>
                  <a:off x="7231126" y="13654088"/>
                  <a:ext cx="1828800" cy="32474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lIns="0" tIns="0" rIns="0" bIns="0" rtlCol="0" anchor="ctr"/>
                <a:lstStyle/>
                <a:p>
                  <a:pPr marL="0" indent="0" algn="l"/>
                  <a:r>
                    <a:rPr lang="en-US" sz="1200" b="0">
                      <a:solidFill>
                        <a:srgbClr val="C8C8C8"/>
                      </a:solidFill>
                      <a:latin typeface="+mn-lt"/>
                      <a:ea typeface="+mn-ea"/>
                      <a:cs typeface="+mn-cs"/>
                    </a:rPr>
                    <a:t>Average</a:t>
                  </a:r>
                  <a:r>
                    <a:rPr lang="en-US" sz="1200" b="0" baseline="0">
                      <a:solidFill>
                        <a:srgbClr val="C8C8C8"/>
                      </a:solidFill>
                      <a:latin typeface="+mn-lt"/>
                      <a:ea typeface="+mn-ea"/>
                      <a:cs typeface="+mn-cs"/>
                    </a:rPr>
                    <a:t> Klout Score</a:t>
                  </a:r>
                  <a:endParaRPr lang="en-US" sz="1200" b="0">
                    <a:solidFill>
                      <a:srgbClr val="C8C8C8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97" name="TextBox 96"/>
                <xdr:cNvSpPr txBox="1"/>
              </xdr:nvSpPr>
              <xdr:spPr>
                <a:xfrm>
                  <a:off x="7231126" y="13373100"/>
                  <a:ext cx="1828800" cy="32474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lIns="0" tIns="0" rIns="0" bIns="0" rtlCol="0" anchor="ctr"/>
                <a:lstStyle/>
                <a:p>
                  <a:pPr marL="0" indent="0" algn="l"/>
                  <a:r>
                    <a:rPr lang="en-US" sz="1200" b="0">
                      <a:solidFill>
                        <a:srgbClr val="C8C8C8"/>
                      </a:solidFill>
                      <a:latin typeface="+mn-lt"/>
                      <a:ea typeface="+mn-ea"/>
                      <a:cs typeface="+mn-cs"/>
                    </a:rPr>
                    <a:t>Highest Klout</a:t>
                  </a:r>
                  <a:r>
                    <a:rPr lang="en-US" sz="1200" b="0" baseline="0">
                      <a:solidFill>
                        <a:srgbClr val="C8C8C8"/>
                      </a:solidFill>
                      <a:latin typeface="+mn-lt"/>
                      <a:ea typeface="+mn-ea"/>
                      <a:cs typeface="+mn-cs"/>
                    </a:rPr>
                    <a:t> Score</a:t>
                  </a:r>
                  <a:endParaRPr lang="en-US" sz="1200" b="0">
                    <a:solidFill>
                      <a:srgbClr val="C8C8C8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Calculations!F150">
              <xdr:nvSpPr>
                <xdr:cNvPr id="98" name="TextBox 97"/>
                <xdr:cNvSpPr txBox="1"/>
              </xdr:nvSpPr>
              <xdr:spPr>
                <a:xfrm>
                  <a:off x="8632571" y="13639800"/>
                  <a:ext cx="1371600" cy="32918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lIns="0" tIns="0" rIns="0" bIns="0" rtlCol="0" anchor="ctr"/>
                <a:lstStyle/>
                <a:p>
                  <a:pPr marL="0" indent="0" algn="r"/>
                  <a:fld id="{BF071C25-FA15-4CC4-B1D1-30239F135602}" type="TxLink">
                    <a:rPr lang="en-US" sz="1400" b="0" i="0" baseline="0">
                      <a:solidFill>
                        <a:srgbClr val="92B7E3"/>
                      </a:solidFill>
                      <a:latin typeface="+mn-lt"/>
                      <a:ea typeface="+mn-ea"/>
                      <a:cs typeface="+mn-cs"/>
                    </a:rPr>
                    <a:pPr marL="0" indent="0" algn="r"/>
                    <a:t>33.5</a:t>
                  </a:fld>
                  <a:endParaRPr lang="en-US" sz="1400" b="0" i="0" baseline="0">
                    <a:solidFill>
                      <a:srgbClr val="92B7E3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99" name="TextBox 98"/>
                <xdr:cNvSpPr txBox="1"/>
              </xdr:nvSpPr>
              <xdr:spPr>
                <a:xfrm>
                  <a:off x="7222871" y="13935075"/>
                  <a:ext cx="1828800" cy="31149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lIns="0" tIns="0" rIns="0" bIns="0" rtlCol="0" anchor="ctr"/>
                <a:lstStyle/>
                <a:p>
                  <a:pPr marL="0" indent="0" algn="l"/>
                  <a:r>
                    <a:rPr lang="en-US" sz="1200" b="0">
                      <a:solidFill>
                        <a:srgbClr val="C8C8C8"/>
                      </a:solidFill>
                      <a:latin typeface="+mn-lt"/>
                      <a:ea typeface="+mn-ea"/>
                      <a:cs typeface="+mn-cs"/>
                    </a:rPr>
                    <a:t>Lowest Klout Score</a:t>
                  </a:r>
                </a:p>
              </xdr:txBody>
            </xdr:sp>
            <xdr:sp macro="" textlink="Calculations!F149">
              <xdr:nvSpPr>
                <xdr:cNvPr id="100" name="TextBox 99"/>
                <xdr:cNvSpPr txBox="1"/>
              </xdr:nvSpPr>
              <xdr:spPr>
                <a:xfrm>
                  <a:off x="8632571" y="13925550"/>
                  <a:ext cx="1371600" cy="32918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lIns="0" tIns="0" rIns="0" bIns="0" rtlCol="0" anchor="ctr"/>
                <a:lstStyle/>
                <a:p>
                  <a:pPr marL="0" indent="0" algn="r"/>
                  <a:fld id="{8170E179-ADA0-4587-A2C7-CBFDC3370D6A}" type="TxLink">
                    <a:rPr lang="en-US" sz="1400" b="0" i="0" baseline="0">
                      <a:solidFill>
                        <a:srgbClr val="92B7E3"/>
                      </a:solidFill>
                      <a:latin typeface="+mn-lt"/>
                      <a:ea typeface="+mn-ea"/>
                      <a:cs typeface="+mn-cs"/>
                    </a:rPr>
                    <a:pPr marL="0" indent="0" algn="r"/>
                    <a:t>10.0</a:t>
                  </a:fld>
                  <a:endParaRPr lang="en-US" sz="1400" b="0" i="0" baseline="0">
                    <a:solidFill>
                      <a:srgbClr val="92B7E3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92" name="TextBox 254"/>
              <xdr:cNvSpPr txBox="1"/>
            </xdr:nvSpPr>
            <xdr:spPr>
              <a:xfrm>
                <a:off x="2353945" y="16897350"/>
                <a:ext cx="2152635" cy="20001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000">
                    <a:solidFill>
                      <a:srgbClr val="C8C8C8"/>
                    </a:solidFill>
                  </a:rPr>
                  <a:t>Worldwide</a:t>
                </a:r>
                <a:r>
                  <a:rPr lang="en-US" sz="1000" baseline="0">
                    <a:solidFill>
                      <a:srgbClr val="C8C8C8"/>
                    </a:solidFill>
                  </a:rPr>
                  <a:t> Average Klout Score</a:t>
                </a:r>
                <a:endParaRPr lang="en-US" sz="1000">
                  <a:solidFill>
                    <a:srgbClr val="C8C8C8"/>
                  </a:solidFill>
                </a:endParaRPr>
              </a:p>
            </xdr:txBody>
          </xdr:sp>
        </xdr:grpSp>
        <xdr:graphicFrame macro="">
          <xdr:nvGraphicFramePr>
            <xdr:cNvPr id="157" name="Chart 156"/>
            <xdr:cNvGraphicFramePr>
              <a:graphicFrameLocks/>
            </xdr:cNvGraphicFramePr>
          </xdr:nvGraphicFramePr>
          <xdr:xfrm>
            <a:off x="257365" y="16535400"/>
            <a:ext cx="5532120" cy="2438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</xdr:grpSp>
    <xdr:clientData/>
  </xdr:twoCellAnchor>
  <xdr:absoluteAnchor>
    <xdr:pos x="428625" y="200025"/>
    <xdr:ext cx="2075146" cy="409575"/>
    <xdr:pic>
      <xdr:nvPicPr>
        <xdr:cNvPr id="2" name="Picture 1" descr="SMLogo.png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31"/>
        <a:stretch/>
      </xdr:blipFill>
      <xdr:spPr>
        <a:xfrm>
          <a:off x="428625" y="200025"/>
          <a:ext cx="2075146" cy="409575"/>
        </a:xfrm>
        <a:prstGeom prst="rect">
          <a:avLst/>
        </a:prstGeom>
      </xdr:spPr>
    </xdr:pic>
    <xdr:clientData/>
  </xdr:absoluteAnchor>
  <xdr:twoCellAnchor>
    <xdr:from>
      <xdr:col>1</xdr:col>
      <xdr:colOff>0</xdr:colOff>
      <xdr:row>128</xdr:row>
      <xdr:rowOff>53975</xdr:rowOff>
    </xdr:from>
    <xdr:to>
      <xdr:col>23</xdr:col>
      <xdr:colOff>587375</xdr:colOff>
      <xdr:row>147</xdr:row>
      <xdr:rowOff>92075</xdr:rowOff>
    </xdr:to>
    <xdr:grpSp>
      <xdr:nvGrpSpPr>
        <xdr:cNvPr id="45" name="Group 44"/>
        <xdr:cNvGrpSpPr/>
      </xdr:nvGrpSpPr>
      <xdr:grpSpPr>
        <a:xfrm>
          <a:off x="247650" y="24076025"/>
          <a:ext cx="11169650" cy="3657600"/>
          <a:chOff x="247650" y="20869275"/>
          <a:chExt cx="11169650" cy="3657600"/>
        </a:xfrm>
      </xdr:grpSpPr>
      <xdr:graphicFrame macro="">
        <xdr:nvGraphicFramePr>
          <xdr:cNvPr id="46" name="Chart 45"/>
          <xdr:cNvGraphicFramePr>
            <a:graphicFrameLocks/>
          </xdr:cNvGraphicFramePr>
        </xdr:nvGraphicFramePr>
        <xdr:xfrm>
          <a:off x="247650" y="20869275"/>
          <a:ext cx="5537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47" name="Chart 46"/>
          <xdr:cNvGraphicFramePr>
            <a:graphicFrameLocks/>
          </xdr:cNvGraphicFramePr>
        </xdr:nvGraphicFramePr>
        <xdr:xfrm>
          <a:off x="5880100" y="20869275"/>
          <a:ext cx="5537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1</xdr:col>
      <xdr:colOff>0</xdr:colOff>
      <xdr:row>68</xdr:row>
      <xdr:rowOff>142875</xdr:rowOff>
    </xdr:from>
    <xdr:to>
      <xdr:col>23</xdr:col>
      <xdr:colOff>587374</xdr:colOff>
      <xdr:row>87</xdr:row>
      <xdr:rowOff>180975</xdr:rowOff>
    </xdr:to>
    <xdr:grpSp>
      <xdr:nvGrpSpPr>
        <xdr:cNvPr id="50" name="Group 49"/>
        <xdr:cNvGrpSpPr/>
      </xdr:nvGrpSpPr>
      <xdr:grpSpPr>
        <a:xfrm>
          <a:off x="247650" y="12734925"/>
          <a:ext cx="11169649" cy="3657600"/>
          <a:chOff x="247650" y="13230225"/>
          <a:chExt cx="11172823" cy="3657600"/>
        </a:xfrm>
      </xdr:grpSpPr>
      <xdr:graphicFrame macro="">
        <xdr:nvGraphicFramePr>
          <xdr:cNvPr id="51" name="Chart 50"/>
          <xdr:cNvGraphicFramePr>
            <a:graphicFrameLocks/>
          </xdr:cNvGraphicFramePr>
        </xdr:nvGraphicFramePr>
        <xdr:xfrm>
          <a:off x="7761834" y="13230225"/>
          <a:ext cx="3658639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52" name="Chart 51"/>
          <xdr:cNvGraphicFramePr>
            <a:graphicFrameLocks/>
          </xdr:cNvGraphicFramePr>
        </xdr:nvGraphicFramePr>
        <xdr:xfrm>
          <a:off x="247650" y="13230225"/>
          <a:ext cx="7416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1</xdr:col>
      <xdr:colOff>0</xdr:colOff>
      <xdr:row>7</xdr:row>
      <xdr:rowOff>133349</xdr:rowOff>
    </xdr:from>
    <xdr:to>
      <xdr:col>24</xdr:col>
      <xdr:colOff>0</xdr:colOff>
      <xdr:row>22</xdr:row>
      <xdr:rowOff>28574</xdr:rowOff>
    </xdr:to>
    <xdr:grpSp>
      <xdr:nvGrpSpPr>
        <xdr:cNvPr id="59" name="Group 58"/>
        <xdr:cNvGrpSpPr/>
      </xdr:nvGrpSpPr>
      <xdr:grpSpPr>
        <a:xfrm>
          <a:off x="247650" y="819149"/>
          <a:ext cx="11172825" cy="2752725"/>
          <a:chOff x="247650" y="885824"/>
          <a:chExt cx="11172825" cy="2752725"/>
        </a:xfrm>
      </xdr:grpSpPr>
      <xdr:sp macro="" textlink="">
        <xdr:nvSpPr>
          <xdr:cNvPr id="143" name="Rectangle 142"/>
          <xdr:cNvSpPr/>
        </xdr:nvSpPr>
        <xdr:spPr>
          <a:xfrm>
            <a:off x="247650" y="885824"/>
            <a:ext cx="11172825" cy="2752725"/>
          </a:xfrm>
          <a:prstGeom prst="rect">
            <a:avLst/>
          </a:prstGeom>
          <a:solidFill>
            <a:srgbClr val="262626"/>
          </a:solidFill>
          <a:ln w="19050">
            <a:solidFill>
              <a:srgbClr val="151515"/>
            </a:solidFill>
          </a:ln>
          <a:effectLst/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EBEBEB"/>
              </a:solidFill>
            </a:endParaRPr>
          </a:p>
        </xdr:txBody>
      </xdr:sp>
      <xdr:grpSp>
        <xdr:nvGrpSpPr>
          <xdr:cNvPr id="58" name="Group 57"/>
          <xdr:cNvGrpSpPr/>
        </xdr:nvGrpSpPr>
        <xdr:grpSpPr>
          <a:xfrm>
            <a:off x="904876" y="1066209"/>
            <a:ext cx="9848849" cy="609429"/>
            <a:chOff x="904876" y="1066209"/>
            <a:chExt cx="9848849" cy="609429"/>
          </a:xfrm>
        </xdr:grpSpPr>
        <xdr:sp macro="" textlink="Calculations!B1">
          <xdr:nvSpPr>
            <xdr:cNvPr id="138" name="TextBox 137"/>
            <xdr:cNvSpPr txBox="1"/>
          </xdr:nvSpPr>
          <xdr:spPr>
            <a:xfrm>
              <a:off x="904876" y="1066209"/>
              <a:ext cx="9839324" cy="4553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fld id="{1A38B0F4-6E90-468F-A9D7-818F995823D9}" type="TxLink">
                <a:rPr lang="en-US" sz="2400" i="0">
                  <a:solidFill>
                    <a:srgbClr val="EBEBEB"/>
                  </a:solidFill>
                </a:rPr>
                <a:pPr algn="l"/>
                <a:t>Twitter Follower Report</a:t>
              </a:fld>
              <a:endParaRPr lang="en-US" sz="2400" i="0">
                <a:solidFill>
                  <a:srgbClr val="EBEBEB"/>
                </a:solidFill>
              </a:endParaRPr>
            </a:p>
          </xdr:txBody>
        </xdr:sp>
        <xdr:sp macro="" textlink="">
          <xdr:nvSpPr>
            <xdr:cNvPr id="142" name="Rectangle 141"/>
            <xdr:cNvSpPr/>
          </xdr:nvSpPr>
          <xdr:spPr>
            <a:xfrm>
              <a:off x="923925" y="1657350"/>
              <a:ext cx="9829800" cy="18288"/>
            </a:xfrm>
            <a:prstGeom prst="rect">
              <a:avLst/>
            </a:prstGeom>
            <a:solidFill>
              <a:srgbClr val="2D9FD3"/>
            </a:solidFill>
            <a:ln w="19050">
              <a:noFill/>
            </a:ln>
            <a:effectLst/>
          </xdr:spPr>
          <xdr:style>
            <a:lnRef idx="1">
              <a:schemeClr val="dk1"/>
            </a:lnRef>
            <a:fillRef idx="3">
              <a:schemeClr val="dk1"/>
            </a:fillRef>
            <a:effectRef idx="2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" name="Group 19"/>
          <xdr:cNvGrpSpPr/>
        </xdr:nvGrpSpPr>
        <xdr:grpSpPr>
          <a:xfrm>
            <a:off x="1640526" y="1924051"/>
            <a:ext cx="2334889" cy="1600200"/>
            <a:chOff x="304801" y="1905000"/>
            <a:chExt cx="2334889" cy="1600200"/>
          </a:xfrm>
        </xdr:grpSpPr>
        <xdr:grpSp>
          <xdr:nvGrpSpPr>
            <xdr:cNvPr id="28" name="Group 27"/>
            <xdr:cNvGrpSpPr/>
          </xdr:nvGrpSpPr>
          <xdr:grpSpPr>
            <a:xfrm>
              <a:off x="304801" y="2543175"/>
              <a:ext cx="2334889" cy="962025"/>
              <a:chOff x="12801601" y="3505200"/>
              <a:chExt cx="2334889" cy="962025"/>
            </a:xfrm>
          </xdr:grpSpPr>
          <xdr:sp macro="" textlink="Calculations!E13">
            <xdr:nvSpPr>
              <xdr:cNvPr id="117" name="TextBox 116"/>
              <xdr:cNvSpPr txBox="1"/>
            </xdr:nvSpPr>
            <xdr:spPr>
              <a:xfrm>
                <a:off x="12801601" y="4038600"/>
                <a:ext cx="2331720" cy="4286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fld id="{44ADFC3C-2060-4C4C-96EC-54BEEC258FD6}" type="TxLink">
                  <a:rPr lang="en-US" sz="1050" i="1">
                    <a:solidFill>
                      <a:srgbClr val="B4B4B4"/>
                    </a:solidFill>
                  </a:rPr>
                  <a:pPr algn="ctr"/>
                  <a:t>On average, your audience has 1.7x as many followers as users they are following.</a:t>
                </a:fld>
                <a:endParaRPr lang="en-US" sz="1050" i="1">
                  <a:solidFill>
                    <a:srgbClr val="B4B4B4"/>
                  </a:solidFill>
                </a:endParaRPr>
              </a:p>
            </xdr:txBody>
          </xdr:sp>
          <xdr:sp macro="" textlink="">
            <xdr:nvSpPr>
              <xdr:cNvPr id="114" name="TextBox 113"/>
              <xdr:cNvSpPr txBox="1"/>
            </xdr:nvSpPr>
            <xdr:spPr>
              <a:xfrm>
                <a:off x="12801601" y="3505200"/>
                <a:ext cx="1161288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91440" bIns="0" rtlCol="0" anchor="ctr"/>
              <a:lstStyle/>
              <a:p>
                <a:pPr algn="r"/>
                <a:r>
                  <a:rPr lang="en-US" sz="1100">
                    <a:solidFill>
                      <a:srgbClr val="DCDCDC"/>
                    </a:solidFill>
                  </a:rPr>
                  <a:t>You</a:t>
                </a:r>
              </a:p>
            </xdr:txBody>
          </xdr:sp>
          <xdr:sp macro="" textlink="Calculations!B13">
            <xdr:nvSpPr>
              <xdr:cNvPr id="121" name="TextBox 120"/>
              <xdr:cNvSpPr txBox="1"/>
            </xdr:nvSpPr>
            <xdr:spPr>
              <a:xfrm>
                <a:off x="12801601" y="3733800"/>
                <a:ext cx="1163314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91440" bIns="0" rtlCol="0" anchor="ctr"/>
              <a:lstStyle/>
              <a:p>
                <a:pPr algn="r"/>
                <a:fld id="{95E38647-6C34-4EC5-A0AB-D7E4987A5EA4}" type="TxLink">
                  <a:rPr lang="en-US" sz="1800" b="1">
                    <a:solidFill>
                      <a:srgbClr val="6EA041"/>
                    </a:solidFill>
                  </a:rPr>
                  <a:pPr algn="r"/>
                  <a:t>150</a:t>
                </a:fld>
                <a:endParaRPr lang="en-US" sz="1800" b="1">
                  <a:solidFill>
                    <a:srgbClr val="6EA041"/>
                  </a:solidFill>
                </a:endParaRPr>
              </a:p>
            </xdr:txBody>
          </xdr:sp>
          <xdr:sp macro="" textlink="">
            <xdr:nvSpPr>
              <xdr:cNvPr id="123" name="TextBox 122"/>
              <xdr:cNvSpPr txBox="1"/>
            </xdr:nvSpPr>
            <xdr:spPr>
              <a:xfrm>
                <a:off x="13973176" y="3505200"/>
                <a:ext cx="1161288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l"/>
                <a:r>
                  <a:rPr lang="en-US" sz="1100">
                    <a:solidFill>
                      <a:srgbClr val="DCDCDC"/>
                    </a:solidFill>
                  </a:rPr>
                  <a:t>Audience (Avg)</a:t>
                </a:r>
              </a:p>
            </xdr:txBody>
          </xdr:sp>
          <xdr:sp macro="" textlink="Calculations!C13">
            <xdr:nvSpPr>
              <xdr:cNvPr id="124" name="TextBox 123"/>
              <xdr:cNvSpPr txBox="1"/>
            </xdr:nvSpPr>
            <xdr:spPr>
              <a:xfrm>
                <a:off x="13973176" y="3733800"/>
                <a:ext cx="1163314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l"/>
                <a:fld id="{B71BDA4B-671A-4849-BC14-5886DDA59DF9}" type="TxLink">
                  <a:rPr lang="en-US" sz="1800" b="1">
                    <a:solidFill>
                      <a:srgbClr val="6EA041"/>
                    </a:solidFill>
                  </a:rPr>
                  <a:pPr algn="l"/>
                  <a:t>5,952</a:t>
                </a:fld>
                <a:endParaRPr lang="en-US" sz="1800" b="1">
                  <a:solidFill>
                    <a:srgbClr val="6EA041"/>
                  </a:solidFill>
                </a:endParaRPr>
              </a:p>
            </xdr:txBody>
          </xdr:sp>
          <xdr:sp macro="" textlink="">
            <xdr:nvSpPr>
              <xdr:cNvPr id="24" name="Rectangle 23"/>
              <xdr:cNvSpPr/>
            </xdr:nvSpPr>
            <xdr:spPr>
              <a:xfrm>
                <a:off x="13963460" y="3590925"/>
                <a:ext cx="9144" cy="402336"/>
              </a:xfrm>
              <a:prstGeom prst="rect">
                <a:avLst/>
              </a:prstGeom>
              <a:solidFill>
                <a:srgbClr val="646464"/>
              </a:solidFill>
              <a:ln>
                <a:noFill/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4" name="Group 13"/>
            <xdr:cNvGrpSpPr/>
          </xdr:nvGrpSpPr>
          <xdr:grpSpPr>
            <a:xfrm>
              <a:off x="495300" y="1905000"/>
              <a:ext cx="530352" cy="530352"/>
              <a:chOff x="514350" y="1924050"/>
              <a:chExt cx="530352" cy="530352"/>
            </a:xfrm>
          </xdr:grpSpPr>
          <xdr:sp macro="" textlink="">
            <xdr:nvSpPr>
              <xdr:cNvPr id="83" name="Freeform 4"/>
              <xdr:cNvSpPr>
                <a:spLocks/>
              </xdr:cNvSpPr>
            </xdr:nvSpPr>
            <xdr:spPr bwMode="auto">
              <a:xfrm>
                <a:off x="514350" y="1924050"/>
                <a:ext cx="530352" cy="530352"/>
              </a:xfrm>
              <a:custGeom>
                <a:avLst/>
                <a:gdLst>
                  <a:gd name="T0" fmla="*/ 384 w 384"/>
                  <a:gd name="T1" fmla="*/ 193 h 384"/>
                  <a:gd name="T2" fmla="*/ 380 w 384"/>
                  <a:gd name="T3" fmla="*/ 231 h 384"/>
                  <a:gd name="T4" fmla="*/ 369 w 384"/>
                  <a:gd name="T5" fmla="*/ 267 h 384"/>
                  <a:gd name="T6" fmla="*/ 352 w 384"/>
                  <a:gd name="T7" fmla="*/ 300 h 384"/>
                  <a:gd name="T8" fmla="*/ 328 w 384"/>
                  <a:gd name="T9" fmla="*/ 328 h 384"/>
                  <a:gd name="T10" fmla="*/ 299 w 384"/>
                  <a:gd name="T11" fmla="*/ 352 h 384"/>
                  <a:gd name="T12" fmla="*/ 267 w 384"/>
                  <a:gd name="T13" fmla="*/ 369 h 384"/>
                  <a:gd name="T14" fmla="*/ 231 w 384"/>
                  <a:gd name="T15" fmla="*/ 380 h 384"/>
                  <a:gd name="T16" fmla="*/ 193 w 384"/>
                  <a:gd name="T17" fmla="*/ 384 h 384"/>
                  <a:gd name="T18" fmla="*/ 173 w 384"/>
                  <a:gd name="T19" fmla="*/ 384 h 384"/>
                  <a:gd name="T20" fmla="*/ 136 w 384"/>
                  <a:gd name="T21" fmla="*/ 376 h 384"/>
                  <a:gd name="T22" fmla="*/ 101 w 384"/>
                  <a:gd name="T23" fmla="*/ 361 h 384"/>
                  <a:gd name="T24" fmla="*/ 70 w 384"/>
                  <a:gd name="T25" fmla="*/ 340 h 384"/>
                  <a:gd name="T26" fmla="*/ 44 w 384"/>
                  <a:gd name="T27" fmla="*/ 315 h 384"/>
                  <a:gd name="T28" fmla="*/ 23 w 384"/>
                  <a:gd name="T29" fmla="*/ 284 h 384"/>
                  <a:gd name="T30" fmla="*/ 8 w 384"/>
                  <a:gd name="T31" fmla="*/ 250 h 384"/>
                  <a:gd name="T32" fmla="*/ 1 w 384"/>
                  <a:gd name="T33" fmla="*/ 211 h 384"/>
                  <a:gd name="T34" fmla="*/ 0 w 384"/>
                  <a:gd name="T35" fmla="*/ 193 h 384"/>
                  <a:gd name="T36" fmla="*/ 4 w 384"/>
                  <a:gd name="T37" fmla="*/ 154 h 384"/>
                  <a:gd name="T38" fmla="*/ 15 w 384"/>
                  <a:gd name="T39" fmla="*/ 117 h 384"/>
                  <a:gd name="T40" fmla="*/ 33 w 384"/>
                  <a:gd name="T41" fmla="*/ 85 h 384"/>
                  <a:gd name="T42" fmla="*/ 56 w 384"/>
                  <a:gd name="T43" fmla="*/ 56 h 384"/>
                  <a:gd name="T44" fmla="*/ 85 w 384"/>
                  <a:gd name="T45" fmla="*/ 33 h 384"/>
                  <a:gd name="T46" fmla="*/ 117 w 384"/>
                  <a:gd name="T47" fmla="*/ 15 h 384"/>
                  <a:gd name="T48" fmla="*/ 153 w 384"/>
                  <a:gd name="T49" fmla="*/ 4 h 384"/>
                  <a:gd name="T50" fmla="*/ 193 w 384"/>
                  <a:gd name="T51" fmla="*/ 0 h 384"/>
                  <a:gd name="T52" fmla="*/ 211 w 384"/>
                  <a:gd name="T53" fmla="*/ 1 h 384"/>
                  <a:gd name="T54" fmla="*/ 250 w 384"/>
                  <a:gd name="T55" fmla="*/ 9 h 384"/>
                  <a:gd name="T56" fmla="*/ 284 w 384"/>
                  <a:gd name="T57" fmla="*/ 23 h 384"/>
                  <a:gd name="T58" fmla="*/ 315 w 384"/>
                  <a:gd name="T59" fmla="*/ 44 h 384"/>
                  <a:gd name="T60" fmla="*/ 340 w 384"/>
                  <a:gd name="T61" fmla="*/ 70 h 384"/>
                  <a:gd name="T62" fmla="*/ 361 w 384"/>
                  <a:gd name="T63" fmla="*/ 101 h 384"/>
                  <a:gd name="T64" fmla="*/ 376 w 384"/>
                  <a:gd name="T65" fmla="*/ 136 h 384"/>
                  <a:gd name="T66" fmla="*/ 384 w 384"/>
                  <a:gd name="T67" fmla="*/ 173 h 384"/>
                  <a:gd name="T68" fmla="*/ 384 w 384"/>
                  <a:gd name="T69" fmla="*/ 193 h 3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4" h="384">
                    <a:moveTo>
                      <a:pt x="384" y="193"/>
                    </a:moveTo>
                    <a:lnTo>
                      <a:pt x="384" y="193"/>
                    </a:lnTo>
                    <a:lnTo>
                      <a:pt x="384" y="211"/>
                    </a:lnTo>
                    <a:lnTo>
                      <a:pt x="380" y="231"/>
                    </a:lnTo>
                    <a:lnTo>
                      <a:pt x="376" y="250"/>
                    </a:lnTo>
                    <a:lnTo>
                      <a:pt x="369" y="267"/>
                    </a:lnTo>
                    <a:lnTo>
                      <a:pt x="361" y="284"/>
                    </a:lnTo>
                    <a:lnTo>
                      <a:pt x="352" y="300"/>
                    </a:lnTo>
                    <a:lnTo>
                      <a:pt x="340" y="315"/>
                    </a:lnTo>
                    <a:lnTo>
                      <a:pt x="328" y="328"/>
                    </a:lnTo>
                    <a:lnTo>
                      <a:pt x="315" y="340"/>
                    </a:lnTo>
                    <a:lnTo>
                      <a:pt x="299" y="352"/>
                    </a:lnTo>
                    <a:lnTo>
                      <a:pt x="284" y="361"/>
                    </a:lnTo>
                    <a:lnTo>
                      <a:pt x="267" y="369"/>
                    </a:lnTo>
                    <a:lnTo>
                      <a:pt x="250" y="376"/>
                    </a:lnTo>
                    <a:lnTo>
                      <a:pt x="231" y="380"/>
                    </a:lnTo>
                    <a:lnTo>
                      <a:pt x="211" y="384"/>
                    </a:lnTo>
                    <a:lnTo>
                      <a:pt x="193" y="384"/>
                    </a:lnTo>
                    <a:lnTo>
                      <a:pt x="193" y="384"/>
                    </a:lnTo>
                    <a:lnTo>
                      <a:pt x="173" y="384"/>
                    </a:lnTo>
                    <a:lnTo>
                      <a:pt x="153" y="380"/>
                    </a:lnTo>
                    <a:lnTo>
                      <a:pt x="136" y="376"/>
                    </a:lnTo>
                    <a:lnTo>
                      <a:pt x="117" y="369"/>
                    </a:lnTo>
                    <a:lnTo>
                      <a:pt x="101" y="361"/>
                    </a:lnTo>
                    <a:lnTo>
                      <a:pt x="85" y="352"/>
                    </a:lnTo>
                    <a:lnTo>
                      <a:pt x="70" y="340"/>
                    </a:lnTo>
                    <a:lnTo>
                      <a:pt x="56" y="328"/>
                    </a:lnTo>
                    <a:lnTo>
                      <a:pt x="44" y="315"/>
                    </a:lnTo>
                    <a:lnTo>
                      <a:pt x="33" y="300"/>
                    </a:lnTo>
                    <a:lnTo>
                      <a:pt x="23" y="284"/>
                    </a:lnTo>
                    <a:lnTo>
                      <a:pt x="15" y="267"/>
                    </a:lnTo>
                    <a:lnTo>
                      <a:pt x="8" y="250"/>
                    </a:lnTo>
                    <a:lnTo>
                      <a:pt x="4" y="231"/>
                    </a:lnTo>
                    <a:lnTo>
                      <a:pt x="1" y="211"/>
                    </a:lnTo>
                    <a:lnTo>
                      <a:pt x="0" y="193"/>
                    </a:lnTo>
                    <a:lnTo>
                      <a:pt x="0" y="193"/>
                    </a:lnTo>
                    <a:lnTo>
                      <a:pt x="1" y="173"/>
                    </a:lnTo>
                    <a:lnTo>
                      <a:pt x="4" y="154"/>
                    </a:lnTo>
                    <a:lnTo>
                      <a:pt x="8" y="136"/>
                    </a:lnTo>
                    <a:lnTo>
                      <a:pt x="15" y="117"/>
                    </a:lnTo>
                    <a:lnTo>
                      <a:pt x="23" y="101"/>
                    </a:lnTo>
                    <a:lnTo>
                      <a:pt x="33" y="85"/>
                    </a:lnTo>
                    <a:lnTo>
                      <a:pt x="44" y="70"/>
                    </a:lnTo>
                    <a:lnTo>
                      <a:pt x="56" y="56"/>
                    </a:lnTo>
                    <a:lnTo>
                      <a:pt x="70" y="44"/>
                    </a:lnTo>
                    <a:lnTo>
                      <a:pt x="85" y="33"/>
                    </a:lnTo>
                    <a:lnTo>
                      <a:pt x="101" y="23"/>
                    </a:lnTo>
                    <a:lnTo>
                      <a:pt x="117" y="15"/>
                    </a:lnTo>
                    <a:lnTo>
                      <a:pt x="136" y="9"/>
                    </a:lnTo>
                    <a:lnTo>
                      <a:pt x="153" y="4"/>
                    </a:lnTo>
                    <a:lnTo>
                      <a:pt x="173" y="1"/>
                    </a:lnTo>
                    <a:lnTo>
                      <a:pt x="193" y="0"/>
                    </a:lnTo>
                    <a:lnTo>
                      <a:pt x="193" y="0"/>
                    </a:lnTo>
                    <a:lnTo>
                      <a:pt x="211" y="1"/>
                    </a:lnTo>
                    <a:lnTo>
                      <a:pt x="231" y="4"/>
                    </a:lnTo>
                    <a:lnTo>
                      <a:pt x="250" y="9"/>
                    </a:lnTo>
                    <a:lnTo>
                      <a:pt x="267" y="15"/>
                    </a:lnTo>
                    <a:lnTo>
                      <a:pt x="284" y="23"/>
                    </a:lnTo>
                    <a:lnTo>
                      <a:pt x="299" y="33"/>
                    </a:lnTo>
                    <a:lnTo>
                      <a:pt x="315" y="44"/>
                    </a:lnTo>
                    <a:lnTo>
                      <a:pt x="328" y="56"/>
                    </a:lnTo>
                    <a:lnTo>
                      <a:pt x="340" y="70"/>
                    </a:lnTo>
                    <a:lnTo>
                      <a:pt x="352" y="85"/>
                    </a:lnTo>
                    <a:lnTo>
                      <a:pt x="361" y="101"/>
                    </a:lnTo>
                    <a:lnTo>
                      <a:pt x="369" y="117"/>
                    </a:lnTo>
                    <a:lnTo>
                      <a:pt x="376" y="136"/>
                    </a:lnTo>
                    <a:lnTo>
                      <a:pt x="380" y="154"/>
                    </a:lnTo>
                    <a:lnTo>
                      <a:pt x="384" y="173"/>
                    </a:lnTo>
                    <a:lnTo>
                      <a:pt x="384" y="193"/>
                    </a:lnTo>
                    <a:lnTo>
                      <a:pt x="384" y="193"/>
                    </a:lnTo>
                    <a:close/>
                  </a:path>
                </a:pathLst>
              </a:custGeom>
              <a:solidFill>
                <a:srgbClr val="6EA04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84" name="Freeform 5"/>
              <xdr:cNvSpPr>
                <a:spLocks noEditPoints="1"/>
              </xdr:cNvSpPr>
            </xdr:nvSpPr>
            <xdr:spPr bwMode="auto">
              <a:xfrm>
                <a:off x="608266" y="2060170"/>
                <a:ext cx="342520" cy="225617"/>
              </a:xfrm>
              <a:custGeom>
                <a:avLst/>
                <a:gdLst>
                  <a:gd name="T0" fmla="*/ 240 w 249"/>
                  <a:gd name="T1" fmla="*/ 141 h 171"/>
                  <a:gd name="T2" fmla="*/ 194 w 249"/>
                  <a:gd name="T3" fmla="*/ 121 h 171"/>
                  <a:gd name="T4" fmla="*/ 181 w 249"/>
                  <a:gd name="T5" fmla="*/ 111 h 171"/>
                  <a:gd name="T6" fmla="*/ 177 w 249"/>
                  <a:gd name="T7" fmla="*/ 95 h 171"/>
                  <a:gd name="T8" fmla="*/ 184 w 249"/>
                  <a:gd name="T9" fmla="*/ 78 h 171"/>
                  <a:gd name="T10" fmla="*/ 188 w 249"/>
                  <a:gd name="T11" fmla="*/ 73 h 171"/>
                  <a:gd name="T12" fmla="*/ 192 w 249"/>
                  <a:gd name="T13" fmla="*/ 57 h 171"/>
                  <a:gd name="T14" fmla="*/ 192 w 249"/>
                  <a:gd name="T15" fmla="*/ 53 h 171"/>
                  <a:gd name="T16" fmla="*/ 190 w 249"/>
                  <a:gd name="T17" fmla="*/ 28 h 171"/>
                  <a:gd name="T18" fmla="*/ 186 w 249"/>
                  <a:gd name="T19" fmla="*/ 18 h 171"/>
                  <a:gd name="T20" fmla="*/ 165 w 249"/>
                  <a:gd name="T21" fmla="*/ 0 h 171"/>
                  <a:gd name="T22" fmla="*/ 148 w 249"/>
                  <a:gd name="T23" fmla="*/ 1 h 171"/>
                  <a:gd name="T24" fmla="*/ 125 w 249"/>
                  <a:gd name="T25" fmla="*/ 14 h 171"/>
                  <a:gd name="T26" fmla="*/ 124 w 249"/>
                  <a:gd name="T27" fmla="*/ 29 h 171"/>
                  <a:gd name="T28" fmla="*/ 124 w 249"/>
                  <a:gd name="T29" fmla="*/ 51 h 171"/>
                  <a:gd name="T30" fmla="*/ 121 w 249"/>
                  <a:gd name="T31" fmla="*/ 65 h 171"/>
                  <a:gd name="T32" fmla="*/ 127 w 249"/>
                  <a:gd name="T33" fmla="*/ 73 h 171"/>
                  <a:gd name="T34" fmla="*/ 132 w 249"/>
                  <a:gd name="T35" fmla="*/ 91 h 171"/>
                  <a:gd name="T36" fmla="*/ 124 w 249"/>
                  <a:gd name="T37" fmla="*/ 113 h 171"/>
                  <a:gd name="T38" fmla="*/ 101 w 249"/>
                  <a:gd name="T39" fmla="*/ 103 h 171"/>
                  <a:gd name="T40" fmla="*/ 95 w 249"/>
                  <a:gd name="T41" fmla="*/ 90 h 171"/>
                  <a:gd name="T42" fmla="*/ 100 w 249"/>
                  <a:gd name="T43" fmla="*/ 79 h 171"/>
                  <a:gd name="T44" fmla="*/ 103 w 249"/>
                  <a:gd name="T45" fmla="*/ 75 h 171"/>
                  <a:gd name="T46" fmla="*/ 105 w 249"/>
                  <a:gd name="T47" fmla="*/ 66 h 171"/>
                  <a:gd name="T48" fmla="*/ 104 w 249"/>
                  <a:gd name="T49" fmla="*/ 57 h 171"/>
                  <a:gd name="T50" fmla="*/ 104 w 249"/>
                  <a:gd name="T51" fmla="*/ 48 h 171"/>
                  <a:gd name="T52" fmla="*/ 96 w 249"/>
                  <a:gd name="T53" fmla="*/ 37 h 171"/>
                  <a:gd name="T54" fmla="*/ 85 w 249"/>
                  <a:gd name="T55" fmla="*/ 30 h 171"/>
                  <a:gd name="T56" fmla="*/ 71 w 249"/>
                  <a:gd name="T57" fmla="*/ 36 h 171"/>
                  <a:gd name="T58" fmla="*/ 62 w 249"/>
                  <a:gd name="T59" fmla="*/ 46 h 171"/>
                  <a:gd name="T60" fmla="*/ 60 w 249"/>
                  <a:gd name="T61" fmla="*/ 62 h 171"/>
                  <a:gd name="T62" fmla="*/ 62 w 249"/>
                  <a:gd name="T63" fmla="*/ 73 h 171"/>
                  <a:gd name="T64" fmla="*/ 66 w 249"/>
                  <a:gd name="T65" fmla="*/ 77 h 171"/>
                  <a:gd name="T66" fmla="*/ 67 w 249"/>
                  <a:gd name="T67" fmla="*/ 97 h 171"/>
                  <a:gd name="T68" fmla="*/ 56 w 249"/>
                  <a:gd name="T69" fmla="*/ 99 h 171"/>
                  <a:gd name="T70" fmla="*/ 46 w 249"/>
                  <a:gd name="T71" fmla="*/ 94 h 171"/>
                  <a:gd name="T72" fmla="*/ 42 w 249"/>
                  <a:gd name="T73" fmla="*/ 86 h 171"/>
                  <a:gd name="T74" fmla="*/ 44 w 249"/>
                  <a:gd name="T75" fmla="*/ 79 h 171"/>
                  <a:gd name="T76" fmla="*/ 47 w 249"/>
                  <a:gd name="T77" fmla="*/ 74 h 171"/>
                  <a:gd name="T78" fmla="*/ 47 w 249"/>
                  <a:gd name="T79" fmla="*/ 70 h 171"/>
                  <a:gd name="T80" fmla="*/ 47 w 249"/>
                  <a:gd name="T81" fmla="*/ 61 h 171"/>
                  <a:gd name="T82" fmla="*/ 42 w 249"/>
                  <a:gd name="T83" fmla="*/ 54 h 171"/>
                  <a:gd name="T84" fmla="*/ 32 w 249"/>
                  <a:gd name="T85" fmla="*/ 51 h 171"/>
                  <a:gd name="T86" fmla="*/ 22 w 249"/>
                  <a:gd name="T87" fmla="*/ 57 h 171"/>
                  <a:gd name="T88" fmla="*/ 22 w 249"/>
                  <a:gd name="T89" fmla="*/ 63 h 171"/>
                  <a:gd name="T90" fmla="*/ 20 w 249"/>
                  <a:gd name="T91" fmla="*/ 70 h 171"/>
                  <a:gd name="T92" fmla="*/ 22 w 249"/>
                  <a:gd name="T93" fmla="*/ 78 h 171"/>
                  <a:gd name="T94" fmla="*/ 26 w 249"/>
                  <a:gd name="T95" fmla="*/ 85 h 171"/>
                  <a:gd name="T96" fmla="*/ 16 w 249"/>
                  <a:gd name="T97" fmla="*/ 97 h 171"/>
                  <a:gd name="T98" fmla="*/ 3 w 249"/>
                  <a:gd name="T99" fmla="*/ 103 h 171"/>
                  <a:gd name="T100" fmla="*/ 38 w 249"/>
                  <a:gd name="T101" fmla="*/ 114 h 171"/>
                  <a:gd name="T102" fmla="*/ 32 w 249"/>
                  <a:gd name="T103" fmla="*/ 118 h 171"/>
                  <a:gd name="T104" fmla="*/ 78 w 249"/>
                  <a:gd name="T105" fmla="*/ 137 h 171"/>
                  <a:gd name="T106" fmla="*/ 74 w 249"/>
                  <a:gd name="T107" fmla="*/ 141 h 171"/>
                  <a:gd name="T108" fmla="*/ 249 w 249"/>
                  <a:gd name="T109" fmla="*/ 171 h 17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249" h="171">
                    <a:moveTo>
                      <a:pt x="78" y="171"/>
                    </a:moveTo>
                    <a:lnTo>
                      <a:pt x="237" y="171"/>
                    </a:lnTo>
                    <a:lnTo>
                      <a:pt x="157" y="171"/>
                    </a:lnTo>
                    <a:lnTo>
                      <a:pt x="78" y="171"/>
                    </a:lnTo>
                    <a:close/>
                    <a:moveTo>
                      <a:pt x="240" y="141"/>
                    </a:moveTo>
                    <a:lnTo>
                      <a:pt x="240" y="141"/>
                    </a:lnTo>
                    <a:lnTo>
                      <a:pt x="232" y="135"/>
                    </a:lnTo>
                    <a:lnTo>
                      <a:pt x="224" y="133"/>
                    </a:lnTo>
                    <a:lnTo>
                      <a:pt x="224" y="133"/>
                    </a:lnTo>
                    <a:lnTo>
                      <a:pt x="217" y="130"/>
                    </a:lnTo>
                    <a:lnTo>
                      <a:pt x="212" y="129"/>
                    </a:lnTo>
                    <a:lnTo>
                      <a:pt x="194" y="121"/>
                    </a:lnTo>
                    <a:lnTo>
                      <a:pt x="194" y="121"/>
                    </a:lnTo>
                    <a:lnTo>
                      <a:pt x="194" y="121"/>
                    </a:lnTo>
                    <a:lnTo>
                      <a:pt x="189" y="118"/>
                    </a:lnTo>
                    <a:lnTo>
                      <a:pt x="188" y="117"/>
                    </a:lnTo>
                    <a:lnTo>
                      <a:pt x="188" y="117"/>
                    </a:lnTo>
                    <a:lnTo>
                      <a:pt x="181" y="111"/>
                    </a:lnTo>
                    <a:lnTo>
                      <a:pt x="181" y="111"/>
                    </a:lnTo>
                    <a:lnTo>
                      <a:pt x="180" y="109"/>
                    </a:lnTo>
                    <a:lnTo>
                      <a:pt x="177" y="106"/>
                    </a:lnTo>
                    <a:lnTo>
                      <a:pt x="177" y="106"/>
                    </a:lnTo>
                    <a:lnTo>
                      <a:pt x="177" y="99"/>
                    </a:lnTo>
                    <a:lnTo>
                      <a:pt x="177" y="95"/>
                    </a:lnTo>
                    <a:lnTo>
                      <a:pt x="177" y="94"/>
                    </a:lnTo>
                    <a:lnTo>
                      <a:pt x="177" y="94"/>
                    </a:lnTo>
                    <a:lnTo>
                      <a:pt x="177" y="94"/>
                    </a:lnTo>
                    <a:lnTo>
                      <a:pt x="181" y="89"/>
                    </a:lnTo>
                    <a:lnTo>
                      <a:pt x="182" y="83"/>
                    </a:lnTo>
                    <a:lnTo>
                      <a:pt x="184" y="78"/>
                    </a:lnTo>
                    <a:lnTo>
                      <a:pt x="184" y="75"/>
                    </a:lnTo>
                    <a:lnTo>
                      <a:pt x="185" y="75"/>
                    </a:lnTo>
                    <a:lnTo>
                      <a:pt x="185" y="75"/>
                    </a:lnTo>
                    <a:lnTo>
                      <a:pt x="186" y="75"/>
                    </a:lnTo>
                    <a:lnTo>
                      <a:pt x="188" y="73"/>
                    </a:lnTo>
                    <a:lnTo>
                      <a:pt x="188" y="73"/>
                    </a:lnTo>
                    <a:lnTo>
                      <a:pt x="189" y="69"/>
                    </a:lnTo>
                    <a:lnTo>
                      <a:pt x="189" y="69"/>
                    </a:lnTo>
                    <a:lnTo>
                      <a:pt x="190" y="66"/>
                    </a:lnTo>
                    <a:lnTo>
                      <a:pt x="192" y="63"/>
                    </a:lnTo>
                    <a:lnTo>
                      <a:pt x="192" y="63"/>
                    </a:lnTo>
                    <a:lnTo>
                      <a:pt x="192" y="57"/>
                    </a:lnTo>
                    <a:lnTo>
                      <a:pt x="192" y="57"/>
                    </a:lnTo>
                    <a:lnTo>
                      <a:pt x="193" y="54"/>
                    </a:lnTo>
                    <a:lnTo>
                      <a:pt x="192" y="53"/>
                    </a:lnTo>
                    <a:lnTo>
                      <a:pt x="192" y="53"/>
                    </a:lnTo>
                    <a:lnTo>
                      <a:pt x="192" y="53"/>
                    </a:lnTo>
                    <a:lnTo>
                      <a:pt x="192" y="53"/>
                    </a:lnTo>
                    <a:lnTo>
                      <a:pt x="190" y="50"/>
                    </a:lnTo>
                    <a:lnTo>
                      <a:pt x="192" y="41"/>
                    </a:lnTo>
                    <a:lnTo>
                      <a:pt x="192" y="40"/>
                    </a:lnTo>
                    <a:lnTo>
                      <a:pt x="192" y="40"/>
                    </a:lnTo>
                    <a:lnTo>
                      <a:pt x="192" y="32"/>
                    </a:lnTo>
                    <a:lnTo>
                      <a:pt x="190" y="28"/>
                    </a:lnTo>
                    <a:lnTo>
                      <a:pt x="190" y="28"/>
                    </a:lnTo>
                    <a:lnTo>
                      <a:pt x="190" y="28"/>
                    </a:lnTo>
                    <a:lnTo>
                      <a:pt x="190" y="24"/>
                    </a:lnTo>
                    <a:lnTo>
                      <a:pt x="190" y="24"/>
                    </a:lnTo>
                    <a:lnTo>
                      <a:pt x="190" y="21"/>
                    </a:lnTo>
                    <a:lnTo>
                      <a:pt x="186" y="18"/>
                    </a:lnTo>
                    <a:lnTo>
                      <a:pt x="186" y="18"/>
                    </a:lnTo>
                    <a:lnTo>
                      <a:pt x="177" y="9"/>
                    </a:lnTo>
                    <a:lnTo>
                      <a:pt x="177" y="9"/>
                    </a:lnTo>
                    <a:lnTo>
                      <a:pt x="169" y="2"/>
                    </a:lnTo>
                    <a:lnTo>
                      <a:pt x="169" y="2"/>
                    </a:lnTo>
                    <a:lnTo>
                      <a:pt x="165" y="0"/>
                    </a:lnTo>
                    <a:lnTo>
                      <a:pt x="160" y="0"/>
                    </a:lnTo>
                    <a:lnTo>
                      <a:pt x="160" y="0"/>
                    </a:lnTo>
                    <a:lnTo>
                      <a:pt x="155" y="0"/>
                    </a:lnTo>
                    <a:lnTo>
                      <a:pt x="152" y="1"/>
                    </a:lnTo>
                    <a:lnTo>
                      <a:pt x="152" y="1"/>
                    </a:lnTo>
                    <a:lnTo>
                      <a:pt x="148" y="1"/>
                    </a:lnTo>
                    <a:lnTo>
                      <a:pt x="145" y="1"/>
                    </a:lnTo>
                    <a:lnTo>
                      <a:pt x="145" y="1"/>
                    </a:lnTo>
                    <a:lnTo>
                      <a:pt x="137" y="6"/>
                    </a:lnTo>
                    <a:lnTo>
                      <a:pt x="137" y="6"/>
                    </a:lnTo>
                    <a:lnTo>
                      <a:pt x="131" y="10"/>
                    </a:lnTo>
                    <a:lnTo>
                      <a:pt x="125" y="14"/>
                    </a:lnTo>
                    <a:lnTo>
                      <a:pt x="125" y="14"/>
                    </a:lnTo>
                    <a:lnTo>
                      <a:pt x="123" y="17"/>
                    </a:lnTo>
                    <a:lnTo>
                      <a:pt x="123" y="20"/>
                    </a:lnTo>
                    <a:lnTo>
                      <a:pt x="123" y="25"/>
                    </a:lnTo>
                    <a:lnTo>
                      <a:pt x="123" y="25"/>
                    </a:lnTo>
                    <a:lnTo>
                      <a:pt x="124" y="29"/>
                    </a:lnTo>
                    <a:lnTo>
                      <a:pt x="123" y="33"/>
                    </a:lnTo>
                    <a:lnTo>
                      <a:pt x="123" y="33"/>
                    </a:lnTo>
                    <a:lnTo>
                      <a:pt x="123" y="37"/>
                    </a:lnTo>
                    <a:lnTo>
                      <a:pt x="123" y="42"/>
                    </a:lnTo>
                    <a:lnTo>
                      <a:pt x="123" y="48"/>
                    </a:lnTo>
                    <a:lnTo>
                      <a:pt x="124" y="51"/>
                    </a:lnTo>
                    <a:lnTo>
                      <a:pt x="120" y="50"/>
                    </a:lnTo>
                    <a:lnTo>
                      <a:pt x="120" y="50"/>
                    </a:lnTo>
                    <a:lnTo>
                      <a:pt x="120" y="51"/>
                    </a:lnTo>
                    <a:lnTo>
                      <a:pt x="120" y="51"/>
                    </a:lnTo>
                    <a:lnTo>
                      <a:pt x="120" y="58"/>
                    </a:lnTo>
                    <a:lnTo>
                      <a:pt x="121" y="65"/>
                    </a:lnTo>
                    <a:lnTo>
                      <a:pt x="121" y="65"/>
                    </a:lnTo>
                    <a:lnTo>
                      <a:pt x="123" y="67"/>
                    </a:lnTo>
                    <a:lnTo>
                      <a:pt x="123" y="67"/>
                    </a:lnTo>
                    <a:lnTo>
                      <a:pt x="123" y="70"/>
                    </a:lnTo>
                    <a:lnTo>
                      <a:pt x="124" y="71"/>
                    </a:lnTo>
                    <a:lnTo>
                      <a:pt x="127" y="73"/>
                    </a:lnTo>
                    <a:lnTo>
                      <a:pt x="128" y="73"/>
                    </a:lnTo>
                    <a:lnTo>
                      <a:pt x="128" y="74"/>
                    </a:lnTo>
                    <a:lnTo>
                      <a:pt x="128" y="74"/>
                    </a:lnTo>
                    <a:lnTo>
                      <a:pt x="128" y="82"/>
                    </a:lnTo>
                    <a:lnTo>
                      <a:pt x="131" y="87"/>
                    </a:lnTo>
                    <a:lnTo>
                      <a:pt x="132" y="91"/>
                    </a:lnTo>
                    <a:lnTo>
                      <a:pt x="133" y="93"/>
                    </a:lnTo>
                    <a:lnTo>
                      <a:pt x="133" y="103"/>
                    </a:lnTo>
                    <a:lnTo>
                      <a:pt x="131" y="106"/>
                    </a:lnTo>
                    <a:lnTo>
                      <a:pt x="131" y="106"/>
                    </a:lnTo>
                    <a:lnTo>
                      <a:pt x="124" y="113"/>
                    </a:lnTo>
                    <a:lnTo>
                      <a:pt x="124" y="113"/>
                    </a:lnTo>
                    <a:lnTo>
                      <a:pt x="120" y="111"/>
                    </a:lnTo>
                    <a:lnTo>
                      <a:pt x="117" y="110"/>
                    </a:lnTo>
                    <a:lnTo>
                      <a:pt x="107" y="106"/>
                    </a:lnTo>
                    <a:lnTo>
                      <a:pt x="105" y="106"/>
                    </a:lnTo>
                    <a:lnTo>
                      <a:pt x="105" y="106"/>
                    </a:lnTo>
                    <a:lnTo>
                      <a:pt x="101" y="103"/>
                    </a:lnTo>
                    <a:lnTo>
                      <a:pt x="101" y="103"/>
                    </a:lnTo>
                    <a:lnTo>
                      <a:pt x="99" y="99"/>
                    </a:lnTo>
                    <a:lnTo>
                      <a:pt x="99" y="99"/>
                    </a:lnTo>
                    <a:lnTo>
                      <a:pt x="96" y="97"/>
                    </a:lnTo>
                    <a:lnTo>
                      <a:pt x="96" y="97"/>
                    </a:lnTo>
                    <a:lnTo>
                      <a:pt x="95" y="90"/>
                    </a:lnTo>
                    <a:lnTo>
                      <a:pt x="95" y="90"/>
                    </a:lnTo>
                    <a:lnTo>
                      <a:pt x="96" y="89"/>
                    </a:lnTo>
                    <a:lnTo>
                      <a:pt x="96" y="89"/>
                    </a:lnTo>
                    <a:lnTo>
                      <a:pt x="97" y="86"/>
                    </a:lnTo>
                    <a:lnTo>
                      <a:pt x="99" y="83"/>
                    </a:lnTo>
                    <a:lnTo>
                      <a:pt x="100" y="79"/>
                    </a:lnTo>
                    <a:lnTo>
                      <a:pt x="100" y="78"/>
                    </a:lnTo>
                    <a:lnTo>
                      <a:pt x="100" y="78"/>
                    </a:lnTo>
                    <a:lnTo>
                      <a:pt x="100" y="78"/>
                    </a:lnTo>
                    <a:lnTo>
                      <a:pt x="101" y="78"/>
                    </a:lnTo>
                    <a:lnTo>
                      <a:pt x="103" y="75"/>
                    </a:lnTo>
                    <a:lnTo>
                      <a:pt x="103" y="75"/>
                    </a:lnTo>
                    <a:lnTo>
                      <a:pt x="103" y="74"/>
                    </a:lnTo>
                    <a:lnTo>
                      <a:pt x="103" y="74"/>
                    </a:lnTo>
                    <a:lnTo>
                      <a:pt x="104" y="70"/>
                    </a:lnTo>
                    <a:lnTo>
                      <a:pt x="104" y="70"/>
                    </a:lnTo>
                    <a:lnTo>
                      <a:pt x="105" y="66"/>
                    </a:lnTo>
                    <a:lnTo>
                      <a:pt x="105" y="66"/>
                    </a:lnTo>
                    <a:lnTo>
                      <a:pt x="105" y="65"/>
                    </a:lnTo>
                    <a:lnTo>
                      <a:pt x="105" y="65"/>
                    </a:lnTo>
                    <a:lnTo>
                      <a:pt x="104" y="63"/>
                    </a:lnTo>
                    <a:lnTo>
                      <a:pt x="104" y="63"/>
                    </a:lnTo>
                    <a:lnTo>
                      <a:pt x="104" y="62"/>
                    </a:lnTo>
                    <a:lnTo>
                      <a:pt x="104" y="57"/>
                    </a:lnTo>
                    <a:lnTo>
                      <a:pt x="104" y="55"/>
                    </a:lnTo>
                    <a:lnTo>
                      <a:pt x="104" y="55"/>
                    </a:lnTo>
                    <a:lnTo>
                      <a:pt x="105" y="50"/>
                    </a:lnTo>
                    <a:lnTo>
                      <a:pt x="104" y="49"/>
                    </a:lnTo>
                    <a:lnTo>
                      <a:pt x="104" y="48"/>
                    </a:lnTo>
                    <a:lnTo>
                      <a:pt x="104" y="48"/>
                    </a:lnTo>
                    <a:lnTo>
                      <a:pt x="104" y="45"/>
                    </a:lnTo>
                    <a:lnTo>
                      <a:pt x="104" y="45"/>
                    </a:lnTo>
                    <a:lnTo>
                      <a:pt x="104" y="45"/>
                    </a:lnTo>
                    <a:lnTo>
                      <a:pt x="101" y="42"/>
                    </a:lnTo>
                    <a:lnTo>
                      <a:pt x="101" y="42"/>
                    </a:lnTo>
                    <a:lnTo>
                      <a:pt x="96" y="37"/>
                    </a:lnTo>
                    <a:lnTo>
                      <a:pt x="96" y="37"/>
                    </a:lnTo>
                    <a:lnTo>
                      <a:pt x="91" y="33"/>
                    </a:lnTo>
                    <a:lnTo>
                      <a:pt x="91" y="33"/>
                    </a:lnTo>
                    <a:lnTo>
                      <a:pt x="88" y="32"/>
                    </a:lnTo>
                    <a:lnTo>
                      <a:pt x="85" y="30"/>
                    </a:lnTo>
                    <a:lnTo>
                      <a:pt x="85" y="30"/>
                    </a:lnTo>
                    <a:lnTo>
                      <a:pt x="80" y="32"/>
                    </a:lnTo>
                    <a:lnTo>
                      <a:pt x="80" y="32"/>
                    </a:lnTo>
                    <a:lnTo>
                      <a:pt x="76" y="32"/>
                    </a:lnTo>
                    <a:lnTo>
                      <a:pt x="76" y="32"/>
                    </a:lnTo>
                    <a:lnTo>
                      <a:pt x="71" y="36"/>
                    </a:lnTo>
                    <a:lnTo>
                      <a:pt x="71" y="36"/>
                    </a:lnTo>
                    <a:lnTo>
                      <a:pt x="67" y="37"/>
                    </a:lnTo>
                    <a:lnTo>
                      <a:pt x="63" y="41"/>
                    </a:lnTo>
                    <a:lnTo>
                      <a:pt x="63" y="41"/>
                    </a:lnTo>
                    <a:lnTo>
                      <a:pt x="62" y="44"/>
                    </a:lnTo>
                    <a:lnTo>
                      <a:pt x="62" y="46"/>
                    </a:lnTo>
                    <a:lnTo>
                      <a:pt x="62" y="46"/>
                    </a:lnTo>
                    <a:lnTo>
                      <a:pt x="62" y="51"/>
                    </a:lnTo>
                    <a:lnTo>
                      <a:pt x="62" y="51"/>
                    </a:lnTo>
                    <a:lnTo>
                      <a:pt x="62" y="57"/>
                    </a:lnTo>
                    <a:lnTo>
                      <a:pt x="63" y="61"/>
                    </a:lnTo>
                    <a:lnTo>
                      <a:pt x="63" y="63"/>
                    </a:lnTo>
                    <a:lnTo>
                      <a:pt x="60" y="62"/>
                    </a:lnTo>
                    <a:lnTo>
                      <a:pt x="60" y="62"/>
                    </a:lnTo>
                    <a:lnTo>
                      <a:pt x="60" y="63"/>
                    </a:lnTo>
                    <a:lnTo>
                      <a:pt x="60" y="63"/>
                    </a:lnTo>
                    <a:lnTo>
                      <a:pt x="62" y="71"/>
                    </a:lnTo>
                    <a:lnTo>
                      <a:pt x="62" y="71"/>
                    </a:lnTo>
                    <a:lnTo>
                      <a:pt x="62" y="73"/>
                    </a:lnTo>
                    <a:lnTo>
                      <a:pt x="62" y="73"/>
                    </a:lnTo>
                    <a:lnTo>
                      <a:pt x="63" y="75"/>
                    </a:lnTo>
                    <a:lnTo>
                      <a:pt x="64" y="77"/>
                    </a:lnTo>
                    <a:lnTo>
                      <a:pt x="66" y="77"/>
                    </a:lnTo>
                    <a:lnTo>
                      <a:pt x="66" y="77"/>
                    </a:lnTo>
                    <a:lnTo>
                      <a:pt x="66" y="77"/>
                    </a:lnTo>
                    <a:lnTo>
                      <a:pt x="66" y="82"/>
                    </a:lnTo>
                    <a:lnTo>
                      <a:pt x="67" y="85"/>
                    </a:lnTo>
                    <a:lnTo>
                      <a:pt x="68" y="87"/>
                    </a:lnTo>
                    <a:lnTo>
                      <a:pt x="68" y="89"/>
                    </a:lnTo>
                    <a:lnTo>
                      <a:pt x="68" y="95"/>
                    </a:lnTo>
                    <a:lnTo>
                      <a:pt x="67" y="97"/>
                    </a:lnTo>
                    <a:lnTo>
                      <a:pt x="67" y="97"/>
                    </a:lnTo>
                    <a:lnTo>
                      <a:pt x="63" y="101"/>
                    </a:lnTo>
                    <a:lnTo>
                      <a:pt x="63" y="101"/>
                    </a:lnTo>
                    <a:lnTo>
                      <a:pt x="59" y="99"/>
                    </a:lnTo>
                    <a:lnTo>
                      <a:pt x="59" y="99"/>
                    </a:lnTo>
                    <a:lnTo>
                      <a:pt x="56" y="99"/>
                    </a:lnTo>
                    <a:lnTo>
                      <a:pt x="55" y="98"/>
                    </a:lnTo>
                    <a:lnTo>
                      <a:pt x="48" y="95"/>
                    </a:lnTo>
                    <a:lnTo>
                      <a:pt x="48" y="95"/>
                    </a:lnTo>
                    <a:lnTo>
                      <a:pt x="48" y="95"/>
                    </a:lnTo>
                    <a:lnTo>
                      <a:pt x="46" y="94"/>
                    </a:lnTo>
                    <a:lnTo>
                      <a:pt x="46" y="94"/>
                    </a:lnTo>
                    <a:lnTo>
                      <a:pt x="43" y="91"/>
                    </a:lnTo>
                    <a:lnTo>
                      <a:pt x="43" y="91"/>
                    </a:lnTo>
                    <a:lnTo>
                      <a:pt x="42" y="90"/>
                    </a:lnTo>
                    <a:lnTo>
                      <a:pt x="42" y="90"/>
                    </a:lnTo>
                    <a:lnTo>
                      <a:pt x="42" y="86"/>
                    </a:lnTo>
                    <a:lnTo>
                      <a:pt x="42" y="86"/>
                    </a:lnTo>
                    <a:lnTo>
                      <a:pt x="42" y="86"/>
                    </a:lnTo>
                    <a:lnTo>
                      <a:pt x="42" y="86"/>
                    </a:lnTo>
                    <a:lnTo>
                      <a:pt x="43" y="82"/>
                    </a:lnTo>
                    <a:lnTo>
                      <a:pt x="44" y="79"/>
                    </a:lnTo>
                    <a:lnTo>
                      <a:pt x="44" y="79"/>
                    </a:lnTo>
                    <a:lnTo>
                      <a:pt x="44" y="79"/>
                    </a:lnTo>
                    <a:lnTo>
                      <a:pt x="44" y="79"/>
                    </a:lnTo>
                    <a:lnTo>
                      <a:pt x="46" y="78"/>
                    </a:lnTo>
                    <a:lnTo>
                      <a:pt x="46" y="78"/>
                    </a:lnTo>
                    <a:lnTo>
                      <a:pt x="46" y="77"/>
                    </a:lnTo>
                    <a:lnTo>
                      <a:pt x="46" y="77"/>
                    </a:lnTo>
                    <a:lnTo>
                      <a:pt x="47" y="74"/>
                    </a:lnTo>
                    <a:lnTo>
                      <a:pt x="47" y="74"/>
                    </a:lnTo>
                    <a:lnTo>
                      <a:pt x="47" y="73"/>
                    </a:lnTo>
                    <a:lnTo>
                      <a:pt x="47" y="73"/>
                    </a:lnTo>
                    <a:lnTo>
                      <a:pt x="47" y="70"/>
                    </a:lnTo>
                    <a:lnTo>
                      <a:pt x="47" y="70"/>
                    </a:lnTo>
                    <a:lnTo>
                      <a:pt x="47" y="70"/>
                    </a:lnTo>
                    <a:lnTo>
                      <a:pt x="47" y="70"/>
                    </a:lnTo>
                    <a:lnTo>
                      <a:pt x="47" y="66"/>
                    </a:lnTo>
                    <a:lnTo>
                      <a:pt x="47" y="66"/>
                    </a:lnTo>
                    <a:lnTo>
                      <a:pt x="47" y="66"/>
                    </a:lnTo>
                    <a:lnTo>
                      <a:pt x="47" y="61"/>
                    </a:lnTo>
                    <a:lnTo>
                      <a:pt x="47" y="61"/>
                    </a:lnTo>
                    <a:lnTo>
                      <a:pt x="47" y="61"/>
                    </a:lnTo>
                    <a:lnTo>
                      <a:pt x="47" y="59"/>
                    </a:lnTo>
                    <a:lnTo>
                      <a:pt x="47" y="59"/>
                    </a:lnTo>
                    <a:lnTo>
                      <a:pt x="46" y="58"/>
                    </a:lnTo>
                    <a:lnTo>
                      <a:pt x="46" y="58"/>
                    </a:lnTo>
                    <a:lnTo>
                      <a:pt x="42" y="54"/>
                    </a:lnTo>
                    <a:lnTo>
                      <a:pt x="42" y="54"/>
                    </a:lnTo>
                    <a:lnTo>
                      <a:pt x="39" y="51"/>
                    </a:lnTo>
                    <a:lnTo>
                      <a:pt x="39" y="51"/>
                    </a:lnTo>
                    <a:lnTo>
                      <a:pt x="35" y="50"/>
                    </a:lnTo>
                    <a:lnTo>
                      <a:pt x="35" y="50"/>
                    </a:lnTo>
                    <a:lnTo>
                      <a:pt x="32" y="51"/>
                    </a:lnTo>
                    <a:lnTo>
                      <a:pt x="32" y="51"/>
                    </a:lnTo>
                    <a:lnTo>
                      <a:pt x="30" y="51"/>
                    </a:lnTo>
                    <a:lnTo>
                      <a:pt x="30" y="51"/>
                    </a:lnTo>
                    <a:lnTo>
                      <a:pt x="27" y="53"/>
                    </a:lnTo>
                    <a:lnTo>
                      <a:pt x="27" y="53"/>
                    </a:lnTo>
                    <a:lnTo>
                      <a:pt x="22" y="57"/>
                    </a:lnTo>
                    <a:lnTo>
                      <a:pt x="22" y="57"/>
                    </a:lnTo>
                    <a:lnTo>
                      <a:pt x="22" y="58"/>
                    </a:lnTo>
                    <a:lnTo>
                      <a:pt x="22" y="61"/>
                    </a:lnTo>
                    <a:lnTo>
                      <a:pt x="22" y="61"/>
                    </a:lnTo>
                    <a:lnTo>
                      <a:pt x="22" y="63"/>
                    </a:lnTo>
                    <a:lnTo>
                      <a:pt x="22" y="63"/>
                    </a:lnTo>
                    <a:lnTo>
                      <a:pt x="22" y="66"/>
                    </a:lnTo>
                    <a:lnTo>
                      <a:pt x="22" y="69"/>
                    </a:lnTo>
                    <a:lnTo>
                      <a:pt x="22" y="70"/>
                    </a:lnTo>
                    <a:lnTo>
                      <a:pt x="20" y="69"/>
                    </a:lnTo>
                    <a:lnTo>
                      <a:pt x="20" y="69"/>
                    </a:lnTo>
                    <a:lnTo>
                      <a:pt x="20" y="70"/>
                    </a:lnTo>
                    <a:lnTo>
                      <a:pt x="20" y="70"/>
                    </a:lnTo>
                    <a:lnTo>
                      <a:pt x="20" y="75"/>
                    </a:lnTo>
                    <a:lnTo>
                      <a:pt x="20" y="75"/>
                    </a:lnTo>
                    <a:lnTo>
                      <a:pt x="22" y="77"/>
                    </a:lnTo>
                    <a:lnTo>
                      <a:pt x="22" y="77"/>
                    </a:lnTo>
                    <a:lnTo>
                      <a:pt x="22" y="78"/>
                    </a:lnTo>
                    <a:lnTo>
                      <a:pt x="23" y="78"/>
                    </a:lnTo>
                    <a:lnTo>
                      <a:pt x="23" y="78"/>
                    </a:lnTo>
                    <a:lnTo>
                      <a:pt x="23" y="78"/>
                    </a:lnTo>
                    <a:lnTo>
                      <a:pt x="23" y="78"/>
                    </a:lnTo>
                    <a:lnTo>
                      <a:pt x="24" y="83"/>
                    </a:lnTo>
                    <a:lnTo>
                      <a:pt x="26" y="85"/>
                    </a:lnTo>
                    <a:lnTo>
                      <a:pt x="26" y="85"/>
                    </a:lnTo>
                    <a:lnTo>
                      <a:pt x="26" y="89"/>
                    </a:lnTo>
                    <a:lnTo>
                      <a:pt x="24" y="90"/>
                    </a:lnTo>
                    <a:lnTo>
                      <a:pt x="24" y="90"/>
                    </a:lnTo>
                    <a:lnTo>
                      <a:pt x="20" y="94"/>
                    </a:lnTo>
                    <a:lnTo>
                      <a:pt x="16" y="97"/>
                    </a:lnTo>
                    <a:lnTo>
                      <a:pt x="14" y="99"/>
                    </a:lnTo>
                    <a:lnTo>
                      <a:pt x="14" y="99"/>
                    </a:lnTo>
                    <a:lnTo>
                      <a:pt x="10" y="99"/>
                    </a:lnTo>
                    <a:lnTo>
                      <a:pt x="10" y="99"/>
                    </a:lnTo>
                    <a:lnTo>
                      <a:pt x="7" y="101"/>
                    </a:lnTo>
                    <a:lnTo>
                      <a:pt x="3" y="103"/>
                    </a:lnTo>
                    <a:lnTo>
                      <a:pt x="3" y="103"/>
                    </a:lnTo>
                    <a:lnTo>
                      <a:pt x="2" y="107"/>
                    </a:lnTo>
                    <a:lnTo>
                      <a:pt x="0" y="114"/>
                    </a:lnTo>
                    <a:lnTo>
                      <a:pt x="34" y="114"/>
                    </a:lnTo>
                    <a:lnTo>
                      <a:pt x="38" y="114"/>
                    </a:lnTo>
                    <a:lnTo>
                      <a:pt x="38" y="114"/>
                    </a:lnTo>
                    <a:lnTo>
                      <a:pt x="38" y="114"/>
                    </a:lnTo>
                    <a:lnTo>
                      <a:pt x="34" y="114"/>
                    </a:lnTo>
                    <a:lnTo>
                      <a:pt x="4" y="114"/>
                    </a:lnTo>
                    <a:lnTo>
                      <a:pt x="38" y="114"/>
                    </a:lnTo>
                    <a:lnTo>
                      <a:pt x="38" y="114"/>
                    </a:lnTo>
                    <a:lnTo>
                      <a:pt x="32" y="118"/>
                    </a:lnTo>
                    <a:lnTo>
                      <a:pt x="32" y="118"/>
                    </a:lnTo>
                    <a:lnTo>
                      <a:pt x="30" y="121"/>
                    </a:lnTo>
                    <a:lnTo>
                      <a:pt x="28" y="126"/>
                    </a:lnTo>
                    <a:lnTo>
                      <a:pt x="26" y="137"/>
                    </a:lnTo>
                    <a:lnTo>
                      <a:pt x="78" y="137"/>
                    </a:lnTo>
                    <a:lnTo>
                      <a:pt x="78" y="137"/>
                    </a:lnTo>
                    <a:lnTo>
                      <a:pt x="78" y="138"/>
                    </a:lnTo>
                    <a:lnTo>
                      <a:pt x="34" y="138"/>
                    </a:lnTo>
                    <a:lnTo>
                      <a:pt x="78" y="138"/>
                    </a:lnTo>
                    <a:lnTo>
                      <a:pt x="78" y="138"/>
                    </a:lnTo>
                    <a:lnTo>
                      <a:pt x="74" y="141"/>
                    </a:lnTo>
                    <a:lnTo>
                      <a:pt x="74" y="141"/>
                    </a:lnTo>
                    <a:lnTo>
                      <a:pt x="71" y="144"/>
                    </a:lnTo>
                    <a:lnTo>
                      <a:pt x="68" y="152"/>
                    </a:lnTo>
                    <a:lnTo>
                      <a:pt x="66" y="171"/>
                    </a:lnTo>
                    <a:lnTo>
                      <a:pt x="157" y="171"/>
                    </a:lnTo>
                    <a:lnTo>
                      <a:pt x="249" y="171"/>
                    </a:lnTo>
                    <a:lnTo>
                      <a:pt x="249" y="171"/>
                    </a:lnTo>
                    <a:lnTo>
                      <a:pt x="246" y="152"/>
                    </a:lnTo>
                    <a:lnTo>
                      <a:pt x="244" y="144"/>
                    </a:lnTo>
                    <a:lnTo>
                      <a:pt x="240" y="141"/>
                    </a:lnTo>
                    <a:lnTo>
                      <a:pt x="240" y="141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  <xdr:sp macro="" textlink="">
          <xdr:nvSpPr>
            <xdr:cNvPr id="23" name="TextBox 22"/>
            <xdr:cNvSpPr txBox="1"/>
          </xdr:nvSpPr>
          <xdr:spPr>
            <a:xfrm>
              <a:off x="1177479" y="2000218"/>
              <a:ext cx="1280160" cy="2827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r>
                <a:rPr lang="en-US" sz="1800" b="1">
                  <a:solidFill>
                    <a:srgbClr val="EBEBEB"/>
                  </a:solidFill>
                </a:rPr>
                <a:t>Followers</a:t>
              </a:r>
            </a:p>
          </xdr:txBody>
        </xdr:sp>
      </xdr:grpSp>
      <xdr:grpSp>
        <xdr:nvGrpSpPr>
          <xdr:cNvPr id="26" name="Group 25"/>
          <xdr:cNvGrpSpPr/>
        </xdr:nvGrpSpPr>
        <xdr:grpSpPr>
          <a:xfrm>
            <a:off x="4509090" y="1924051"/>
            <a:ext cx="2564892" cy="1647825"/>
            <a:chOff x="2842085" y="1905000"/>
            <a:chExt cx="2564892" cy="1647825"/>
          </a:xfrm>
        </xdr:grpSpPr>
        <xdr:grpSp>
          <xdr:nvGrpSpPr>
            <xdr:cNvPr id="17" name="Group 16"/>
            <xdr:cNvGrpSpPr/>
          </xdr:nvGrpSpPr>
          <xdr:grpSpPr>
            <a:xfrm>
              <a:off x="3190875" y="1905000"/>
              <a:ext cx="530352" cy="530352"/>
              <a:chOff x="3190875" y="1876425"/>
              <a:chExt cx="530352" cy="530352"/>
            </a:xfrm>
          </xdr:grpSpPr>
          <xdr:sp macro="" textlink="">
            <xdr:nvSpPr>
              <xdr:cNvPr id="106" name="Freeform 9"/>
              <xdr:cNvSpPr>
                <a:spLocks/>
              </xdr:cNvSpPr>
            </xdr:nvSpPr>
            <xdr:spPr bwMode="auto">
              <a:xfrm>
                <a:off x="3190875" y="1876425"/>
                <a:ext cx="530352" cy="530352"/>
              </a:xfrm>
              <a:custGeom>
                <a:avLst/>
                <a:gdLst>
                  <a:gd name="T0" fmla="*/ 291 w 291"/>
                  <a:gd name="T1" fmla="*/ 193 h 384"/>
                  <a:gd name="T2" fmla="*/ 288 w 291"/>
                  <a:gd name="T3" fmla="*/ 231 h 384"/>
                  <a:gd name="T4" fmla="*/ 279 w 291"/>
                  <a:gd name="T5" fmla="*/ 267 h 384"/>
                  <a:gd name="T6" fmla="*/ 266 w 291"/>
                  <a:gd name="T7" fmla="*/ 300 h 384"/>
                  <a:gd name="T8" fmla="*/ 248 w 291"/>
                  <a:gd name="T9" fmla="*/ 328 h 384"/>
                  <a:gd name="T10" fmla="*/ 227 w 291"/>
                  <a:gd name="T11" fmla="*/ 352 h 384"/>
                  <a:gd name="T12" fmla="*/ 202 w 291"/>
                  <a:gd name="T13" fmla="*/ 369 h 384"/>
                  <a:gd name="T14" fmla="*/ 175 w 291"/>
                  <a:gd name="T15" fmla="*/ 380 h 384"/>
                  <a:gd name="T16" fmla="*/ 146 w 291"/>
                  <a:gd name="T17" fmla="*/ 384 h 384"/>
                  <a:gd name="T18" fmla="*/ 130 w 291"/>
                  <a:gd name="T19" fmla="*/ 384 h 384"/>
                  <a:gd name="T20" fmla="*/ 102 w 291"/>
                  <a:gd name="T21" fmla="*/ 376 h 384"/>
                  <a:gd name="T22" fmla="*/ 76 w 291"/>
                  <a:gd name="T23" fmla="*/ 361 h 384"/>
                  <a:gd name="T24" fmla="*/ 53 w 291"/>
                  <a:gd name="T25" fmla="*/ 340 h 384"/>
                  <a:gd name="T26" fmla="*/ 33 w 291"/>
                  <a:gd name="T27" fmla="*/ 315 h 384"/>
                  <a:gd name="T28" fmla="*/ 18 w 291"/>
                  <a:gd name="T29" fmla="*/ 284 h 384"/>
                  <a:gd name="T30" fmla="*/ 7 w 291"/>
                  <a:gd name="T31" fmla="*/ 250 h 384"/>
                  <a:gd name="T32" fmla="*/ 1 w 291"/>
                  <a:gd name="T33" fmla="*/ 211 h 384"/>
                  <a:gd name="T34" fmla="*/ 0 w 291"/>
                  <a:gd name="T35" fmla="*/ 193 h 384"/>
                  <a:gd name="T36" fmla="*/ 3 w 291"/>
                  <a:gd name="T37" fmla="*/ 154 h 384"/>
                  <a:gd name="T38" fmla="*/ 12 w 291"/>
                  <a:gd name="T39" fmla="*/ 117 h 384"/>
                  <a:gd name="T40" fmla="*/ 25 w 291"/>
                  <a:gd name="T41" fmla="*/ 85 h 384"/>
                  <a:gd name="T42" fmla="*/ 43 w 291"/>
                  <a:gd name="T43" fmla="*/ 56 h 384"/>
                  <a:gd name="T44" fmla="*/ 64 w 291"/>
                  <a:gd name="T45" fmla="*/ 33 h 384"/>
                  <a:gd name="T46" fmla="*/ 89 w 291"/>
                  <a:gd name="T47" fmla="*/ 15 h 384"/>
                  <a:gd name="T48" fmla="*/ 116 w 291"/>
                  <a:gd name="T49" fmla="*/ 4 h 384"/>
                  <a:gd name="T50" fmla="*/ 146 w 291"/>
                  <a:gd name="T51" fmla="*/ 0 h 384"/>
                  <a:gd name="T52" fmla="*/ 161 w 291"/>
                  <a:gd name="T53" fmla="*/ 1 h 384"/>
                  <a:gd name="T54" fmla="*/ 189 w 291"/>
                  <a:gd name="T55" fmla="*/ 9 h 384"/>
                  <a:gd name="T56" fmla="*/ 215 w 291"/>
                  <a:gd name="T57" fmla="*/ 23 h 384"/>
                  <a:gd name="T58" fmla="*/ 238 w 291"/>
                  <a:gd name="T59" fmla="*/ 44 h 384"/>
                  <a:gd name="T60" fmla="*/ 258 w 291"/>
                  <a:gd name="T61" fmla="*/ 70 h 384"/>
                  <a:gd name="T62" fmla="*/ 273 w 291"/>
                  <a:gd name="T63" fmla="*/ 101 h 384"/>
                  <a:gd name="T64" fmla="*/ 284 w 291"/>
                  <a:gd name="T65" fmla="*/ 136 h 384"/>
                  <a:gd name="T66" fmla="*/ 290 w 291"/>
                  <a:gd name="T67" fmla="*/ 173 h 384"/>
                  <a:gd name="T68" fmla="*/ 291 w 291"/>
                  <a:gd name="T69" fmla="*/ 193 h 3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291" h="384">
                    <a:moveTo>
                      <a:pt x="291" y="193"/>
                    </a:moveTo>
                    <a:lnTo>
                      <a:pt x="291" y="193"/>
                    </a:lnTo>
                    <a:lnTo>
                      <a:pt x="290" y="211"/>
                    </a:lnTo>
                    <a:lnTo>
                      <a:pt x="288" y="231"/>
                    </a:lnTo>
                    <a:lnTo>
                      <a:pt x="284" y="250"/>
                    </a:lnTo>
                    <a:lnTo>
                      <a:pt x="279" y="267"/>
                    </a:lnTo>
                    <a:lnTo>
                      <a:pt x="273" y="284"/>
                    </a:lnTo>
                    <a:lnTo>
                      <a:pt x="266" y="300"/>
                    </a:lnTo>
                    <a:lnTo>
                      <a:pt x="258" y="315"/>
                    </a:lnTo>
                    <a:lnTo>
                      <a:pt x="248" y="328"/>
                    </a:lnTo>
                    <a:lnTo>
                      <a:pt x="238" y="340"/>
                    </a:lnTo>
                    <a:lnTo>
                      <a:pt x="227" y="352"/>
                    </a:lnTo>
                    <a:lnTo>
                      <a:pt x="215" y="361"/>
                    </a:lnTo>
                    <a:lnTo>
                      <a:pt x="202" y="369"/>
                    </a:lnTo>
                    <a:lnTo>
                      <a:pt x="189" y="376"/>
                    </a:lnTo>
                    <a:lnTo>
                      <a:pt x="175" y="380"/>
                    </a:lnTo>
                    <a:lnTo>
                      <a:pt x="161" y="384"/>
                    </a:lnTo>
                    <a:lnTo>
                      <a:pt x="146" y="384"/>
                    </a:lnTo>
                    <a:lnTo>
                      <a:pt x="146" y="384"/>
                    </a:lnTo>
                    <a:lnTo>
                      <a:pt x="130" y="384"/>
                    </a:lnTo>
                    <a:lnTo>
                      <a:pt x="116" y="380"/>
                    </a:lnTo>
                    <a:lnTo>
                      <a:pt x="102" y="376"/>
                    </a:lnTo>
                    <a:lnTo>
                      <a:pt x="89" y="369"/>
                    </a:lnTo>
                    <a:lnTo>
                      <a:pt x="76" y="361"/>
                    </a:lnTo>
                    <a:lnTo>
                      <a:pt x="64" y="352"/>
                    </a:lnTo>
                    <a:lnTo>
                      <a:pt x="53" y="340"/>
                    </a:lnTo>
                    <a:lnTo>
                      <a:pt x="43" y="328"/>
                    </a:lnTo>
                    <a:lnTo>
                      <a:pt x="33" y="315"/>
                    </a:lnTo>
                    <a:lnTo>
                      <a:pt x="25" y="300"/>
                    </a:lnTo>
                    <a:lnTo>
                      <a:pt x="18" y="284"/>
                    </a:lnTo>
                    <a:lnTo>
                      <a:pt x="12" y="267"/>
                    </a:lnTo>
                    <a:lnTo>
                      <a:pt x="7" y="250"/>
                    </a:lnTo>
                    <a:lnTo>
                      <a:pt x="3" y="231"/>
                    </a:lnTo>
                    <a:lnTo>
                      <a:pt x="1" y="211"/>
                    </a:lnTo>
                    <a:lnTo>
                      <a:pt x="0" y="193"/>
                    </a:lnTo>
                    <a:lnTo>
                      <a:pt x="0" y="193"/>
                    </a:lnTo>
                    <a:lnTo>
                      <a:pt x="1" y="173"/>
                    </a:lnTo>
                    <a:lnTo>
                      <a:pt x="3" y="154"/>
                    </a:lnTo>
                    <a:lnTo>
                      <a:pt x="7" y="136"/>
                    </a:lnTo>
                    <a:lnTo>
                      <a:pt x="12" y="117"/>
                    </a:lnTo>
                    <a:lnTo>
                      <a:pt x="18" y="101"/>
                    </a:lnTo>
                    <a:lnTo>
                      <a:pt x="25" y="85"/>
                    </a:lnTo>
                    <a:lnTo>
                      <a:pt x="33" y="70"/>
                    </a:lnTo>
                    <a:lnTo>
                      <a:pt x="43" y="56"/>
                    </a:lnTo>
                    <a:lnTo>
                      <a:pt x="53" y="44"/>
                    </a:lnTo>
                    <a:lnTo>
                      <a:pt x="64" y="33"/>
                    </a:lnTo>
                    <a:lnTo>
                      <a:pt x="76" y="23"/>
                    </a:lnTo>
                    <a:lnTo>
                      <a:pt x="89" y="15"/>
                    </a:lnTo>
                    <a:lnTo>
                      <a:pt x="102" y="9"/>
                    </a:lnTo>
                    <a:lnTo>
                      <a:pt x="116" y="4"/>
                    </a:lnTo>
                    <a:lnTo>
                      <a:pt x="130" y="1"/>
                    </a:lnTo>
                    <a:lnTo>
                      <a:pt x="146" y="0"/>
                    </a:lnTo>
                    <a:lnTo>
                      <a:pt x="146" y="0"/>
                    </a:lnTo>
                    <a:lnTo>
                      <a:pt x="161" y="1"/>
                    </a:lnTo>
                    <a:lnTo>
                      <a:pt x="175" y="4"/>
                    </a:lnTo>
                    <a:lnTo>
                      <a:pt x="189" y="9"/>
                    </a:lnTo>
                    <a:lnTo>
                      <a:pt x="202" y="15"/>
                    </a:lnTo>
                    <a:lnTo>
                      <a:pt x="215" y="23"/>
                    </a:lnTo>
                    <a:lnTo>
                      <a:pt x="227" y="33"/>
                    </a:lnTo>
                    <a:lnTo>
                      <a:pt x="238" y="44"/>
                    </a:lnTo>
                    <a:lnTo>
                      <a:pt x="248" y="56"/>
                    </a:lnTo>
                    <a:lnTo>
                      <a:pt x="258" y="70"/>
                    </a:lnTo>
                    <a:lnTo>
                      <a:pt x="266" y="85"/>
                    </a:lnTo>
                    <a:lnTo>
                      <a:pt x="273" y="101"/>
                    </a:lnTo>
                    <a:lnTo>
                      <a:pt x="279" y="117"/>
                    </a:lnTo>
                    <a:lnTo>
                      <a:pt x="284" y="136"/>
                    </a:lnTo>
                    <a:lnTo>
                      <a:pt x="288" y="154"/>
                    </a:lnTo>
                    <a:lnTo>
                      <a:pt x="290" y="173"/>
                    </a:lnTo>
                    <a:lnTo>
                      <a:pt x="291" y="193"/>
                    </a:lnTo>
                    <a:lnTo>
                      <a:pt x="291" y="193"/>
                    </a:lnTo>
                    <a:close/>
                  </a:path>
                </a:pathLst>
              </a:custGeom>
              <a:solidFill>
                <a:srgbClr val="2EA8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" name="Freeform 10"/>
              <xdr:cNvSpPr>
                <a:spLocks noEditPoints="1"/>
              </xdr:cNvSpPr>
            </xdr:nvSpPr>
            <xdr:spPr bwMode="auto">
              <a:xfrm>
                <a:off x="3305784" y="2025821"/>
                <a:ext cx="300535" cy="231560"/>
              </a:xfrm>
              <a:custGeom>
                <a:avLst/>
                <a:gdLst>
                  <a:gd name="T0" fmla="*/ 137 w 181"/>
                  <a:gd name="T1" fmla="*/ 59 h 190"/>
                  <a:gd name="T2" fmla="*/ 137 w 181"/>
                  <a:gd name="T3" fmla="*/ 16 h 190"/>
                  <a:gd name="T4" fmla="*/ 134 w 181"/>
                  <a:gd name="T5" fmla="*/ 6 h 190"/>
                  <a:gd name="T6" fmla="*/ 126 w 181"/>
                  <a:gd name="T7" fmla="*/ 0 h 190"/>
                  <a:gd name="T8" fmla="*/ 11 w 181"/>
                  <a:gd name="T9" fmla="*/ 0 h 190"/>
                  <a:gd name="T10" fmla="*/ 3 w 181"/>
                  <a:gd name="T11" fmla="*/ 6 h 190"/>
                  <a:gd name="T12" fmla="*/ 0 w 181"/>
                  <a:gd name="T13" fmla="*/ 16 h 190"/>
                  <a:gd name="T14" fmla="*/ 0 w 181"/>
                  <a:gd name="T15" fmla="*/ 103 h 190"/>
                  <a:gd name="T16" fmla="*/ 3 w 181"/>
                  <a:gd name="T17" fmla="*/ 113 h 190"/>
                  <a:gd name="T18" fmla="*/ 11 w 181"/>
                  <a:gd name="T19" fmla="*/ 117 h 190"/>
                  <a:gd name="T20" fmla="*/ 52 w 181"/>
                  <a:gd name="T21" fmla="*/ 141 h 190"/>
                  <a:gd name="T22" fmla="*/ 52 w 181"/>
                  <a:gd name="T23" fmla="*/ 154 h 190"/>
                  <a:gd name="T24" fmla="*/ 55 w 181"/>
                  <a:gd name="T25" fmla="*/ 161 h 190"/>
                  <a:gd name="T26" fmla="*/ 60 w 181"/>
                  <a:gd name="T27" fmla="*/ 164 h 190"/>
                  <a:gd name="T28" fmla="*/ 104 w 181"/>
                  <a:gd name="T29" fmla="*/ 164 h 190"/>
                  <a:gd name="T30" fmla="*/ 129 w 181"/>
                  <a:gd name="T31" fmla="*/ 190 h 190"/>
                  <a:gd name="T32" fmla="*/ 174 w 181"/>
                  <a:gd name="T33" fmla="*/ 164 h 190"/>
                  <a:gd name="T34" fmla="*/ 177 w 181"/>
                  <a:gd name="T35" fmla="*/ 164 h 190"/>
                  <a:gd name="T36" fmla="*/ 181 w 181"/>
                  <a:gd name="T37" fmla="*/ 158 h 190"/>
                  <a:gd name="T38" fmla="*/ 181 w 181"/>
                  <a:gd name="T39" fmla="*/ 68 h 190"/>
                  <a:gd name="T40" fmla="*/ 181 w 181"/>
                  <a:gd name="T41" fmla="*/ 64 h 190"/>
                  <a:gd name="T42" fmla="*/ 177 w 181"/>
                  <a:gd name="T43" fmla="*/ 59 h 190"/>
                  <a:gd name="T44" fmla="*/ 174 w 181"/>
                  <a:gd name="T45" fmla="*/ 59 h 190"/>
                  <a:gd name="T46" fmla="*/ 30 w 181"/>
                  <a:gd name="T47" fmla="*/ 107 h 190"/>
                  <a:gd name="T48" fmla="*/ 11 w 181"/>
                  <a:gd name="T49" fmla="*/ 107 h 190"/>
                  <a:gd name="T50" fmla="*/ 8 w 181"/>
                  <a:gd name="T51" fmla="*/ 103 h 190"/>
                  <a:gd name="T52" fmla="*/ 8 w 181"/>
                  <a:gd name="T53" fmla="*/ 16 h 190"/>
                  <a:gd name="T54" fmla="*/ 11 w 181"/>
                  <a:gd name="T55" fmla="*/ 11 h 190"/>
                  <a:gd name="T56" fmla="*/ 126 w 181"/>
                  <a:gd name="T57" fmla="*/ 11 h 190"/>
                  <a:gd name="T58" fmla="*/ 129 w 181"/>
                  <a:gd name="T59" fmla="*/ 16 h 190"/>
                  <a:gd name="T60" fmla="*/ 129 w 181"/>
                  <a:gd name="T61" fmla="*/ 59 h 190"/>
                  <a:gd name="T62" fmla="*/ 129 w 181"/>
                  <a:gd name="T63" fmla="*/ 103 h 190"/>
                  <a:gd name="T64" fmla="*/ 129 w 181"/>
                  <a:gd name="T65" fmla="*/ 103 h 190"/>
                  <a:gd name="T66" fmla="*/ 126 w 181"/>
                  <a:gd name="T67" fmla="*/ 107 h 190"/>
                  <a:gd name="T68" fmla="*/ 52 w 181"/>
                  <a:gd name="T69" fmla="*/ 128 h 19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181" h="190">
                    <a:moveTo>
                      <a:pt x="174" y="59"/>
                    </a:moveTo>
                    <a:lnTo>
                      <a:pt x="137" y="59"/>
                    </a:lnTo>
                    <a:lnTo>
                      <a:pt x="137" y="16"/>
                    </a:lnTo>
                    <a:lnTo>
                      <a:pt x="137" y="16"/>
                    </a:lnTo>
                    <a:lnTo>
                      <a:pt x="136" y="10"/>
                    </a:lnTo>
                    <a:lnTo>
                      <a:pt x="134" y="6"/>
                    </a:lnTo>
                    <a:lnTo>
                      <a:pt x="130" y="2"/>
                    </a:lnTo>
                    <a:lnTo>
                      <a:pt x="126" y="0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7" y="2"/>
                    </a:lnTo>
                    <a:lnTo>
                      <a:pt x="3" y="6"/>
                    </a:lnTo>
                    <a:lnTo>
                      <a:pt x="1" y="10"/>
                    </a:lnTo>
                    <a:lnTo>
                      <a:pt x="0" y="16"/>
                    </a:lnTo>
                    <a:lnTo>
                      <a:pt x="0" y="103"/>
                    </a:lnTo>
                    <a:lnTo>
                      <a:pt x="0" y="103"/>
                    </a:lnTo>
                    <a:lnTo>
                      <a:pt x="1" y="108"/>
                    </a:lnTo>
                    <a:lnTo>
                      <a:pt x="3" y="113"/>
                    </a:lnTo>
                    <a:lnTo>
                      <a:pt x="7" y="116"/>
                    </a:lnTo>
                    <a:lnTo>
                      <a:pt x="11" y="117"/>
                    </a:lnTo>
                    <a:lnTo>
                      <a:pt x="28" y="117"/>
                    </a:lnTo>
                    <a:lnTo>
                      <a:pt x="52" y="141"/>
                    </a:lnTo>
                    <a:lnTo>
                      <a:pt x="52" y="154"/>
                    </a:lnTo>
                    <a:lnTo>
                      <a:pt x="52" y="154"/>
                    </a:lnTo>
                    <a:lnTo>
                      <a:pt x="53" y="158"/>
                    </a:lnTo>
                    <a:lnTo>
                      <a:pt x="55" y="161"/>
                    </a:lnTo>
                    <a:lnTo>
                      <a:pt x="57" y="164"/>
                    </a:lnTo>
                    <a:lnTo>
                      <a:pt x="60" y="164"/>
                    </a:lnTo>
                    <a:lnTo>
                      <a:pt x="104" y="164"/>
                    </a:lnTo>
                    <a:lnTo>
                      <a:pt x="104" y="164"/>
                    </a:lnTo>
                    <a:lnTo>
                      <a:pt x="129" y="164"/>
                    </a:lnTo>
                    <a:lnTo>
                      <a:pt x="129" y="190"/>
                    </a:lnTo>
                    <a:lnTo>
                      <a:pt x="156" y="164"/>
                    </a:lnTo>
                    <a:lnTo>
                      <a:pt x="174" y="164"/>
                    </a:lnTo>
                    <a:lnTo>
                      <a:pt x="174" y="164"/>
                    </a:lnTo>
                    <a:lnTo>
                      <a:pt x="177" y="164"/>
                    </a:lnTo>
                    <a:lnTo>
                      <a:pt x="179" y="161"/>
                    </a:lnTo>
                    <a:lnTo>
                      <a:pt x="181" y="158"/>
                    </a:lnTo>
                    <a:lnTo>
                      <a:pt x="181" y="154"/>
                    </a:lnTo>
                    <a:lnTo>
                      <a:pt x="181" y="68"/>
                    </a:lnTo>
                    <a:lnTo>
                      <a:pt x="181" y="68"/>
                    </a:lnTo>
                    <a:lnTo>
                      <a:pt x="181" y="64"/>
                    </a:lnTo>
                    <a:lnTo>
                      <a:pt x="179" y="61"/>
                    </a:lnTo>
                    <a:lnTo>
                      <a:pt x="177" y="59"/>
                    </a:lnTo>
                    <a:lnTo>
                      <a:pt x="174" y="59"/>
                    </a:lnTo>
                    <a:lnTo>
                      <a:pt x="174" y="59"/>
                    </a:lnTo>
                    <a:close/>
                    <a:moveTo>
                      <a:pt x="52" y="128"/>
                    </a:moveTo>
                    <a:lnTo>
                      <a:pt x="30" y="107"/>
                    </a:lnTo>
                    <a:lnTo>
                      <a:pt x="11" y="107"/>
                    </a:lnTo>
                    <a:lnTo>
                      <a:pt x="11" y="107"/>
                    </a:lnTo>
                    <a:lnTo>
                      <a:pt x="9" y="105"/>
                    </a:lnTo>
                    <a:lnTo>
                      <a:pt x="8" y="103"/>
                    </a:lnTo>
                    <a:lnTo>
                      <a:pt x="8" y="16"/>
                    </a:lnTo>
                    <a:lnTo>
                      <a:pt x="8" y="16"/>
                    </a:lnTo>
                    <a:lnTo>
                      <a:pt x="9" y="12"/>
                    </a:lnTo>
                    <a:lnTo>
                      <a:pt x="11" y="11"/>
                    </a:lnTo>
                    <a:lnTo>
                      <a:pt x="126" y="11"/>
                    </a:lnTo>
                    <a:lnTo>
                      <a:pt x="126" y="11"/>
                    </a:lnTo>
                    <a:lnTo>
                      <a:pt x="128" y="12"/>
                    </a:lnTo>
                    <a:lnTo>
                      <a:pt x="129" y="16"/>
                    </a:lnTo>
                    <a:lnTo>
                      <a:pt x="129" y="59"/>
                    </a:lnTo>
                    <a:lnTo>
                      <a:pt x="129" y="59"/>
                    </a:lnTo>
                    <a:lnTo>
                      <a:pt x="129" y="103"/>
                    </a:lnTo>
                    <a:lnTo>
                      <a:pt x="129" y="103"/>
                    </a:lnTo>
                    <a:lnTo>
                      <a:pt x="129" y="103"/>
                    </a:lnTo>
                    <a:lnTo>
                      <a:pt x="129" y="103"/>
                    </a:lnTo>
                    <a:lnTo>
                      <a:pt x="128" y="105"/>
                    </a:lnTo>
                    <a:lnTo>
                      <a:pt x="126" y="107"/>
                    </a:lnTo>
                    <a:lnTo>
                      <a:pt x="52" y="107"/>
                    </a:lnTo>
                    <a:lnTo>
                      <a:pt x="52" y="128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  <xdr:sp macro="" textlink="">
          <xdr:nvSpPr>
            <xdr:cNvPr id="111" name="TextBox 110"/>
            <xdr:cNvSpPr txBox="1"/>
          </xdr:nvSpPr>
          <xdr:spPr>
            <a:xfrm>
              <a:off x="3924300" y="1992216"/>
              <a:ext cx="1280160" cy="283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r>
                <a:rPr lang="en-US" sz="1800" b="1">
                  <a:solidFill>
                    <a:srgbClr val="EBEBEB"/>
                  </a:solidFill>
                </a:rPr>
                <a:t>Tweets</a:t>
              </a:r>
            </a:p>
          </xdr:txBody>
        </xdr:sp>
        <xdr:grpSp>
          <xdr:nvGrpSpPr>
            <xdr:cNvPr id="185" name="Group 184"/>
            <xdr:cNvGrpSpPr/>
          </xdr:nvGrpSpPr>
          <xdr:grpSpPr>
            <a:xfrm>
              <a:off x="2842085" y="2543175"/>
              <a:ext cx="2564892" cy="1009650"/>
              <a:chOff x="12643310" y="3505200"/>
              <a:chExt cx="2564892" cy="1009650"/>
            </a:xfrm>
          </xdr:grpSpPr>
          <xdr:sp macro="" textlink="Calculations!E16">
            <xdr:nvSpPr>
              <xdr:cNvPr id="190" name="TextBox 189"/>
              <xdr:cNvSpPr txBox="1"/>
            </xdr:nvSpPr>
            <xdr:spPr>
              <a:xfrm>
                <a:off x="12643310" y="4086225"/>
                <a:ext cx="2564892" cy="4286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t"/>
              <a:lstStyle/>
              <a:p>
                <a:pPr algn="ctr"/>
                <a:fld id="{C7D17A53-1B87-4F22-B49E-572EF4DC4037}" type="TxLink">
                  <a:rPr lang="en-US" sz="1050" i="1">
                    <a:solidFill>
                      <a:srgbClr val="B4B4B4"/>
                    </a:solidFill>
                  </a:rPr>
                  <a:pPr algn="ctr"/>
                  <a:t>On average, your audience tweets 0.8 times per day.</a:t>
                </a:fld>
                <a:endParaRPr lang="en-US" sz="1050" i="1">
                  <a:solidFill>
                    <a:srgbClr val="B4B4B4"/>
                  </a:solidFill>
                </a:endParaRPr>
              </a:p>
            </xdr:txBody>
          </xdr:sp>
          <xdr:sp macro="" textlink="">
            <xdr:nvSpPr>
              <xdr:cNvPr id="191" name="TextBox 190"/>
              <xdr:cNvSpPr txBox="1"/>
            </xdr:nvSpPr>
            <xdr:spPr>
              <a:xfrm>
                <a:off x="12801601" y="3505200"/>
                <a:ext cx="1161288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91440" bIns="0" rtlCol="0" anchor="ctr"/>
              <a:lstStyle/>
              <a:p>
                <a:pPr algn="r"/>
                <a:r>
                  <a:rPr lang="en-US" sz="1100">
                    <a:solidFill>
                      <a:srgbClr val="DCDCDC"/>
                    </a:solidFill>
                  </a:rPr>
                  <a:t>You</a:t>
                </a:r>
              </a:p>
            </xdr:txBody>
          </xdr:sp>
          <xdr:sp macro="" textlink="Calculations!B16">
            <xdr:nvSpPr>
              <xdr:cNvPr id="192" name="TextBox 191"/>
              <xdr:cNvSpPr txBox="1"/>
            </xdr:nvSpPr>
            <xdr:spPr>
              <a:xfrm>
                <a:off x="12801601" y="3733800"/>
                <a:ext cx="1163314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91440" bIns="0" rtlCol="0" anchor="ctr"/>
              <a:lstStyle/>
              <a:p>
                <a:pPr algn="r"/>
                <a:fld id="{029DA047-1D79-4055-B8C5-83A40FF023B0}" type="TxLink">
                  <a:rPr lang="en-US" sz="1800" b="1">
                    <a:solidFill>
                      <a:srgbClr val="2EA8E0"/>
                    </a:solidFill>
                  </a:rPr>
                  <a:pPr algn="r"/>
                  <a:t>143</a:t>
                </a:fld>
                <a:endParaRPr lang="en-US" sz="1800" b="1">
                  <a:solidFill>
                    <a:srgbClr val="2EA8E0"/>
                  </a:solidFill>
                </a:endParaRPr>
              </a:p>
            </xdr:txBody>
          </xdr:sp>
          <xdr:sp macro="" textlink="">
            <xdr:nvSpPr>
              <xdr:cNvPr id="193" name="TextBox 192"/>
              <xdr:cNvSpPr txBox="1"/>
            </xdr:nvSpPr>
            <xdr:spPr>
              <a:xfrm>
                <a:off x="13973176" y="3505200"/>
                <a:ext cx="1161288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l"/>
                <a:r>
                  <a:rPr lang="en-US" sz="1100">
                    <a:solidFill>
                      <a:srgbClr val="DCDCDC"/>
                    </a:solidFill>
                  </a:rPr>
                  <a:t>Audience  (Avg)</a:t>
                </a:r>
              </a:p>
            </xdr:txBody>
          </xdr:sp>
          <xdr:sp macro="" textlink="Calculations!C16">
            <xdr:nvSpPr>
              <xdr:cNvPr id="194" name="TextBox 193"/>
              <xdr:cNvSpPr txBox="1"/>
            </xdr:nvSpPr>
            <xdr:spPr>
              <a:xfrm>
                <a:off x="13973176" y="3733800"/>
                <a:ext cx="1163314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l"/>
                <a:fld id="{2FBB60E3-92FF-49C6-9199-2DCE295DAEC8}" type="TxLink">
                  <a:rPr lang="en-US" sz="1800" b="1">
                    <a:solidFill>
                      <a:srgbClr val="2EA8E0"/>
                    </a:solidFill>
                  </a:rPr>
                  <a:pPr algn="l"/>
                  <a:t>3,992</a:t>
                </a:fld>
                <a:endParaRPr lang="en-US" sz="1800" b="1">
                  <a:solidFill>
                    <a:srgbClr val="2EA8E0"/>
                  </a:solidFill>
                </a:endParaRPr>
              </a:p>
            </xdr:txBody>
          </xdr:sp>
          <xdr:sp macro="" textlink="">
            <xdr:nvSpPr>
              <xdr:cNvPr id="195" name="Rectangle 194"/>
              <xdr:cNvSpPr/>
            </xdr:nvSpPr>
            <xdr:spPr>
              <a:xfrm>
                <a:off x="13963460" y="3590925"/>
                <a:ext cx="9144" cy="402336"/>
              </a:xfrm>
              <a:prstGeom prst="rect">
                <a:avLst/>
              </a:prstGeom>
              <a:solidFill>
                <a:srgbClr val="646464"/>
              </a:solidFill>
              <a:ln>
                <a:noFill/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08" name="TextBox 207"/>
            <xdr:cNvSpPr txBox="1"/>
          </xdr:nvSpPr>
          <xdr:spPr>
            <a:xfrm>
              <a:off x="3933825" y="2200275"/>
              <a:ext cx="1280160" cy="283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r>
                <a:rPr lang="en-US" sz="1100" b="0">
                  <a:solidFill>
                    <a:srgbClr val="C8C8C8"/>
                  </a:solidFill>
                </a:rPr>
                <a:t>(Lifetime)</a:t>
              </a:r>
            </a:p>
          </xdr:txBody>
        </xdr:sp>
      </xdr:grpSp>
      <xdr:grpSp>
        <xdr:nvGrpSpPr>
          <xdr:cNvPr id="25" name="Group 24"/>
          <xdr:cNvGrpSpPr/>
        </xdr:nvGrpSpPr>
        <xdr:grpSpPr>
          <a:xfrm>
            <a:off x="7694235" y="1924051"/>
            <a:ext cx="2335589" cy="1600200"/>
            <a:chOff x="5391151" y="1905000"/>
            <a:chExt cx="2335589" cy="1600200"/>
          </a:xfrm>
        </xdr:grpSpPr>
        <xdr:grpSp>
          <xdr:nvGrpSpPr>
            <xdr:cNvPr id="18" name="Group 17"/>
            <xdr:cNvGrpSpPr/>
          </xdr:nvGrpSpPr>
          <xdr:grpSpPr>
            <a:xfrm>
              <a:off x="5629275" y="1905000"/>
              <a:ext cx="530352" cy="530352"/>
              <a:chOff x="5581650" y="1876425"/>
              <a:chExt cx="530352" cy="530352"/>
            </a:xfrm>
          </xdr:grpSpPr>
          <xdr:sp macro="" textlink="">
            <xdr:nvSpPr>
              <xdr:cNvPr id="109" name="Freeform 14"/>
              <xdr:cNvSpPr>
                <a:spLocks/>
              </xdr:cNvSpPr>
            </xdr:nvSpPr>
            <xdr:spPr bwMode="auto">
              <a:xfrm>
                <a:off x="5581650" y="1876425"/>
                <a:ext cx="530352" cy="530352"/>
              </a:xfrm>
              <a:custGeom>
                <a:avLst/>
                <a:gdLst>
                  <a:gd name="T0" fmla="*/ 384 w 384"/>
                  <a:gd name="T1" fmla="*/ 193 h 384"/>
                  <a:gd name="T2" fmla="*/ 380 w 384"/>
                  <a:gd name="T3" fmla="*/ 231 h 384"/>
                  <a:gd name="T4" fmla="*/ 368 w 384"/>
                  <a:gd name="T5" fmla="*/ 267 h 384"/>
                  <a:gd name="T6" fmla="*/ 351 w 384"/>
                  <a:gd name="T7" fmla="*/ 300 h 384"/>
                  <a:gd name="T8" fmla="*/ 327 w 384"/>
                  <a:gd name="T9" fmla="*/ 328 h 384"/>
                  <a:gd name="T10" fmla="*/ 299 w 384"/>
                  <a:gd name="T11" fmla="*/ 352 h 384"/>
                  <a:gd name="T12" fmla="*/ 267 w 384"/>
                  <a:gd name="T13" fmla="*/ 369 h 384"/>
                  <a:gd name="T14" fmla="*/ 230 w 384"/>
                  <a:gd name="T15" fmla="*/ 380 h 384"/>
                  <a:gd name="T16" fmla="*/ 191 w 384"/>
                  <a:gd name="T17" fmla="*/ 384 h 384"/>
                  <a:gd name="T18" fmla="*/ 171 w 384"/>
                  <a:gd name="T19" fmla="*/ 384 h 384"/>
                  <a:gd name="T20" fmla="*/ 134 w 384"/>
                  <a:gd name="T21" fmla="*/ 376 h 384"/>
                  <a:gd name="T22" fmla="*/ 100 w 384"/>
                  <a:gd name="T23" fmla="*/ 361 h 384"/>
                  <a:gd name="T24" fmla="*/ 69 w 384"/>
                  <a:gd name="T25" fmla="*/ 340 h 384"/>
                  <a:gd name="T26" fmla="*/ 44 w 384"/>
                  <a:gd name="T27" fmla="*/ 315 h 384"/>
                  <a:gd name="T28" fmla="*/ 23 w 384"/>
                  <a:gd name="T29" fmla="*/ 284 h 384"/>
                  <a:gd name="T30" fmla="*/ 8 w 384"/>
                  <a:gd name="T31" fmla="*/ 250 h 384"/>
                  <a:gd name="T32" fmla="*/ 0 w 384"/>
                  <a:gd name="T33" fmla="*/ 213 h 384"/>
                  <a:gd name="T34" fmla="*/ 0 w 384"/>
                  <a:gd name="T35" fmla="*/ 193 h 384"/>
                  <a:gd name="T36" fmla="*/ 3 w 384"/>
                  <a:gd name="T37" fmla="*/ 154 h 384"/>
                  <a:gd name="T38" fmla="*/ 15 w 384"/>
                  <a:gd name="T39" fmla="*/ 117 h 384"/>
                  <a:gd name="T40" fmla="*/ 32 w 384"/>
                  <a:gd name="T41" fmla="*/ 85 h 384"/>
                  <a:gd name="T42" fmla="*/ 56 w 384"/>
                  <a:gd name="T43" fmla="*/ 56 h 384"/>
                  <a:gd name="T44" fmla="*/ 84 w 384"/>
                  <a:gd name="T45" fmla="*/ 33 h 384"/>
                  <a:gd name="T46" fmla="*/ 117 w 384"/>
                  <a:gd name="T47" fmla="*/ 15 h 384"/>
                  <a:gd name="T48" fmla="*/ 153 w 384"/>
                  <a:gd name="T49" fmla="*/ 4 h 384"/>
                  <a:gd name="T50" fmla="*/ 191 w 384"/>
                  <a:gd name="T51" fmla="*/ 0 h 384"/>
                  <a:gd name="T52" fmla="*/ 211 w 384"/>
                  <a:gd name="T53" fmla="*/ 1 h 384"/>
                  <a:gd name="T54" fmla="*/ 248 w 384"/>
                  <a:gd name="T55" fmla="*/ 9 h 384"/>
                  <a:gd name="T56" fmla="*/ 283 w 384"/>
                  <a:gd name="T57" fmla="*/ 24 h 384"/>
                  <a:gd name="T58" fmla="*/ 314 w 384"/>
                  <a:gd name="T59" fmla="*/ 44 h 384"/>
                  <a:gd name="T60" fmla="*/ 340 w 384"/>
                  <a:gd name="T61" fmla="*/ 70 h 384"/>
                  <a:gd name="T62" fmla="*/ 360 w 384"/>
                  <a:gd name="T63" fmla="*/ 101 h 384"/>
                  <a:gd name="T64" fmla="*/ 375 w 384"/>
                  <a:gd name="T65" fmla="*/ 136 h 384"/>
                  <a:gd name="T66" fmla="*/ 383 w 384"/>
                  <a:gd name="T67" fmla="*/ 173 h 384"/>
                  <a:gd name="T68" fmla="*/ 384 w 384"/>
                  <a:gd name="T69" fmla="*/ 193 h 3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4" h="384">
                    <a:moveTo>
                      <a:pt x="384" y="193"/>
                    </a:moveTo>
                    <a:lnTo>
                      <a:pt x="384" y="193"/>
                    </a:lnTo>
                    <a:lnTo>
                      <a:pt x="383" y="213"/>
                    </a:lnTo>
                    <a:lnTo>
                      <a:pt x="380" y="231"/>
                    </a:lnTo>
                    <a:lnTo>
                      <a:pt x="375" y="250"/>
                    </a:lnTo>
                    <a:lnTo>
                      <a:pt x="368" y="267"/>
                    </a:lnTo>
                    <a:lnTo>
                      <a:pt x="360" y="284"/>
                    </a:lnTo>
                    <a:lnTo>
                      <a:pt x="351" y="300"/>
                    </a:lnTo>
                    <a:lnTo>
                      <a:pt x="340" y="315"/>
                    </a:lnTo>
                    <a:lnTo>
                      <a:pt x="327" y="328"/>
                    </a:lnTo>
                    <a:lnTo>
                      <a:pt x="314" y="340"/>
                    </a:lnTo>
                    <a:lnTo>
                      <a:pt x="299" y="352"/>
                    </a:lnTo>
                    <a:lnTo>
                      <a:pt x="283" y="361"/>
                    </a:lnTo>
                    <a:lnTo>
                      <a:pt x="267" y="369"/>
                    </a:lnTo>
                    <a:lnTo>
                      <a:pt x="248" y="376"/>
                    </a:lnTo>
                    <a:lnTo>
                      <a:pt x="230" y="380"/>
                    </a:lnTo>
                    <a:lnTo>
                      <a:pt x="211" y="384"/>
                    </a:lnTo>
                    <a:lnTo>
                      <a:pt x="191" y="384"/>
                    </a:lnTo>
                    <a:lnTo>
                      <a:pt x="191" y="384"/>
                    </a:lnTo>
                    <a:lnTo>
                      <a:pt x="171" y="384"/>
                    </a:lnTo>
                    <a:lnTo>
                      <a:pt x="153" y="380"/>
                    </a:lnTo>
                    <a:lnTo>
                      <a:pt x="134" y="376"/>
                    </a:lnTo>
                    <a:lnTo>
                      <a:pt x="117" y="369"/>
                    </a:lnTo>
                    <a:lnTo>
                      <a:pt x="100" y="361"/>
                    </a:lnTo>
                    <a:lnTo>
                      <a:pt x="84" y="352"/>
                    </a:lnTo>
                    <a:lnTo>
                      <a:pt x="69" y="340"/>
                    </a:lnTo>
                    <a:lnTo>
                      <a:pt x="56" y="328"/>
                    </a:lnTo>
                    <a:lnTo>
                      <a:pt x="44" y="315"/>
                    </a:lnTo>
                    <a:lnTo>
                      <a:pt x="32" y="300"/>
                    </a:lnTo>
                    <a:lnTo>
                      <a:pt x="23" y="284"/>
                    </a:lnTo>
                    <a:lnTo>
                      <a:pt x="15" y="267"/>
                    </a:lnTo>
                    <a:lnTo>
                      <a:pt x="8" y="250"/>
                    </a:lnTo>
                    <a:lnTo>
                      <a:pt x="3" y="231"/>
                    </a:lnTo>
                    <a:lnTo>
                      <a:pt x="0" y="213"/>
                    </a:lnTo>
                    <a:lnTo>
                      <a:pt x="0" y="193"/>
                    </a:lnTo>
                    <a:lnTo>
                      <a:pt x="0" y="193"/>
                    </a:lnTo>
                    <a:lnTo>
                      <a:pt x="0" y="173"/>
                    </a:lnTo>
                    <a:lnTo>
                      <a:pt x="3" y="154"/>
                    </a:lnTo>
                    <a:lnTo>
                      <a:pt x="8" y="136"/>
                    </a:lnTo>
                    <a:lnTo>
                      <a:pt x="15" y="117"/>
                    </a:lnTo>
                    <a:lnTo>
                      <a:pt x="23" y="101"/>
                    </a:lnTo>
                    <a:lnTo>
                      <a:pt x="32" y="85"/>
                    </a:lnTo>
                    <a:lnTo>
                      <a:pt x="44" y="70"/>
                    </a:lnTo>
                    <a:lnTo>
                      <a:pt x="56" y="56"/>
                    </a:lnTo>
                    <a:lnTo>
                      <a:pt x="69" y="44"/>
                    </a:lnTo>
                    <a:lnTo>
                      <a:pt x="84" y="33"/>
                    </a:lnTo>
                    <a:lnTo>
                      <a:pt x="100" y="24"/>
                    </a:lnTo>
                    <a:lnTo>
                      <a:pt x="117" y="15"/>
                    </a:lnTo>
                    <a:lnTo>
                      <a:pt x="134" y="9"/>
                    </a:lnTo>
                    <a:lnTo>
                      <a:pt x="153" y="4"/>
                    </a:lnTo>
                    <a:lnTo>
                      <a:pt x="171" y="1"/>
                    </a:lnTo>
                    <a:lnTo>
                      <a:pt x="191" y="0"/>
                    </a:lnTo>
                    <a:lnTo>
                      <a:pt x="191" y="0"/>
                    </a:lnTo>
                    <a:lnTo>
                      <a:pt x="211" y="1"/>
                    </a:lnTo>
                    <a:lnTo>
                      <a:pt x="230" y="4"/>
                    </a:lnTo>
                    <a:lnTo>
                      <a:pt x="248" y="9"/>
                    </a:lnTo>
                    <a:lnTo>
                      <a:pt x="267" y="15"/>
                    </a:lnTo>
                    <a:lnTo>
                      <a:pt x="283" y="24"/>
                    </a:lnTo>
                    <a:lnTo>
                      <a:pt x="299" y="33"/>
                    </a:lnTo>
                    <a:lnTo>
                      <a:pt x="314" y="44"/>
                    </a:lnTo>
                    <a:lnTo>
                      <a:pt x="327" y="56"/>
                    </a:lnTo>
                    <a:lnTo>
                      <a:pt x="340" y="70"/>
                    </a:lnTo>
                    <a:lnTo>
                      <a:pt x="351" y="85"/>
                    </a:lnTo>
                    <a:lnTo>
                      <a:pt x="360" y="101"/>
                    </a:lnTo>
                    <a:lnTo>
                      <a:pt x="368" y="117"/>
                    </a:lnTo>
                    <a:lnTo>
                      <a:pt x="375" y="136"/>
                    </a:lnTo>
                    <a:lnTo>
                      <a:pt x="380" y="154"/>
                    </a:lnTo>
                    <a:lnTo>
                      <a:pt x="383" y="173"/>
                    </a:lnTo>
                    <a:lnTo>
                      <a:pt x="384" y="193"/>
                    </a:lnTo>
                    <a:lnTo>
                      <a:pt x="384" y="193"/>
                    </a:lnTo>
                    <a:close/>
                  </a:path>
                </a:pathLst>
              </a:custGeom>
              <a:solidFill>
                <a:srgbClr val="E14B2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" name="Freeform 15"/>
              <xdr:cNvSpPr>
                <a:spLocks noEditPoints="1"/>
              </xdr:cNvSpPr>
            </xdr:nvSpPr>
            <xdr:spPr bwMode="auto">
              <a:xfrm>
                <a:off x="5692140" y="2047685"/>
                <a:ext cx="309372" cy="237554"/>
              </a:xfrm>
              <a:custGeom>
                <a:avLst/>
                <a:gdLst>
                  <a:gd name="T0" fmla="*/ 0 w 223"/>
                  <a:gd name="T1" fmla="*/ 0 h 173"/>
                  <a:gd name="T2" fmla="*/ 0 w 223"/>
                  <a:gd name="T3" fmla="*/ 136 h 173"/>
                  <a:gd name="T4" fmla="*/ 151 w 223"/>
                  <a:gd name="T5" fmla="*/ 136 h 173"/>
                  <a:gd name="T6" fmla="*/ 223 w 223"/>
                  <a:gd name="T7" fmla="*/ 173 h 173"/>
                  <a:gd name="T8" fmla="*/ 223 w 223"/>
                  <a:gd name="T9" fmla="*/ 0 h 173"/>
                  <a:gd name="T10" fmla="*/ 0 w 223"/>
                  <a:gd name="T11" fmla="*/ 0 h 173"/>
                  <a:gd name="T12" fmla="*/ 91 w 223"/>
                  <a:gd name="T13" fmla="*/ 79 h 173"/>
                  <a:gd name="T14" fmla="*/ 81 w 223"/>
                  <a:gd name="T15" fmla="*/ 79 h 173"/>
                  <a:gd name="T16" fmla="*/ 53 w 223"/>
                  <a:gd name="T17" fmla="*/ 116 h 173"/>
                  <a:gd name="T18" fmla="*/ 21 w 223"/>
                  <a:gd name="T19" fmla="*/ 116 h 173"/>
                  <a:gd name="T20" fmla="*/ 58 w 223"/>
                  <a:gd name="T21" fmla="*/ 67 h 173"/>
                  <a:gd name="T22" fmla="*/ 25 w 223"/>
                  <a:gd name="T23" fmla="*/ 19 h 173"/>
                  <a:gd name="T24" fmla="*/ 56 w 223"/>
                  <a:gd name="T25" fmla="*/ 19 h 173"/>
                  <a:gd name="T26" fmla="*/ 81 w 223"/>
                  <a:gd name="T27" fmla="*/ 56 h 173"/>
                  <a:gd name="T28" fmla="*/ 91 w 223"/>
                  <a:gd name="T29" fmla="*/ 56 h 173"/>
                  <a:gd name="T30" fmla="*/ 91 w 223"/>
                  <a:gd name="T31" fmla="*/ 79 h 173"/>
                  <a:gd name="T32" fmla="*/ 170 w 223"/>
                  <a:gd name="T33" fmla="*/ 116 h 173"/>
                  <a:gd name="T34" fmla="*/ 143 w 223"/>
                  <a:gd name="T35" fmla="*/ 79 h 173"/>
                  <a:gd name="T36" fmla="*/ 125 w 223"/>
                  <a:gd name="T37" fmla="*/ 79 h 173"/>
                  <a:gd name="T38" fmla="*/ 125 w 223"/>
                  <a:gd name="T39" fmla="*/ 116 h 173"/>
                  <a:gd name="T40" fmla="*/ 99 w 223"/>
                  <a:gd name="T41" fmla="*/ 116 h 173"/>
                  <a:gd name="T42" fmla="*/ 99 w 223"/>
                  <a:gd name="T43" fmla="*/ 19 h 173"/>
                  <a:gd name="T44" fmla="*/ 125 w 223"/>
                  <a:gd name="T45" fmla="*/ 19 h 173"/>
                  <a:gd name="T46" fmla="*/ 125 w 223"/>
                  <a:gd name="T47" fmla="*/ 56 h 173"/>
                  <a:gd name="T48" fmla="*/ 143 w 223"/>
                  <a:gd name="T49" fmla="*/ 56 h 173"/>
                  <a:gd name="T50" fmla="*/ 167 w 223"/>
                  <a:gd name="T51" fmla="*/ 19 h 173"/>
                  <a:gd name="T52" fmla="*/ 199 w 223"/>
                  <a:gd name="T53" fmla="*/ 19 h 173"/>
                  <a:gd name="T54" fmla="*/ 164 w 223"/>
                  <a:gd name="T55" fmla="*/ 67 h 173"/>
                  <a:gd name="T56" fmla="*/ 202 w 223"/>
                  <a:gd name="T57" fmla="*/ 116 h 173"/>
                  <a:gd name="T58" fmla="*/ 170 w 223"/>
                  <a:gd name="T59" fmla="*/ 11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</a:cxnLst>
                <a:rect l="0" t="0" r="r" b="b"/>
                <a:pathLst>
                  <a:path w="223" h="173">
                    <a:moveTo>
                      <a:pt x="0" y="0"/>
                    </a:moveTo>
                    <a:lnTo>
                      <a:pt x="0" y="136"/>
                    </a:lnTo>
                    <a:lnTo>
                      <a:pt x="151" y="136"/>
                    </a:lnTo>
                    <a:lnTo>
                      <a:pt x="223" y="173"/>
                    </a:lnTo>
                    <a:lnTo>
                      <a:pt x="223" y="0"/>
                    </a:lnTo>
                    <a:lnTo>
                      <a:pt x="0" y="0"/>
                    </a:lnTo>
                    <a:close/>
                    <a:moveTo>
                      <a:pt x="91" y="79"/>
                    </a:moveTo>
                    <a:lnTo>
                      <a:pt x="81" y="79"/>
                    </a:lnTo>
                    <a:lnTo>
                      <a:pt x="53" y="116"/>
                    </a:lnTo>
                    <a:lnTo>
                      <a:pt x="21" y="116"/>
                    </a:lnTo>
                    <a:lnTo>
                      <a:pt x="58" y="67"/>
                    </a:lnTo>
                    <a:lnTo>
                      <a:pt x="25" y="19"/>
                    </a:lnTo>
                    <a:lnTo>
                      <a:pt x="56" y="19"/>
                    </a:lnTo>
                    <a:lnTo>
                      <a:pt x="81" y="56"/>
                    </a:lnTo>
                    <a:lnTo>
                      <a:pt x="91" y="56"/>
                    </a:lnTo>
                    <a:lnTo>
                      <a:pt x="91" y="79"/>
                    </a:lnTo>
                    <a:close/>
                    <a:moveTo>
                      <a:pt x="170" y="116"/>
                    </a:moveTo>
                    <a:lnTo>
                      <a:pt x="143" y="79"/>
                    </a:lnTo>
                    <a:lnTo>
                      <a:pt x="125" y="79"/>
                    </a:lnTo>
                    <a:lnTo>
                      <a:pt x="125" y="116"/>
                    </a:lnTo>
                    <a:lnTo>
                      <a:pt x="99" y="116"/>
                    </a:lnTo>
                    <a:lnTo>
                      <a:pt x="99" y="19"/>
                    </a:lnTo>
                    <a:lnTo>
                      <a:pt x="125" y="19"/>
                    </a:lnTo>
                    <a:lnTo>
                      <a:pt x="125" y="56"/>
                    </a:lnTo>
                    <a:lnTo>
                      <a:pt x="143" y="56"/>
                    </a:lnTo>
                    <a:lnTo>
                      <a:pt x="167" y="19"/>
                    </a:lnTo>
                    <a:lnTo>
                      <a:pt x="199" y="19"/>
                    </a:lnTo>
                    <a:lnTo>
                      <a:pt x="164" y="67"/>
                    </a:lnTo>
                    <a:lnTo>
                      <a:pt x="202" y="116"/>
                    </a:lnTo>
                    <a:lnTo>
                      <a:pt x="170" y="116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  <xdr:sp macro="" textlink="">
          <xdr:nvSpPr>
            <xdr:cNvPr id="112" name="TextBox 111"/>
            <xdr:cNvSpPr txBox="1"/>
          </xdr:nvSpPr>
          <xdr:spPr>
            <a:xfrm>
              <a:off x="6343650" y="1992217"/>
              <a:ext cx="1280160" cy="2827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r>
                <a:rPr lang="en-US" sz="1800" b="1">
                  <a:solidFill>
                    <a:srgbClr val="EBEBEB"/>
                  </a:solidFill>
                </a:rPr>
                <a:t>Klout Score</a:t>
              </a:r>
            </a:p>
          </xdr:txBody>
        </xdr:sp>
        <xdr:grpSp>
          <xdr:nvGrpSpPr>
            <xdr:cNvPr id="197" name="Group 196"/>
            <xdr:cNvGrpSpPr/>
          </xdr:nvGrpSpPr>
          <xdr:grpSpPr>
            <a:xfrm>
              <a:off x="5391151" y="2543175"/>
              <a:ext cx="2335589" cy="962025"/>
              <a:chOff x="12801601" y="3505200"/>
              <a:chExt cx="2335589" cy="962025"/>
            </a:xfrm>
          </xdr:grpSpPr>
          <xdr:sp macro="" textlink="Calculations!E17">
            <xdr:nvSpPr>
              <xdr:cNvPr id="202" name="TextBox 201"/>
              <xdr:cNvSpPr txBox="1"/>
            </xdr:nvSpPr>
            <xdr:spPr>
              <a:xfrm>
                <a:off x="12842015" y="4038600"/>
                <a:ext cx="2295175" cy="4286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fld id="{DDAF1840-9C83-4909-A30A-7D6E5B391541}" type="TxLink">
                  <a:rPr lang="en-US" sz="1050" i="1">
                    <a:solidFill>
                      <a:srgbClr val="B4B4B4"/>
                    </a:solidFill>
                  </a:rPr>
                  <a:pPr algn="ctr"/>
                  <a:t>41% of your total followers are above the Worldwide Klout Score of 40.</a:t>
                </a:fld>
                <a:endParaRPr lang="en-US" sz="1050" i="1">
                  <a:solidFill>
                    <a:srgbClr val="B4B4B4"/>
                  </a:solidFill>
                </a:endParaRPr>
              </a:p>
            </xdr:txBody>
          </xdr:sp>
          <xdr:sp macro="" textlink="">
            <xdr:nvSpPr>
              <xdr:cNvPr id="203" name="TextBox 202"/>
              <xdr:cNvSpPr txBox="1"/>
            </xdr:nvSpPr>
            <xdr:spPr>
              <a:xfrm>
                <a:off x="12801601" y="3505200"/>
                <a:ext cx="1161288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91440" bIns="0" rtlCol="0" anchor="ctr"/>
              <a:lstStyle/>
              <a:p>
                <a:pPr algn="r"/>
                <a:r>
                  <a:rPr lang="en-US" sz="1100">
                    <a:solidFill>
                      <a:srgbClr val="DCDCDC"/>
                    </a:solidFill>
                  </a:rPr>
                  <a:t>You</a:t>
                </a:r>
              </a:p>
            </xdr:txBody>
          </xdr:sp>
          <xdr:sp macro="" textlink="Calculations!B17">
            <xdr:nvSpPr>
              <xdr:cNvPr id="204" name="TextBox 203"/>
              <xdr:cNvSpPr txBox="1"/>
            </xdr:nvSpPr>
            <xdr:spPr>
              <a:xfrm>
                <a:off x="12801601" y="3733800"/>
                <a:ext cx="1163314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91440" bIns="0" rtlCol="0" anchor="ctr"/>
              <a:lstStyle/>
              <a:p>
                <a:pPr algn="r"/>
                <a:fld id="{170F225B-B390-4884-A8D7-D3D52E466744}" type="TxLink">
                  <a:rPr lang="en-US" sz="1800" b="1">
                    <a:solidFill>
                      <a:srgbClr val="E14B26"/>
                    </a:solidFill>
                  </a:rPr>
                  <a:pPr algn="r"/>
                  <a:t>27.5</a:t>
                </a:fld>
                <a:endParaRPr lang="en-US" sz="1800" b="1">
                  <a:solidFill>
                    <a:srgbClr val="E14B26"/>
                  </a:solidFill>
                </a:endParaRPr>
              </a:p>
            </xdr:txBody>
          </xdr:sp>
          <xdr:sp macro="" textlink="">
            <xdr:nvSpPr>
              <xdr:cNvPr id="205" name="TextBox 204"/>
              <xdr:cNvSpPr txBox="1"/>
            </xdr:nvSpPr>
            <xdr:spPr>
              <a:xfrm>
                <a:off x="13973176" y="3505200"/>
                <a:ext cx="1161288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l"/>
                <a:r>
                  <a:rPr lang="en-US" sz="1100">
                    <a:solidFill>
                      <a:srgbClr val="DCDCDC"/>
                    </a:solidFill>
                  </a:rPr>
                  <a:t>Audience  (Avg)</a:t>
                </a:r>
              </a:p>
            </xdr:txBody>
          </xdr:sp>
          <xdr:sp macro="" textlink="Calculations!C17">
            <xdr:nvSpPr>
              <xdr:cNvPr id="206" name="TextBox 205"/>
              <xdr:cNvSpPr txBox="1"/>
            </xdr:nvSpPr>
            <xdr:spPr>
              <a:xfrm>
                <a:off x="13973176" y="3733800"/>
                <a:ext cx="1163314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l"/>
                <a:fld id="{8EA0A298-84B6-405F-9AC2-9A3AB9965255}" type="TxLink">
                  <a:rPr lang="en-US" sz="1800" b="1">
                    <a:solidFill>
                      <a:srgbClr val="E14B26"/>
                    </a:solidFill>
                  </a:rPr>
                  <a:pPr algn="l"/>
                  <a:t>33.5</a:t>
                </a:fld>
                <a:endParaRPr lang="en-US" sz="1800" b="1">
                  <a:solidFill>
                    <a:srgbClr val="E14B26"/>
                  </a:solidFill>
                </a:endParaRPr>
              </a:p>
            </xdr:txBody>
          </xdr:sp>
          <xdr:sp macro="" textlink="">
            <xdr:nvSpPr>
              <xdr:cNvPr id="207" name="Rectangle 206"/>
              <xdr:cNvSpPr/>
            </xdr:nvSpPr>
            <xdr:spPr>
              <a:xfrm>
                <a:off x="13963460" y="3590925"/>
                <a:ext cx="9144" cy="402336"/>
              </a:xfrm>
              <a:prstGeom prst="rect">
                <a:avLst/>
              </a:prstGeom>
              <a:solidFill>
                <a:srgbClr val="646464"/>
              </a:solidFill>
              <a:ln>
                <a:noFill/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108</xdr:row>
      <xdr:rowOff>104775</xdr:rowOff>
    </xdr:from>
    <xdr:to>
      <xdr:col>24</xdr:col>
      <xdr:colOff>0</xdr:colOff>
      <xdr:row>127</xdr:row>
      <xdr:rowOff>123825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24</xdr:col>
      <xdr:colOff>3175</xdr:colOff>
      <xdr:row>68</xdr:row>
      <xdr:rowOff>38100</xdr:rowOff>
    </xdr:to>
    <xdr:graphicFrame macro="">
      <xdr:nvGraphicFramePr>
        <xdr:cNvPr id="93" name="Chart 9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22</xdr:row>
      <xdr:rowOff>180975</xdr:rowOff>
    </xdr:from>
    <xdr:to>
      <xdr:col>24</xdr:col>
      <xdr:colOff>0</xdr:colOff>
      <xdr:row>42</xdr:row>
      <xdr:rowOff>46863</xdr:rowOff>
    </xdr:to>
    <xdr:grpSp>
      <xdr:nvGrpSpPr>
        <xdr:cNvPr id="10" name="Group 9"/>
        <xdr:cNvGrpSpPr/>
      </xdr:nvGrpSpPr>
      <xdr:grpSpPr>
        <a:xfrm>
          <a:off x="247650" y="3724275"/>
          <a:ext cx="11172825" cy="3675888"/>
          <a:chOff x="247650" y="3724275"/>
          <a:chExt cx="11172825" cy="3675888"/>
        </a:xfrm>
      </xdr:grpSpPr>
      <xdr:sp macro="" textlink="">
        <xdr:nvSpPr>
          <xdr:cNvPr id="126" name="Rounded Rectangle 125"/>
          <xdr:cNvSpPr/>
        </xdr:nvSpPr>
        <xdr:spPr>
          <a:xfrm>
            <a:off x="247650" y="3724275"/>
            <a:ext cx="11172825" cy="3675888"/>
          </a:xfrm>
          <a:prstGeom prst="roundRect">
            <a:avLst>
              <a:gd name="adj" fmla="val 0"/>
            </a:avLst>
          </a:prstGeom>
          <a:solidFill>
            <a:srgbClr val="262626"/>
          </a:solidFill>
          <a:ln w="19050">
            <a:solidFill>
              <a:srgbClr val="15151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3" name="Chart 2"/>
          <xdr:cNvGraphicFramePr/>
        </xdr:nvGraphicFramePr>
        <xdr:xfrm>
          <a:off x="247650" y="3742563"/>
          <a:ext cx="74168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pSp>
        <xdr:nvGrpSpPr>
          <xdr:cNvPr id="6" name="Group 5"/>
          <xdr:cNvGrpSpPr/>
        </xdr:nvGrpSpPr>
        <xdr:grpSpPr>
          <a:xfrm>
            <a:off x="7850436" y="3962400"/>
            <a:ext cx="3255714" cy="3209924"/>
            <a:chOff x="7850436" y="3962400"/>
            <a:chExt cx="3255714" cy="3209924"/>
          </a:xfrm>
        </xdr:grpSpPr>
        <xdr:grpSp>
          <xdr:nvGrpSpPr>
            <xdr:cNvPr id="15" name="Group 14"/>
            <xdr:cNvGrpSpPr/>
          </xdr:nvGrpSpPr>
          <xdr:grpSpPr>
            <a:xfrm>
              <a:off x="7858125" y="3962400"/>
              <a:ext cx="3236976" cy="3209924"/>
              <a:chOff x="7858125" y="3990975"/>
              <a:chExt cx="3236976" cy="3209924"/>
            </a:xfrm>
          </xdr:grpSpPr>
          <xdr:grpSp>
            <xdr:nvGrpSpPr>
              <xdr:cNvPr id="22" name="Group 21"/>
              <xdr:cNvGrpSpPr/>
            </xdr:nvGrpSpPr>
            <xdr:grpSpPr>
              <a:xfrm>
                <a:off x="7858125" y="3990975"/>
                <a:ext cx="3236976" cy="3200399"/>
                <a:chOff x="7858125" y="3981450"/>
                <a:chExt cx="3236976" cy="3200399"/>
              </a:xfrm>
            </xdr:grpSpPr>
            <xdr:sp macro="" textlink="">
              <xdr:nvSpPr>
                <xdr:cNvPr id="175" name="Rounded Rectangle 174"/>
                <xdr:cNvSpPr/>
              </xdr:nvSpPr>
              <xdr:spPr>
                <a:xfrm>
                  <a:off x="7858125" y="4257670"/>
                  <a:ext cx="3236976" cy="2924179"/>
                </a:xfrm>
                <a:prstGeom prst="roundRect">
                  <a:avLst>
                    <a:gd name="adj" fmla="val 0"/>
                  </a:avLst>
                </a:prstGeom>
                <a:solidFill>
                  <a:srgbClr val="151515"/>
                </a:solidFill>
                <a:ln w="12700">
                  <a:solidFill>
                    <a:srgbClr val="0F0F0F"/>
                  </a:solidFill>
                </a:ln>
                <a:effectLst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grpSp>
              <xdr:nvGrpSpPr>
                <xdr:cNvPr id="176" name="Group 175"/>
                <xdr:cNvGrpSpPr/>
              </xdr:nvGrpSpPr>
              <xdr:grpSpPr>
                <a:xfrm>
                  <a:off x="7858125" y="3981450"/>
                  <a:ext cx="3236976" cy="283845"/>
                  <a:chOff x="7896225" y="8267700"/>
                  <a:chExt cx="3236976" cy="283845"/>
                </a:xfrm>
              </xdr:grpSpPr>
              <xdr:sp macro="" textlink="">
                <xdr:nvSpPr>
                  <xdr:cNvPr id="183" name="TextBox 182"/>
                  <xdr:cNvSpPr txBox="1"/>
                </xdr:nvSpPr>
                <xdr:spPr>
                  <a:xfrm>
                    <a:off x="7896225" y="8267700"/>
                    <a:ext cx="3236976" cy="274320"/>
                  </a:xfrm>
                  <a:prstGeom prst="rect">
                    <a:avLst/>
                  </a:prstGeom>
                  <a:gradFill flip="none" rotWithShape="1">
                    <a:gsLst>
                      <a:gs pos="0">
                        <a:srgbClr val="32323C"/>
                      </a:gs>
                      <a:gs pos="100000">
                        <a:srgbClr val="41414B"/>
                      </a:gs>
                    </a:gsLst>
                    <a:lin ang="16200000" scaled="0"/>
                    <a:tileRect/>
                  </a:gradFill>
                  <a:ln w="12700" cmpd="sng">
                    <a:gradFill>
                      <a:gsLst>
                        <a:gs pos="0">
                          <a:srgbClr val="4E4E61"/>
                        </a:gs>
                        <a:gs pos="100000">
                          <a:srgbClr val="373741"/>
                        </a:gs>
                      </a:gsLst>
                      <a:lin ang="5400000" scaled="0"/>
                    </a:gradFill>
                  </a:ln>
                  <a:effectLst/>
                  <a:ex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lIns="182880" tIns="0" rIns="0" bIns="0" rtlCol="0" anchor="ctr"/>
                  <a:lstStyle/>
                  <a:p>
                    <a:pPr algn="l"/>
                    <a:r>
                      <a:rPr lang="en-US" sz="1200" b="1" baseline="0">
                        <a:solidFill>
                          <a:srgbClr val="151515"/>
                        </a:solidFill>
                        <a:latin typeface="Calibri"/>
                      </a:rPr>
                      <a:t>AUDIENCE SUMMARY</a:t>
                    </a:r>
                    <a:endParaRPr lang="en-US" sz="1200" b="1">
                      <a:solidFill>
                        <a:srgbClr val="151515"/>
                      </a:solidFill>
                      <a:latin typeface="Calibri"/>
                    </a:endParaRPr>
                  </a:p>
                </xdr:txBody>
              </xdr:sp>
              <xdr:sp macro="" textlink="">
                <xdr:nvSpPr>
                  <xdr:cNvPr id="184" name="TextBox 183"/>
                  <xdr:cNvSpPr txBox="1"/>
                </xdr:nvSpPr>
                <xdr:spPr>
                  <a:xfrm>
                    <a:off x="7896225" y="8277225"/>
                    <a:ext cx="2266950" cy="27432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  <a:effectLst/>
                  <a:ex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lIns="182880" tIns="0" rIns="0" bIns="0" rtlCol="0" anchor="ctr"/>
                  <a:lstStyle/>
                  <a:p>
                    <a:pPr algn="l"/>
                    <a:r>
                      <a:rPr lang="en-US" sz="1200" b="1">
                        <a:solidFill>
                          <a:srgbClr val="D2D2D2"/>
                        </a:solidFill>
                        <a:latin typeface="Calibri"/>
                      </a:rPr>
                      <a:t>AUDIENCE SUMMARY</a:t>
                    </a:r>
                  </a:p>
                </xdr:txBody>
              </xdr:sp>
            </xdr:grpSp>
          </xdr:grpSp>
          <xdr:cxnSp macro="">
            <xdr:nvCxnSpPr>
              <xdr:cNvPr id="186" name="Straight Connector 185"/>
              <xdr:cNvCxnSpPr/>
            </xdr:nvCxnSpPr>
            <xdr:spPr>
              <a:xfrm>
                <a:off x="7858125" y="7200899"/>
                <a:ext cx="3236976" cy="0"/>
              </a:xfrm>
              <a:prstGeom prst="line">
                <a:avLst/>
              </a:prstGeom>
              <a:ln w="12700">
                <a:solidFill>
                  <a:srgbClr val="3E3E3E"/>
                </a:solidFill>
              </a:ln>
              <a:effectLst/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49" name="Group 148"/>
              <xdr:cNvGrpSpPr/>
            </xdr:nvGrpSpPr>
            <xdr:grpSpPr>
              <a:xfrm>
                <a:off x="8036433" y="5219700"/>
                <a:ext cx="2880360" cy="9525"/>
                <a:chOff x="11972925" y="5438775"/>
                <a:chExt cx="2743200" cy="9525"/>
              </a:xfrm>
            </xdr:grpSpPr>
            <xdr:cxnSp macro="">
              <xdr:nvCxnSpPr>
                <xdr:cNvPr id="150" name="Straight Connector 149"/>
                <xdr:cNvCxnSpPr/>
              </xdr:nvCxnSpPr>
              <xdr:spPr>
                <a:xfrm>
                  <a:off x="11972925" y="5438775"/>
                  <a:ext cx="2743200" cy="0"/>
                </a:xfrm>
                <a:prstGeom prst="line">
                  <a:avLst/>
                </a:prstGeom>
                <a:ln w="12700">
                  <a:solidFill>
                    <a:srgbClr val="2A2A2A"/>
                  </a:solidFill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1" name="Straight Connector 150"/>
                <xdr:cNvCxnSpPr/>
              </xdr:nvCxnSpPr>
              <xdr:spPr>
                <a:xfrm>
                  <a:off x="11972925" y="5448300"/>
                  <a:ext cx="2743200" cy="0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5" name="Group 4"/>
            <xdr:cNvGrpSpPr/>
          </xdr:nvGrpSpPr>
          <xdr:grpSpPr>
            <a:xfrm>
              <a:off x="7850436" y="4322185"/>
              <a:ext cx="3255714" cy="2718694"/>
              <a:chOff x="7850436" y="4322185"/>
              <a:chExt cx="3255714" cy="2718694"/>
            </a:xfrm>
          </xdr:grpSpPr>
          <xdr:sp macro="" textlink="Calculations!A24">
            <xdr:nvSpPr>
              <xdr:cNvPr id="135" name="TextBox 134"/>
              <xdr:cNvSpPr txBox="1"/>
            </xdr:nvSpPr>
            <xdr:spPr>
              <a:xfrm>
                <a:off x="8031861" y="5291337"/>
                <a:ext cx="2889504" cy="640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ctr"/>
                <a:fld id="{463F3BA0-4335-4FAA-9E37-D6FEB77C21EC}" type="TxLink">
                  <a:rPr lang="en-US" sz="1100" i="1">
                    <a:solidFill>
                      <a:srgbClr val="B4B4B4"/>
                    </a:solidFill>
                  </a:rPr>
                  <a:pPr algn="ctr"/>
                  <a:t>On average, your audience is followed by 5,952 people and follows 3,430 people.</a:t>
                </a:fld>
                <a:endParaRPr lang="en-US" sz="1100" i="1">
                  <a:solidFill>
                    <a:srgbClr val="B4B4B4"/>
                  </a:solidFill>
                </a:endParaRPr>
              </a:p>
            </xdr:txBody>
          </xdr:sp>
          <xdr:sp macro="" textlink="Calculations!A22">
            <xdr:nvSpPr>
              <xdr:cNvPr id="122" name="TextBox 121"/>
              <xdr:cNvSpPr txBox="1"/>
            </xdr:nvSpPr>
            <xdr:spPr>
              <a:xfrm>
                <a:off x="7850436" y="4322185"/>
                <a:ext cx="1828800" cy="43295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fld id="{B27CD631-5A47-41D0-8FA9-9FE7B19902BA}" type="TxLink">
                  <a:rPr lang="en-US" sz="2400" b="1">
                    <a:solidFill>
                      <a:srgbClr val="92B7E3"/>
                    </a:solidFill>
                  </a:rPr>
                  <a:pPr algn="ctr"/>
                  <a:t>150</a:t>
                </a:fld>
                <a:endParaRPr lang="en-US" sz="2400" b="1">
                  <a:solidFill>
                    <a:srgbClr val="92B7E3"/>
                  </a:solidFill>
                </a:endParaRPr>
              </a:p>
            </xdr:txBody>
          </xdr:sp>
          <xdr:sp macro="" textlink="">
            <xdr:nvSpPr>
              <xdr:cNvPr id="127" name="TextBox 126"/>
              <xdr:cNvSpPr txBox="1"/>
            </xdr:nvSpPr>
            <xdr:spPr>
              <a:xfrm>
                <a:off x="7851648" y="4676775"/>
                <a:ext cx="1828800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r>
                  <a:rPr lang="en-US" sz="1100" b="1">
                    <a:solidFill>
                      <a:srgbClr val="DCDCDC"/>
                    </a:solidFill>
                  </a:rPr>
                  <a:t>Followers</a:t>
                </a:r>
              </a:p>
            </xdr:txBody>
          </xdr:sp>
          <xdr:sp macro="" textlink="Calculations!A25">
            <xdr:nvSpPr>
              <xdr:cNvPr id="129" name="TextBox 128"/>
              <xdr:cNvSpPr txBox="1"/>
            </xdr:nvSpPr>
            <xdr:spPr>
              <a:xfrm>
                <a:off x="8029852" y="5841105"/>
                <a:ext cx="2889504" cy="640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ctr"/>
                <a:fld id="{48339AAB-4B35-4AC6-B94F-4DF27514BCD0}" type="TxLink">
                  <a:rPr lang="en-US" sz="1100" i="1">
                    <a:solidFill>
                      <a:srgbClr val="B4B4B4"/>
                    </a:solidFill>
                  </a:rPr>
                  <a:pPr algn="ctr"/>
                  <a:t>33% of your audience has between 0 and 100 followers.</a:t>
                </a:fld>
                <a:endParaRPr lang="en-US" sz="1100" i="1">
                  <a:solidFill>
                    <a:srgbClr val="B4B4B4"/>
                  </a:solidFill>
                </a:endParaRPr>
              </a:p>
            </xdr:txBody>
          </xdr:sp>
          <xdr:sp macro="" textlink="Calculations!A26">
            <xdr:nvSpPr>
              <xdr:cNvPr id="131" name="TextBox 130"/>
              <xdr:cNvSpPr txBox="1"/>
            </xdr:nvSpPr>
            <xdr:spPr>
              <a:xfrm>
                <a:off x="8031861" y="6400799"/>
                <a:ext cx="2889504" cy="640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91440" tIns="0" rIns="0" bIns="0" rtlCol="0" anchor="ctr"/>
              <a:lstStyle/>
              <a:p>
                <a:pPr algn="ctr"/>
                <a:fld id="{C6622470-1C55-411F-BB44-E8AB236C528E}" type="TxLink">
                  <a:rPr lang="en-US" sz="1100" i="1">
                    <a:solidFill>
                      <a:srgbClr val="B4B4B4"/>
                    </a:solidFill>
                  </a:rPr>
                  <a:pPr algn="ctr"/>
                  <a:t>Your audience is included in other Twitter users' lists an average of 135 times. The top 1% has been listed an average of 3,832 times.</a:t>
                </a:fld>
                <a:endParaRPr lang="en-US" sz="1100" i="1">
                  <a:solidFill>
                    <a:srgbClr val="B4B4B4"/>
                  </a:solidFill>
                </a:endParaRPr>
              </a:p>
            </xdr:txBody>
          </xdr:sp>
          <xdr:sp macro="" textlink="Calculations!A23">
            <xdr:nvSpPr>
              <xdr:cNvPr id="148" name="TextBox 147"/>
              <xdr:cNvSpPr txBox="1"/>
            </xdr:nvSpPr>
            <xdr:spPr>
              <a:xfrm>
                <a:off x="9258300" y="4324350"/>
                <a:ext cx="1828800" cy="43295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fld id="{FD2C686F-B843-4DD7-994E-B7BCCD94022E}" type="TxLink">
                  <a:rPr lang="en-US" sz="2400" b="1">
                    <a:solidFill>
                      <a:srgbClr val="92B7E3"/>
                    </a:solidFill>
                  </a:rPr>
                  <a:pPr algn="ctr"/>
                  <a:t>150</a:t>
                </a:fld>
                <a:endParaRPr lang="en-US" sz="2400" b="1">
                  <a:solidFill>
                    <a:srgbClr val="92B7E3"/>
                  </a:solidFill>
                </a:endParaRPr>
              </a:p>
            </xdr:txBody>
          </xdr:sp>
          <xdr:sp macro="" textlink="">
            <xdr:nvSpPr>
              <xdr:cNvPr id="155" name="TextBox 154"/>
              <xdr:cNvSpPr txBox="1"/>
            </xdr:nvSpPr>
            <xdr:spPr>
              <a:xfrm>
                <a:off x="9259512" y="4688465"/>
                <a:ext cx="1828800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r>
                  <a:rPr lang="en-US" sz="1100" b="1">
                    <a:solidFill>
                      <a:srgbClr val="DCDCDC"/>
                    </a:solidFill>
                  </a:rPr>
                  <a:t>Followers in this Report</a:t>
                </a:r>
              </a:p>
            </xdr:txBody>
          </xdr:sp>
          <xdr:sp macro="" textlink="Calculations!B23">
            <xdr:nvSpPr>
              <xdr:cNvPr id="156" name="TextBox 155"/>
              <xdr:cNvSpPr txBox="1"/>
            </xdr:nvSpPr>
            <xdr:spPr>
              <a:xfrm>
                <a:off x="9277350" y="4857750"/>
                <a:ext cx="1828800" cy="28276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fld id="{4F31F978-D4BD-4C2D-A601-BE1BBB7AE6C2}" type="TxLink">
                  <a:rPr lang="en-US" sz="900" b="0">
                    <a:solidFill>
                      <a:srgbClr val="DCDCDC"/>
                    </a:solidFill>
                  </a:rPr>
                  <a:pPr algn="ctr"/>
                  <a:t> </a:t>
                </a:fld>
                <a:endParaRPr lang="en-US" sz="900" b="0">
                  <a:solidFill>
                    <a:srgbClr val="DCDCDC"/>
                  </a:solidFill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Simply Measured">
  <a:themeElements>
    <a:clrScheme name="Simply Measured MAIN">
      <a:dk1>
        <a:srgbClr val="151515"/>
      </a:dk1>
      <a:lt1>
        <a:srgbClr val="E8E8E8"/>
      </a:lt1>
      <a:dk2>
        <a:srgbClr val="224F85"/>
      </a:dk2>
      <a:lt2>
        <a:srgbClr val="3B7AC6"/>
      </a:lt2>
      <a:accent1>
        <a:srgbClr val="40B0FF"/>
      </a:accent1>
      <a:accent2>
        <a:srgbClr val="6BB6F3"/>
      </a:accent2>
      <a:accent3>
        <a:srgbClr val="A1132E"/>
      </a:accent3>
      <a:accent4>
        <a:srgbClr val="7030A0"/>
      </a:accent4>
      <a:accent5>
        <a:srgbClr val="FF6600"/>
      </a:accent5>
      <a:accent6>
        <a:srgbClr val="FFFF00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Custom 2">
    <a:dk1>
      <a:srgbClr val="0C0C0C"/>
    </a:dk1>
    <a:lt1>
      <a:srgbClr val="FFFFFF"/>
    </a:lt1>
    <a:dk2>
      <a:srgbClr val="014A98"/>
    </a:dk2>
    <a:lt2>
      <a:srgbClr val="A8D2FE"/>
    </a:lt2>
    <a:accent1>
      <a:srgbClr val="D7EAFD"/>
    </a:accent1>
    <a:accent2>
      <a:srgbClr val="F8FAFF"/>
    </a:accent2>
    <a:accent3>
      <a:srgbClr val="FEFF86"/>
    </a:accent3>
    <a:accent4>
      <a:srgbClr val="FEFFBC"/>
    </a:accent4>
    <a:accent5>
      <a:srgbClr val="00B0F0"/>
    </a:accent5>
    <a:accent6>
      <a:srgbClr val="43CEFF"/>
    </a:accent6>
    <a:hlink>
      <a:srgbClr val="C5F0FF"/>
    </a:hlink>
    <a:folHlink>
      <a:srgbClr val="FDF709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Apex">
    <a:fillStyleLst>
      <a:solidFill>
        <a:schemeClr val="phClr"/>
      </a:solidFill>
      <a:gradFill rotWithShape="1">
        <a:gsLst>
          <a:gs pos="20000">
            <a:schemeClr val="phClr">
              <a:tint val="9000"/>
            </a:schemeClr>
          </a:gs>
          <a:gs pos="100000">
            <a:schemeClr val="phClr">
              <a:tint val="70000"/>
              <a:satMod val="100000"/>
            </a:schemeClr>
          </a:gs>
        </a:gsLst>
        <a:path path="circle">
          <a:fillToRect l="-15000" t="-15000" r="115000" b="115000"/>
        </a:path>
      </a:gradFill>
      <a:gradFill rotWithShape="1">
        <a:gsLst>
          <a:gs pos="0">
            <a:schemeClr val="phClr">
              <a:shade val="60000"/>
            </a:schemeClr>
          </a:gs>
          <a:gs pos="33000">
            <a:schemeClr val="phClr">
              <a:tint val="86500"/>
            </a:schemeClr>
          </a:gs>
          <a:gs pos="46750">
            <a:schemeClr val="phClr">
              <a:tint val="71000"/>
              <a:satMod val="112000"/>
            </a:schemeClr>
          </a:gs>
          <a:gs pos="53000">
            <a:schemeClr val="phClr">
              <a:tint val="71000"/>
              <a:satMod val="112000"/>
            </a:schemeClr>
          </a:gs>
          <a:gs pos="68000">
            <a:schemeClr val="phClr">
              <a:tint val="86000"/>
            </a:schemeClr>
          </a:gs>
          <a:gs pos="100000">
            <a:schemeClr val="phClr">
              <a:shade val="60000"/>
            </a:schemeClr>
          </a:gs>
        </a:gsLst>
        <a:lin ang="8350000" scaled="1"/>
      </a:gradFill>
    </a:fillStyleLst>
    <a:lnStyleLst>
      <a:ln w="9525" cap="flat" cmpd="sng" algn="ctr">
        <a:solidFill>
          <a:schemeClr val="phClr">
            <a:shade val="48000"/>
            <a:satMod val="110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130000" dist="101600" dir="2700000" algn="tl" rotWithShape="0">
            <a:srgbClr val="000000">
              <a:alpha val="35000"/>
            </a:srgbClr>
          </a:outerShdw>
        </a:effectLst>
      </a:effectStyle>
      <a:effectStyle>
        <a:effectLst>
          <a:outerShdw blurRad="190500" dist="228600" dir="2700000" sy="90000" rotWithShape="0">
            <a:srgbClr val="000000">
              <a:alpha val="25500"/>
            </a:srgbClr>
          </a:outerShdw>
        </a:effectLst>
      </a:effectStyle>
      <a:effectStyle>
        <a:effectLst>
          <a:outerShdw blurRad="190500" dist="228600" dir="2700000" sy="90000" rotWithShape="0">
            <a:srgbClr val="000000">
              <a:alpha val="25500"/>
            </a:srgbClr>
          </a:outerShdw>
        </a:effectLst>
        <a:scene3d>
          <a:camera prst="orthographicFront" fov="0">
            <a:rot lat="0" lon="0" rev="0"/>
          </a:camera>
          <a:lightRig rig="soft" dir="tl">
            <a:rot lat="0" lon="0" rev="20100000"/>
          </a:lightRig>
        </a:scene3d>
        <a:sp3d>
          <a:bevelT w="50800" h="508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Custom 2">
    <a:dk1>
      <a:srgbClr val="0C0C0C"/>
    </a:dk1>
    <a:lt1>
      <a:srgbClr val="FFFFFF"/>
    </a:lt1>
    <a:dk2>
      <a:srgbClr val="014A98"/>
    </a:dk2>
    <a:lt2>
      <a:srgbClr val="A8D2FE"/>
    </a:lt2>
    <a:accent1>
      <a:srgbClr val="D7EAFD"/>
    </a:accent1>
    <a:accent2>
      <a:srgbClr val="F8FAFF"/>
    </a:accent2>
    <a:accent3>
      <a:srgbClr val="FEFF86"/>
    </a:accent3>
    <a:accent4>
      <a:srgbClr val="FEFFBC"/>
    </a:accent4>
    <a:accent5>
      <a:srgbClr val="00B0F0"/>
    </a:accent5>
    <a:accent6>
      <a:srgbClr val="43CEFF"/>
    </a:accent6>
    <a:hlink>
      <a:srgbClr val="C5F0FF"/>
    </a:hlink>
    <a:folHlink>
      <a:srgbClr val="FDF709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Apex">
    <a:fillStyleLst>
      <a:solidFill>
        <a:schemeClr val="phClr"/>
      </a:solidFill>
      <a:gradFill rotWithShape="1">
        <a:gsLst>
          <a:gs pos="20000">
            <a:schemeClr val="phClr">
              <a:tint val="9000"/>
            </a:schemeClr>
          </a:gs>
          <a:gs pos="100000">
            <a:schemeClr val="phClr">
              <a:tint val="70000"/>
              <a:satMod val="100000"/>
            </a:schemeClr>
          </a:gs>
        </a:gsLst>
        <a:path path="circle">
          <a:fillToRect l="-15000" t="-15000" r="115000" b="115000"/>
        </a:path>
      </a:gradFill>
      <a:gradFill rotWithShape="1">
        <a:gsLst>
          <a:gs pos="0">
            <a:schemeClr val="phClr">
              <a:shade val="60000"/>
            </a:schemeClr>
          </a:gs>
          <a:gs pos="33000">
            <a:schemeClr val="phClr">
              <a:tint val="86500"/>
            </a:schemeClr>
          </a:gs>
          <a:gs pos="46750">
            <a:schemeClr val="phClr">
              <a:tint val="71000"/>
              <a:satMod val="112000"/>
            </a:schemeClr>
          </a:gs>
          <a:gs pos="53000">
            <a:schemeClr val="phClr">
              <a:tint val="71000"/>
              <a:satMod val="112000"/>
            </a:schemeClr>
          </a:gs>
          <a:gs pos="68000">
            <a:schemeClr val="phClr">
              <a:tint val="86000"/>
            </a:schemeClr>
          </a:gs>
          <a:gs pos="100000">
            <a:schemeClr val="phClr">
              <a:shade val="60000"/>
            </a:schemeClr>
          </a:gs>
        </a:gsLst>
        <a:lin ang="8350000" scaled="1"/>
      </a:gradFill>
    </a:fillStyleLst>
    <a:lnStyleLst>
      <a:ln w="9525" cap="flat" cmpd="sng" algn="ctr">
        <a:solidFill>
          <a:schemeClr val="phClr">
            <a:shade val="48000"/>
            <a:satMod val="110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130000" dist="101600" dir="2700000" algn="tl" rotWithShape="0">
            <a:srgbClr val="000000">
              <a:alpha val="35000"/>
            </a:srgbClr>
          </a:outerShdw>
        </a:effectLst>
      </a:effectStyle>
      <a:effectStyle>
        <a:effectLst>
          <a:outerShdw blurRad="190500" dist="228600" dir="2700000" sy="90000" rotWithShape="0">
            <a:srgbClr val="000000">
              <a:alpha val="25500"/>
            </a:srgbClr>
          </a:outerShdw>
        </a:effectLst>
      </a:effectStyle>
      <a:effectStyle>
        <a:effectLst>
          <a:outerShdw blurRad="190500" dist="228600" dir="2700000" sy="90000" rotWithShape="0">
            <a:srgbClr val="000000">
              <a:alpha val="25500"/>
            </a:srgbClr>
          </a:outerShdw>
        </a:effectLst>
        <a:scene3d>
          <a:camera prst="orthographicFront" fov="0">
            <a:rot lat="0" lon="0" rev="0"/>
          </a:camera>
          <a:lightRig rig="soft" dir="tl">
            <a:rot lat="0" lon="0" rev="20100000"/>
          </a:lightRig>
        </a:scene3d>
        <a:sp3d>
          <a:bevelT w="50800" h="508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Custom 2">
    <a:dk1>
      <a:srgbClr val="0C0C0C"/>
    </a:dk1>
    <a:lt1>
      <a:srgbClr val="FFFFFF"/>
    </a:lt1>
    <a:dk2>
      <a:srgbClr val="014A98"/>
    </a:dk2>
    <a:lt2>
      <a:srgbClr val="A8D2FE"/>
    </a:lt2>
    <a:accent1>
      <a:srgbClr val="D7EAFD"/>
    </a:accent1>
    <a:accent2>
      <a:srgbClr val="F8FAFF"/>
    </a:accent2>
    <a:accent3>
      <a:srgbClr val="FEFF86"/>
    </a:accent3>
    <a:accent4>
      <a:srgbClr val="FEFFBC"/>
    </a:accent4>
    <a:accent5>
      <a:srgbClr val="00B0F0"/>
    </a:accent5>
    <a:accent6>
      <a:srgbClr val="43CEFF"/>
    </a:accent6>
    <a:hlink>
      <a:srgbClr val="C5F0FF"/>
    </a:hlink>
    <a:folHlink>
      <a:srgbClr val="FDF709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Apex">
    <a:fillStyleLst>
      <a:solidFill>
        <a:schemeClr val="phClr"/>
      </a:solidFill>
      <a:gradFill rotWithShape="1">
        <a:gsLst>
          <a:gs pos="20000">
            <a:schemeClr val="phClr">
              <a:tint val="9000"/>
            </a:schemeClr>
          </a:gs>
          <a:gs pos="100000">
            <a:schemeClr val="phClr">
              <a:tint val="70000"/>
              <a:satMod val="100000"/>
            </a:schemeClr>
          </a:gs>
        </a:gsLst>
        <a:path path="circle">
          <a:fillToRect l="-15000" t="-15000" r="115000" b="115000"/>
        </a:path>
      </a:gradFill>
      <a:gradFill rotWithShape="1">
        <a:gsLst>
          <a:gs pos="0">
            <a:schemeClr val="phClr">
              <a:shade val="60000"/>
            </a:schemeClr>
          </a:gs>
          <a:gs pos="33000">
            <a:schemeClr val="phClr">
              <a:tint val="86500"/>
            </a:schemeClr>
          </a:gs>
          <a:gs pos="46750">
            <a:schemeClr val="phClr">
              <a:tint val="71000"/>
              <a:satMod val="112000"/>
            </a:schemeClr>
          </a:gs>
          <a:gs pos="53000">
            <a:schemeClr val="phClr">
              <a:tint val="71000"/>
              <a:satMod val="112000"/>
            </a:schemeClr>
          </a:gs>
          <a:gs pos="68000">
            <a:schemeClr val="phClr">
              <a:tint val="86000"/>
            </a:schemeClr>
          </a:gs>
          <a:gs pos="100000">
            <a:schemeClr val="phClr">
              <a:shade val="60000"/>
            </a:schemeClr>
          </a:gs>
        </a:gsLst>
        <a:lin ang="8350000" scaled="1"/>
      </a:gradFill>
    </a:fillStyleLst>
    <a:lnStyleLst>
      <a:ln w="9525" cap="flat" cmpd="sng" algn="ctr">
        <a:solidFill>
          <a:schemeClr val="phClr">
            <a:shade val="48000"/>
            <a:satMod val="110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130000" dist="101600" dir="2700000" algn="tl" rotWithShape="0">
            <a:srgbClr val="000000">
              <a:alpha val="35000"/>
            </a:srgbClr>
          </a:outerShdw>
        </a:effectLst>
      </a:effectStyle>
      <a:effectStyle>
        <a:effectLst>
          <a:outerShdw blurRad="190500" dist="228600" dir="2700000" sy="90000" rotWithShape="0">
            <a:srgbClr val="000000">
              <a:alpha val="25500"/>
            </a:srgbClr>
          </a:outerShdw>
        </a:effectLst>
      </a:effectStyle>
      <a:effectStyle>
        <a:effectLst>
          <a:outerShdw blurRad="190500" dist="228600" dir="2700000" sy="90000" rotWithShape="0">
            <a:srgbClr val="000000">
              <a:alpha val="25500"/>
            </a:srgbClr>
          </a:outerShdw>
        </a:effectLst>
        <a:scene3d>
          <a:camera prst="orthographicFront" fov="0">
            <a:rot lat="0" lon="0" rev="0"/>
          </a:camera>
          <a:lightRig rig="soft" dir="tl">
            <a:rot lat="0" lon="0" rev="20100000"/>
          </a:lightRig>
        </a:scene3d>
        <a:sp3d>
          <a:bevelT w="50800" h="508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173"/>
  <sheetViews>
    <sheetView showGridLines="0" tabSelected="1" zoomScaleNormal="100" workbookViewId="0">
      <pane ySplit="4" topLeftCell="A5" activePane="bottomLeft" state="frozen"/>
      <selection pane="bottomLeft" activeCell="N3" sqref="N3"/>
    </sheetView>
  </sheetViews>
  <sheetFormatPr defaultColWidth="8.85546875" defaultRowHeight="15" outlineLevelRow="1" x14ac:dyDescent="0.25"/>
  <cols>
    <col min="1" max="1" width="3.7109375" style="160" customWidth="1"/>
    <col min="2" max="7" width="7.85546875" style="160" customWidth="1"/>
    <col min="8" max="8" width="8.5703125" style="160" customWidth="1"/>
    <col min="9" max="10" width="8.5703125" style="163" customWidth="1"/>
    <col min="11" max="12" width="8.7109375" style="160" customWidth="1"/>
    <col min="13" max="13" width="0.85546875" style="160" customWidth="1"/>
    <col min="14" max="14" width="8.5703125" style="160" customWidth="1"/>
    <col min="15" max="15" width="0.85546875" style="160" customWidth="1"/>
    <col min="16" max="19" width="7.85546875" style="160" customWidth="1"/>
    <col min="20" max="20" width="2.140625" style="160" customWidth="1"/>
    <col min="21" max="22" width="7.85546875" style="160" customWidth="1"/>
    <col min="23" max="51" width="8.85546875" style="160"/>
  </cols>
  <sheetData>
    <row r="1" spans="1:51" s="17" customFormat="1" ht="12.75" customHeight="1" x14ac:dyDescent="0.25">
      <c r="A1" s="267" t="str">
        <f ca="1">IFERROR(IF(INFO("SYSTEM")="pcdos", IF(INT(LEFT(INFO("RELEASE"), LEN(INFO("RELEASE"))-2))&lt;12,"WARNING: YOU MAY BE USING A VERSION OF MICROSOFT EXCEL THAT WE DO NOT SUPPORT.", ""), IF(INT(LEFT(INFO("RELEASE"), LEN(INFO("RELEASE"))-2))&lt;14,"WARNING: YOU MAY BE USING A VERSION OF MICROSOFT EXCEL THAT WE DO NOT SUPPORT.", "")), "")</f>
        <v/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</row>
    <row r="2" spans="1:51" s="15" customFormat="1" ht="11.25" customHeight="1" x14ac:dyDescent="0.25">
      <c r="G2" s="270"/>
      <c r="H2" s="270"/>
      <c r="I2" s="270"/>
      <c r="J2" s="270"/>
      <c r="K2" s="45"/>
      <c r="L2" s="270"/>
      <c r="M2" s="270"/>
      <c r="N2" s="270"/>
      <c r="O2" s="270"/>
      <c r="P2" s="45"/>
      <c r="Q2" s="16"/>
      <c r="R2" s="270" t="s">
        <v>342</v>
      </c>
      <c r="S2" s="270"/>
      <c r="T2" s="270"/>
      <c r="U2" s="270"/>
      <c r="V2" s="270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</row>
    <row r="3" spans="1:51" s="13" customFormat="1" ht="17.25" customHeight="1" x14ac:dyDescent="0.25">
      <c r="G3" s="14"/>
      <c r="H3" s="14">
        <f>Controls!E32</f>
        <v>42775</v>
      </c>
      <c r="I3" s="14"/>
      <c r="J3" s="14"/>
      <c r="K3" s="14">
        <f>Controls!F32</f>
        <v>42782</v>
      </c>
      <c r="L3" s="56"/>
      <c r="M3" s="56"/>
      <c r="N3" s="205" t="str">
        <f>Controls!H32</f>
        <v>Daily</v>
      </c>
      <c r="O3" s="56"/>
      <c r="P3" s="14"/>
      <c r="S3" s="284" t="str">
        <f>HYPERLINK(Controls!C37,"View on Web")</f>
        <v>View on Web</v>
      </c>
      <c r="T3" s="285"/>
      <c r="U3" s="285"/>
    </row>
    <row r="4" spans="1:51" s="12" customFormat="1" ht="12.75" customHeight="1" x14ac:dyDescent="0.25"/>
    <row r="5" spans="1:51" ht="7.5" hidden="1" customHeight="1" outlineLevel="1" x14ac:dyDescent="0.25">
      <c r="A5" s="8"/>
      <c r="B5" s="1"/>
      <c r="C5" s="1"/>
      <c r="D5" s="1"/>
      <c r="E5" s="46"/>
      <c r="F5" s="47"/>
      <c r="G5" s="47"/>
      <c r="H5" s="47"/>
      <c r="I5" s="48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/>
      <c r="AX5"/>
      <c r="AY5"/>
    </row>
    <row r="6" spans="1:51" ht="15.75" hidden="1" outlineLevel="1" x14ac:dyDescent="0.25">
      <c r="A6" s="8"/>
      <c r="B6" s="1"/>
      <c r="C6" s="1"/>
      <c r="D6" s="1"/>
      <c r="E6" s="51"/>
      <c r="F6" s="11"/>
      <c r="G6" s="10" t="s">
        <v>398</v>
      </c>
      <c r="H6" s="268" t="s">
        <v>341</v>
      </c>
      <c r="I6" s="269"/>
      <c r="J6" s="9"/>
      <c r="K6" s="5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/>
      <c r="AX6"/>
      <c r="AY6"/>
    </row>
    <row r="7" spans="1:51" ht="7.5" hidden="1" customHeight="1" outlineLevel="1" x14ac:dyDescent="0.25">
      <c r="A7" s="8"/>
      <c r="B7" s="1"/>
      <c r="C7" s="1"/>
      <c r="D7" s="1"/>
      <c r="E7" s="53"/>
      <c r="F7" s="54"/>
      <c r="G7" s="54"/>
      <c r="H7" s="54"/>
      <c r="I7" s="54"/>
      <c r="J7" s="54"/>
      <c r="K7" s="5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/>
      <c r="AX7"/>
      <c r="AY7"/>
    </row>
    <row r="8" spans="1:51" collapsed="1" x14ac:dyDescent="0.25">
      <c r="A8" s="8"/>
      <c r="B8" s="161"/>
      <c r="C8" s="162"/>
      <c r="I8" s="160"/>
      <c r="J8" s="160"/>
    </row>
    <row r="9" spans="1:51" x14ac:dyDescent="0.25">
      <c r="B9" s="161"/>
      <c r="C9" s="162"/>
      <c r="I9" s="160"/>
      <c r="J9" s="160"/>
    </row>
    <row r="10" spans="1:51" x14ac:dyDescent="0.25">
      <c r="B10" s="161"/>
      <c r="C10" s="162"/>
      <c r="I10" s="160"/>
      <c r="J10" s="160"/>
      <c r="Y10" s="194"/>
    </row>
    <row r="11" spans="1:51" x14ac:dyDescent="0.25">
      <c r="B11" s="161"/>
      <c r="C11" s="162"/>
      <c r="I11" s="160"/>
      <c r="J11" s="160"/>
      <c r="Y11" s="194"/>
    </row>
    <row r="12" spans="1:51" x14ac:dyDescent="0.25">
      <c r="B12" s="161"/>
      <c r="C12" s="162"/>
      <c r="I12" s="160"/>
      <c r="J12" s="160"/>
    </row>
    <row r="13" spans="1:51" x14ac:dyDescent="0.25">
      <c r="B13" s="161"/>
      <c r="C13" s="162"/>
      <c r="I13" s="160"/>
      <c r="J13" s="160"/>
      <c r="Y13" s="195"/>
    </row>
    <row r="14" spans="1:51" x14ac:dyDescent="0.25">
      <c r="B14" s="161"/>
      <c r="C14" s="162"/>
      <c r="I14" s="160"/>
      <c r="J14" s="160"/>
    </row>
    <row r="15" spans="1:51" x14ac:dyDescent="0.25">
      <c r="B15" s="161"/>
      <c r="C15" s="162"/>
      <c r="I15" s="160"/>
      <c r="J15" s="160"/>
    </row>
    <row r="16" spans="1:51" x14ac:dyDescent="0.25">
      <c r="B16" s="161"/>
      <c r="C16" s="162"/>
      <c r="I16" s="160"/>
      <c r="J16" s="160"/>
    </row>
    <row r="17" spans="2:10" x14ac:dyDescent="0.25">
      <c r="B17" s="161"/>
      <c r="C17" s="162"/>
      <c r="I17" s="160"/>
      <c r="J17" s="160"/>
    </row>
    <row r="18" spans="2:10" x14ac:dyDescent="0.25">
      <c r="B18" s="161"/>
      <c r="C18" s="162"/>
      <c r="I18" s="160"/>
      <c r="J18" s="160"/>
    </row>
    <row r="19" spans="2:10" x14ac:dyDescent="0.25">
      <c r="B19" s="161"/>
      <c r="C19" s="162"/>
      <c r="I19" s="160"/>
      <c r="J19" s="160"/>
    </row>
    <row r="20" spans="2:10" x14ac:dyDescent="0.25">
      <c r="B20" s="161"/>
      <c r="C20" s="162"/>
      <c r="I20" s="160"/>
      <c r="J20" s="160"/>
    </row>
    <row r="21" spans="2:10" x14ac:dyDescent="0.25">
      <c r="B21" s="161"/>
      <c r="C21" s="162"/>
      <c r="I21" s="160"/>
      <c r="J21" s="160"/>
    </row>
    <row r="22" spans="2:10" x14ac:dyDescent="0.25">
      <c r="B22" s="161"/>
      <c r="C22" s="162"/>
      <c r="I22" s="160"/>
      <c r="J22" s="160"/>
    </row>
    <row r="23" spans="2:10" x14ac:dyDescent="0.25">
      <c r="B23" s="161"/>
      <c r="C23" s="162"/>
      <c r="I23" s="160"/>
      <c r="J23" s="160"/>
    </row>
    <row r="43" spans="1:51" ht="15.75" thickBot="1" x14ac:dyDescent="0.3"/>
    <row r="44" spans="1:51" s="167" customFormat="1" ht="30" customHeight="1" x14ac:dyDescent="0.25">
      <c r="A44" s="166"/>
      <c r="B44" s="276" t="s">
        <v>447</v>
      </c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8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166"/>
      <c r="AT44" s="166"/>
      <c r="AU44" s="166"/>
      <c r="AV44" s="166"/>
      <c r="AW44" s="166"/>
      <c r="AX44" s="166"/>
      <c r="AY44" s="166"/>
    </row>
    <row r="45" spans="1:51" ht="21" x14ac:dyDescent="0.25">
      <c r="B45" s="168"/>
      <c r="C45" s="169"/>
      <c r="D45" s="169"/>
      <c r="E45" s="169"/>
      <c r="F45" s="279" t="s">
        <v>428</v>
      </c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80"/>
    </row>
    <row r="46" spans="1:51" x14ac:dyDescent="0.25">
      <c r="B46" s="255" t="s">
        <v>429</v>
      </c>
      <c r="C46" s="256"/>
      <c r="D46" s="256"/>
      <c r="E46" s="256"/>
      <c r="F46" s="257" t="s">
        <v>488</v>
      </c>
      <c r="G46" s="257"/>
      <c r="H46" s="257" t="s">
        <v>489</v>
      </c>
      <c r="I46" s="257"/>
      <c r="J46" s="257" t="s">
        <v>490</v>
      </c>
      <c r="K46" s="257"/>
      <c r="L46" s="257" t="s">
        <v>491</v>
      </c>
      <c r="M46" s="257"/>
      <c r="N46" s="257"/>
      <c r="O46" s="257" t="s">
        <v>492</v>
      </c>
      <c r="P46" s="257"/>
      <c r="Q46" s="257"/>
      <c r="R46" s="257" t="s">
        <v>493</v>
      </c>
      <c r="S46" s="257"/>
      <c r="T46" s="257" t="s">
        <v>494</v>
      </c>
      <c r="U46" s="257"/>
      <c r="V46" s="257"/>
      <c r="W46" s="257" t="s">
        <v>495</v>
      </c>
      <c r="X46" s="281"/>
    </row>
    <row r="47" spans="1:51" x14ac:dyDescent="0.25">
      <c r="B47" s="282" t="s">
        <v>409</v>
      </c>
      <c r="C47" s="283"/>
      <c r="D47" s="283"/>
      <c r="E47" s="283"/>
      <c r="F47" s="241">
        <f>IF(F46="", "", COUNTIFS('Follower List'!$C:$C,"*"&amp;F$46&amp;"*"))</f>
        <v>24</v>
      </c>
      <c r="G47" s="241"/>
      <c r="H47" s="241">
        <f>IF(H46="", "", COUNTIFS('Follower List'!$C:$C,"*"&amp;H$46&amp;"*"))</f>
        <v>17</v>
      </c>
      <c r="I47" s="241"/>
      <c r="J47" s="241">
        <f>IF(J46="", "", COUNTIFS('Follower List'!$C:$C,"*"&amp;J$46&amp;"*"))</f>
        <v>16</v>
      </c>
      <c r="K47" s="241"/>
      <c r="L47" s="241">
        <f>IF(L46="", "", COUNTIFS('Follower List'!$C:$C,"*"&amp;L$46&amp;"*"))</f>
        <v>13</v>
      </c>
      <c r="M47" s="241"/>
      <c r="N47" s="241"/>
      <c r="O47" s="241">
        <f>IF(O46="", "", COUNTIFS('Follower List'!$C:$C,"*"&amp;O$46&amp;"*"))</f>
        <v>14</v>
      </c>
      <c r="P47" s="241"/>
      <c r="Q47" s="241"/>
      <c r="R47" s="241">
        <f>IF(R46="", "", COUNTIFS('Follower List'!$C:$C,"*"&amp;R$46&amp;"*"))</f>
        <v>12</v>
      </c>
      <c r="S47" s="241"/>
      <c r="T47" s="241">
        <f>IF(T46="", "", COUNTIFS('Follower List'!$C:$C,"*"&amp;T$46&amp;"*"))</f>
        <v>11</v>
      </c>
      <c r="U47" s="241"/>
      <c r="V47" s="241"/>
      <c r="W47" s="241">
        <f>IF(W46="", "", COUNTIFS('Follower List'!$C:$C,"*"&amp;W$46&amp;"*"))</f>
        <v>13</v>
      </c>
      <c r="X47" s="252"/>
    </row>
    <row r="48" spans="1:51" ht="15.75" thickBot="1" x14ac:dyDescent="0.3">
      <c r="B48" s="274" t="s">
        <v>448</v>
      </c>
      <c r="C48" s="275"/>
      <c r="D48" s="275"/>
      <c r="E48" s="275"/>
      <c r="F48" s="244">
        <f ca="1">IFERROR(F47/Calculations!$B$14,"")</f>
        <v>0.16</v>
      </c>
      <c r="G48" s="244"/>
      <c r="H48" s="244">
        <f ca="1">IFERROR(H47/Calculations!$B$14,"")</f>
        <v>0.11333333333333333</v>
      </c>
      <c r="I48" s="244"/>
      <c r="J48" s="244">
        <f ca="1">IFERROR(J47/Calculations!$B$14,"")</f>
        <v>0.10666666666666667</v>
      </c>
      <c r="K48" s="244"/>
      <c r="L48" s="244">
        <f ca="1">IFERROR(L47/Calculations!$B$14,"")</f>
        <v>8.666666666666667E-2</v>
      </c>
      <c r="M48" s="244"/>
      <c r="N48" s="244"/>
      <c r="O48" s="244">
        <f ca="1">IFERROR(O47/Calculations!$B$14,"")</f>
        <v>9.3333333333333338E-2</v>
      </c>
      <c r="P48" s="244"/>
      <c r="Q48" s="244"/>
      <c r="R48" s="244">
        <f ca="1">IFERROR(R47/Calculations!$B$14,"")</f>
        <v>0.08</v>
      </c>
      <c r="S48" s="244"/>
      <c r="T48" s="244">
        <f ca="1">IFERROR(T47/Calculations!$B$14,"")</f>
        <v>7.3333333333333334E-2</v>
      </c>
      <c r="U48" s="244"/>
      <c r="V48" s="244"/>
      <c r="W48" s="244">
        <f ca="1">IFERROR(W47/Calculations!$B$14,"")</f>
        <v>8.666666666666667E-2</v>
      </c>
      <c r="X48" s="273"/>
    </row>
    <row r="113" spans="9:10" x14ac:dyDescent="0.25">
      <c r="I113" s="160"/>
      <c r="J113" s="160"/>
    </row>
    <row r="149" spans="2:24" ht="15.75" thickBot="1" x14ac:dyDescent="0.3"/>
    <row r="150" spans="2:24" ht="48" customHeight="1" x14ac:dyDescent="0.25">
      <c r="B150" s="248" t="s">
        <v>449</v>
      </c>
      <c r="C150" s="249"/>
      <c r="D150" s="249"/>
      <c r="E150" s="249"/>
      <c r="F150" s="249"/>
      <c r="G150" s="249"/>
      <c r="H150" s="249"/>
      <c r="I150" s="249"/>
      <c r="J150" s="249"/>
      <c r="K150" s="249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50"/>
    </row>
    <row r="151" spans="2:24" ht="16.5" customHeight="1" x14ac:dyDescent="0.25">
      <c r="B151" s="271" t="s">
        <v>407</v>
      </c>
      <c r="C151" s="272"/>
      <c r="D151" s="272"/>
      <c r="E151" s="272"/>
      <c r="F151" s="260" t="s">
        <v>4</v>
      </c>
      <c r="G151" s="260"/>
      <c r="H151" s="260"/>
      <c r="I151" s="260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164"/>
    </row>
    <row r="152" spans="2:24" ht="12" customHeight="1" x14ac:dyDescent="0.25">
      <c r="B152" s="165"/>
      <c r="C152" s="70"/>
      <c r="D152" s="70"/>
      <c r="E152" s="71"/>
      <c r="F152" s="71"/>
      <c r="G152" s="71"/>
      <c r="H152" s="71"/>
      <c r="I152" s="71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164"/>
    </row>
    <row r="153" spans="2:24" ht="30" customHeight="1" x14ac:dyDescent="0.25">
      <c r="B153" s="261" t="s">
        <v>338</v>
      </c>
      <c r="C153" s="262"/>
      <c r="D153" s="262"/>
      <c r="E153" s="262"/>
      <c r="F153" s="243" t="s">
        <v>4</v>
      </c>
      <c r="G153" s="243"/>
      <c r="H153" s="243" t="s">
        <v>459</v>
      </c>
      <c r="I153" s="243"/>
      <c r="J153" s="243" t="s">
        <v>477</v>
      </c>
      <c r="K153" s="243"/>
      <c r="L153" s="243" t="s">
        <v>111</v>
      </c>
      <c r="M153" s="243"/>
      <c r="N153" s="243" t="s">
        <v>112</v>
      </c>
      <c r="O153" s="243"/>
      <c r="P153" s="243" t="s">
        <v>6</v>
      </c>
      <c r="Q153" s="243"/>
      <c r="R153" s="262" t="s">
        <v>405</v>
      </c>
      <c r="S153" s="262"/>
      <c r="T153" s="262"/>
      <c r="U153" s="262"/>
      <c r="V153" s="262"/>
      <c r="W153" s="262"/>
      <c r="X153" s="297"/>
    </row>
    <row r="154" spans="2:24" ht="39.950000000000003" customHeight="1" x14ac:dyDescent="0.25">
      <c r="B154" s="263" t="str">
        <f ca="1">HYPERLINK("http://www.twitter.com/"&amp;Calculations!B75,Calculations!B75)</f>
        <v>FAOnews</v>
      </c>
      <c r="C154" s="264"/>
      <c r="D154" s="264"/>
      <c r="E154" s="264"/>
      <c r="F154" s="242">
        <f ca="1">IF(Calculations!D75="","",Calculations!D75)</f>
        <v>210157</v>
      </c>
      <c r="G154" s="242"/>
      <c r="H154" s="242">
        <f ca="1">IF(Calculations!E75="","",Calculations!E75)</f>
        <v>63054</v>
      </c>
      <c r="I154" s="242"/>
      <c r="J154" s="251">
        <f ca="1">IF(Calculations!F75="","",Calculations!F75)</f>
        <v>3.3329685666254321</v>
      </c>
      <c r="K154" s="251"/>
      <c r="L154" s="238">
        <f ca="1">IF(Calculations!G75="","",Calculations!G75)</f>
        <v>27549</v>
      </c>
      <c r="M154" s="238"/>
      <c r="N154" s="238">
        <f ca="1">IF(Calculations!H75="","",Calculations!H75)</f>
        <v>4656</v>
      </c>
      <c r="O154" s="238"/>
      <c r="P154" s="245">
        <f ca="1">IF(Calculations!I75="","",Calculations!I75)</f>
        <v>70.584299999999999</v>
      </c>
      <c r="Q154" s="245"/>
      <c r="R154" s="298" t="str">
        <f ca="1">IF(Calculations!J75="","",Calculations!J75)</f>
        <v>united nations, food, sustainability, politics, agriculture</v>
      </c>
      <c r="S154" s="298"/>
      <c r="T154" s="298"/>
      <c r="U154" s="298"/>
      <c r="V154" s="298"/>
      <c r="W154" s="298"/>
      <c r="X154" s="299"/>
    </row>
    <row r="155" spans="2:24" ht="39.950000000000003" customHeight="1" x14ac:dyDescent="0.25">
      <c r="B155" s="265" t="str">
        <f ca="1">HYPERLINK("http://www.twitter.com/"&amp;Calculations!B76,Calculations!B76)</f>
        <v>foodtank</v>
      </c>
      <c r="C155" s="266"/>
      <c r="D155" s="266"/>
      <c r="E155" s="266"/>
      <c r="F155" s="259">
        <f ca="1">IF(Calculations!D76="","",Calculations!D76)</f>
        <v>191171</v>
      </c>
      <c r="G155" s="259"/>
      <c r="H155" s="259">
        <f ca="1">IF(Calculations!E76="","",Calculations!E76)</f>
        <v>146156</v>
      </c>
      <c r="I155" s="259"/>
      <c r="J155" s="286">
        <f ca="1">IF(Calculations!F76="","",Calculations!F76)</f>
        <v>1.3079928295793535</v>
      </c>
      <c r="K155" s="286"/>
      <c r="L155" s="239">
        <f ca="1">IF(Calculations!G76="","",Calculations!G76)</f>
        <v>21988</v>
      </c>
      <c r="M155" s="239"/>
      <c r="N155" s="239">
        <f ca="1">IF(Calculations!H76="","",Calculations!H76)</f>
        <v>3007</v>
      </c>
      <c r="O155" s="239"/>
      <c r="P155" s="247">
        <f ca="1">IF(Calculations!I76="","",Calculations!I76)</f>
        <v>70.457400000000007</v>
      </c>
      <c r="Q155" s="247"/>
      <c r="R155" s="290" t="str">
        <f ca="1">IF(Calculations!J76="","",Calculations!J76)</f>
        <v/>
      </c>
      <c r="S155" s="290"/>
      <c r="T155" s="290"/>
      <c r="U155" s="290"/>
      <c r="V155" s="290"/>
      <c r="W155" s="290"/>
      <c r="X155" s="291"/>
    </row>
    <row r="156" spans="2:24" ht="39.950000000000003" customHeight="1" x14ac:dyDescent="0.25">
      <c r="B156" s="253" t="str">
        <f ca="1">HYPERLINK("http://www.twitter.com/"&amp;Calculations!B77,Calculations!B77)</f>
        <v>FAOKnowledge</v>
      </c>
      <c r="C156" s="254"/>
      <c r="D156" s="254"/>
      <c r="E156" s="254"/>
      <c r="F156" s="242">
        <f ca="1">IF(Calculations!D77="","",Calculations!D77)</f>
        <v>85182</v>
      </c>
      <c r="G156" s="242"/>
      <c r="H156" s="242">
        <f ca="1">IF(Calculations!E77="","",Calculations!E77)</f>
        <v>20448</v>
      </c>
      <c r="I156" s="242"/>
      <c r="J156" s="251">
        <f ca="1">IF(Calculations!F77="","",Calculations!F77)</f>
        <v>4.165786384976526</v>
      </c>
      <c r="K156" s="251"/>
      <c r="L156" s="238">
        <f ca="1">IF(Calculations!G77="","",Calculations!G77)</f>
        <v>22359</v>
      </c>
      <c r="M156" s="238"/>
      <c r="N156" s="238">
        <f ca="1">IF(Calculations!H77="","",Calculations!H77)</f>
        <v>1511</v>
      </c>
      <c r="O156" s="238"/>
      <c r="P156" s="246">
        <f ca="1">IF(Calculations!I77="","",Calculations!I77)</f>
        <v>81.977900000000005</v>
      </c>
      <c r="Q156" s="246"/>
      <c r="R156" s="292" t="str">
        <f ca="1">IF(Calculations!J77="","",Calculations!J77)</f>
        <v>markets, community, investing, #km, marine</v>
      </c>
      <c r="S156" s="292"/>
      <c r="T156" s="292"/>
      <c r="U156" s="292"/>
      <c r="V156" s="292"/>
      <c r="W156" s="292"/>
      <c r="X156" s="293"/>
    </row>
    <row r="157" spans="2:24" ht="39.950000000000003" customHeight="1" x14ac:dyDescent="0.25">
      <c r="B157" s="265" t="str">
        <f ca="1">HYPERLINK("http://www.twitter.com/"&amp;Calculations!B78,Calculations!B78)</f>
        <v>FarmsNews</v>
      </c>
      <c r="C157" s="266"/>
      <c r="D157" s="266"/>
      <c r="E157" s="266"/>
      <c r="F157" s="259">
        <f ca="1">IF(Calculations!D78="","",Calculations!D78)</f>
        <v>66494</v>
      </c>
      <c r="G157" s="259"/>
      <c r="H157" s="259">
        <f ca="1">IF(Calculations!E78="","",Calculations!E78)</f>
        <v>68135</v>
      </c>
      <c r="I157" s="259"/>
      <c r="J157" s="286">
        <f ca="1">IF(Calculations!F78="","",Calculations!F78)</f>
        <v>0.97591546195053935</v>
      </c>
      <c r="K157" s="286"/>
      <c r="L157" s="239">
        <f ca="1">IF(Calculations!G78="","",Calculations!G78)</f>
        <v>18484</v>
      </c>
      <c r="M157" s="239"/>
      <c r="N157" s="239">
        <f ca="1">IF(Calculations!H78="","",Calculations!H78)</f>
        <v>808</v>
      </c>
      <c r="O157" s="239"/>
      <c r="P157" s="247">
        <f ca="1">IF(Calculations!I78="","",Calculations!I78)</f>
        <v>60.222700000000003</v>
      </c>
      <c r="Q157" s="247"/>
      <c r="R157" s="290" t="str">
        <f ca="1">IF(Calculations!J78="","",Calculations!J78)</f>
        <v>agriculture, media, science and technology, federal communications commission, vegetable</v>
      </c>
      <c r="S157" s="290"/>
      <c r="T157" s="290"/>
      <c r="U157" s="290"/>
      <c r="V157" s="290"/>
      <c r="W157" s="290"/>
      <c r="X157" s="291"/>
    </row>
    <row r="158" spans="2:24" ht="39.950000000000003" customHeight="1" x14ac:dyDescent="0.25">
      <c r="B158" s="253" t="str">
        <f ca="1">HYPERLINK("http://www.twitter.com/"&amp;Calculations!B79,Calculations!B79)</f>
        <v>mediamails</v>
      </c>
      <c r="C158" s="254"/>
      <c r="D158" s="254"/>
      <c r="E158" s="254"/>
      <c r="F158" s="242">
        <f ca="1">IF(Calculations!D79="","",Calculations!D79)</f>
        <v>53127</v>
      </c>
      <c r="G158" s="242"/>
      <c r="H158" s="242">
        <f ca="1">IF(Calculations!E79="","",Calculations!E79)</f>
        <v>5105</v>
      </c>
      <c r="I158" s="242"/>
      <c r="J158" s="251">
        <f ca="1">IF(Calculations!F79="","",Calculations!F79)</f>
        <v>10.406856023506366</v>
      </c>
      <c r="K158" s="251"/>
      <c r="L158" s="238">
        <f ca="1">IF(Calculations!G79="","",Calculations!G79)</f>
        <v>50</v>
      </c>
      <c r="M158" s="238"/>
      <c r="N158" s="238">
        <f ca="1">IF(Calculations!H79="","",Calculations!H79)</f>
        <v>4</v>
      </c>
      <c r="O158" s="238"/>
      <c r="P158" s="246">
        <f ca="1">IF(Calculations!I79="","",Calculations!I79)</f>
        <v>32.541600000000003</v>
      </c>
      <c r="Q158" s="246"/>
      <c r="R158" s="292" t="str">
        <f ca="1">IF(Calculations!J79="","",Calculations!J79)</f>
        <v/>
      </c>
      <c r="S158" s="292"/>
      <c r="T158" s="292"/>
      <c r="U158" s="292"/>
      <c r="V158" s="292"/>
      <c r="W158" s="292"/>
      <c r="X158" s="293"/>
    </row>
    <row r="159" spans="2:24" ht="39.950000000000003" customHeight="1" x14ac:dyDescent="0.25">
      <c r="B159" s="265" t="str">
        <f ca="1">HYPERLINK("http://www.twitter.com/"&amp;Calculations!B80,Calculations!B80)</f>
        <v>FAOstatistics</v>
      </c>
      <c r="C159" s="266"/>
      <c r="D159" s="266"/>
      <c r="E159" s="266"/>
      <c r="F159" s="259">
        <f ca="1">IF(Calculations!D80="","",Calculations!D80)</f>
        <v>46295</v>
      </c>
      <c r="G159" s="259"/>
      <c r="H159" s="259">
        <f ca="1">IF(Calculations!E80="","",Calculations!E80)</f>
        <v>3303</v>
      </c>
      <c r="I159" s="259"/>
      <c r="J159" s="286">
        <f ca="1">IF(Calculations!F80="","",Calculations!F80)</f>
        <v>14.016046018770814</v>
      </c>
      <c r="K159" s="286"/>
      <c r="L159" s="239">
        <f ca="1">IF(Calculations!G80="","",Calculations!G80)</f>
        <v>10508</v>
      </c>
      <c r="M159" s="239"/>
      <c r="N159" s="239">
        <f ca="1">IF(Calculations!H80="","",Calculations!H80)</f>
        <v>1067</v>
      </c>
      <c r="O159" s="239"/>
      <c r="P159" s="247">
        <f ca="1">IF(Calculations!I80="","",Calculations!I80)</f>
        <v>61.095300000000002</v>
      </c>
      <c r="Q159" s="247"/>
      <c r="R159" s="290" t="str">
        <f ca="1">IF(Calculations!J80="","",Calculations!J80)</f>
        <v>food, video, #data, pakistan, statistics</v>
      </c>
      <c r="S159" s="290"/>
      <c r="T159" s="290"/>
      <c r="U159" s="290"/>
      <c r="V159" s="290"/>
      <c r="W159" s="290"/>
      <c r="X159" s="291"/>
    </row>
    <row r="160" spans="2:24" ht="39.950000000000003" customHeight="1" x14ac:dyDescent="0.25">
      <c r="B160" s="253" t="str">
        <f ca="1">HYPERLINK("http://www.twitter.com/"&amp;Calculations!B81,Calculations!B81)</f>
        <v>MirelaXhota</v>
      </c>
      <c r="C160" s="254"/>
      <c r="D160" s="254"/>
      <c r="E160" s="254"/>
      <c r="F160" s="242">
        <f ca="1">IF(Calculations!D81="","",Calculations!D81)</f>
        <v>32669</v>
      </c>
      <c r="G160" s="242"/>
      <c r="H160" s="242">
        <f ca="1">IF(Calculations!E81="","",Calculations!E81)</f>
        <v>35937</v>
      </c>
      <c r="I160" s="242"/>
      <c r="J160" s="251">
        <f ca="1">IF(Calculations!F81="","",Calculations!F81)</f>
        <v>0.90906308261680158</v>
      </c>
      <c r="K160" s="251"/>
      <c r="L160" s="238">
        <f ca="1">IF(Calculations!G81="","",Calculations!G81)</f>
        <v>16622</v>
      </c>
      <c r="M160" s="238"/>
      <c r="N160" s="238">
        <f ca="1">IF(Calculations!H81="","",Calculations!H81)</f>
        <v>354</v>
      </c>
      <c r="O160" s="238"/>
      <c r="P160" s="246">
        <f ca="1">IF(Calculations!I81="","",Calculations!I81)</f>
        <v>51.614400000000003</v>
      </c>
      <c r="Q160" s="246"/>
      <c r="R160" s="292" t="str">
        <f ca="1">IF(Calculations!J81="","",Calculations!J81)</f>
        <v/>
      </c>
      <c r="S160" s="292"/>
      <c r="T160" s="292"/>
      <c r="U160" s="292"/>
      <c r="V160" s="292"/>
      <c r="W160" s="292"/>
      <c r="X160" s="293"/>
    </row>
    <row r="161" spans="2:24" ht="39.950000000000003" customHeight="1" x14ac:dyDescent="0.25">
      <c r="B161" s="265" t="str">
        <f ca="1">HYPERLINK("http://www.twitter.com/"&amp;Calculations!B82,Calculations!B82)</f>
        <v>JavierBlas2</v>
      </c>
      <c r="C161" s="266"/>
      <c r="D161" s="266"/>
      <c r="E161" s="266"/>
      <c r="F161" s="259">
        <f ca="1">IF(Calculations!D82="","",Calculations!D82)</f>
        <v>28466</v>
      </c>
      <c r="G161" s="259"/>
      <c r="H161" s="259">
        <f ca="1">IF(Calculations!E82="","",Calculations!E82)</f>
        <v>846</v>
      </c>
      <c r="I161" s="259"/>
      <c r="J161" s="286">
        <f ca="1">IF(Calculations!F82="","",Calculations!F82)</f>
        <v>33.64775413711584</v>
      </c>
      <c r="K161" s="286"/>
      <c r="L161" s="239">
        <f ca="1">IF(Calculations!G82="","",Calculations!G82)</f>
        <v>20434</v>
      </c>
      <c r="M161" s="239"/>
      <c r="N161" s="239">
        <f ca="1">IF(Calculations!H82="","",Calculations!H82)</f>
        <v>1301</v>
      </c>
      <c r="O161" s="239"/>
      <c r="P161" s="247">
        <f ca="1">IF(Calculations!I82="","",Calculations!I82)</f>
        <v>66.954099999999997</v>
      </c>
      <c r="Q161" s="247"/>
      <c r="R161" s="290" t="str">
        <f ca="1">IF(Calculations!J82="","",Calculations!J82)</f>
        <v/>
      </c>
      <c r="S161" s="290"/>
      <c r="T161" s="290"/>
      <c r="U161" s="290"/>
      <c r="V161" s="290"/>
      <c r="W161" s="290"/>
      <c r="X161" s="291"/>
    </row>
    <row r="162" spans="2:24" ht="39.950000000000003" customHeight="1" x14ac:dyDescent="0.25">
      <c r="B162" s="253" t="str">
        <f ca="1">HYPERLINK("http://www.twitter.com/"&amp;Calculations!B83,Calculations!B83)</f>
        <v>uswheatassoc</v>
      </c>
      <c r="C162" s="254"/>
      <c r="D162" s="254"/>
      <c r="E162" s="254"/>
      <c r="F162" s="242">
        <f ca="1">IF(Calculations!D83="","",Calculations!D83)</f>
        <v>10460</v>
      </c>
      <c r="G162" s="242"/>
      <c r="H162" s="242">
        <f ca="1">IF(Calculations!E83="","",Calculations!E83)</f>
        <v>3009</v>
      </c>
      <c r="I162" s="242"/>
      <c r="J162" s="251">
        <f ca="1">IF(Calculations!F83="","",Calculations!F83)</f>
        <v>3.4762379528082419</v>
      </c>
      <c r="K162" s="251"/>
      <c r="L162" s="238">
        <f ca="1">IF(Calculations!G83="","",Calculations!G83)</f>
        <v>7464</v>
      </c>
      <c r="M162" s="238"/>
      <c r="N162" s="238">
        <f ca="1">IF(Calculations!H83="","",Calculations!H83)</f>
        <v>281</v>
      </c>
      <c r="O162" s="238"/>
      <c r="P162" s="246">
        <f ca="1">IF(Calculations!I83="","",Calculations!I83)</f>
        <v>55.674599999999998</v>
      </c>
      <c r="Q162" s="246"/>
      <c r="R162" s="292" t="str">
        <f ca="1">IF(Calculations!J83="","",Calculations!J83)</f>
        <v>agriculture, pinterest, korea, dieting, houston</v>
      </c>
      <c r="S162" s="292"/>
      <c r="T162" s="292"/>
      <c r="U162" s="292"/>
      <c r="V162" s="292"/>
      <c r="W162" s="292"/>
      <c r="X162" s="293"/>
    </row>
    <row r="163" spans="2:24" ht="39.950000000000003" customHeight="1" x14ac:dyDescent="0.25">
      <c r="B163" s="265" t="str">
        <f ca="1">HYPERLINK("http://www.twitter.com/"&amp;Calculations!B84,Calculations!B84)</f>
        <v>Agronegocios_Uy</v>
      </c>
      <c r="C163" s="266"/>
      <c r="D163" s="266"/>
      <c r="E163" s="266"/>
      <c r="F163" s="259">
        <f ca="1">IF(Calculations!D84="","",Calculations!D84)</f>
        <v>9159</v>
      </c>
      <c r="G163" s="259"/>
      <c r="H163" s="259">
        <f ca="1">IF(Calculations!E84="","",Calculations!E84)</f>
        <v>8935</v>
      </c>
      <c r="I163" s="259"/>
      <c r="J163" s="286">
        <f ca="1">IF(Calculations!F84="","",Calculations!F84)</f>
        <v>1.0250699496362619</v>
      </c>
      <c r="K163" s="286"/>
      <c r="L163" s="239">
        <f ca="1">IF(Calculations!G84="","",Calculations!G84)</f>
        <v>139690</v>
      </c>
      <c r="M163" s="239"/>
      <c r="N163" s="239">
        <f ca="1">IF(Calculations!H84="","",Calculations!H84)</f>
        <v>310</v>
      </c>
      <c r="O163" s="239"/>
      <c r="P163" s="247">
        <f ca="1">IF(Calculations!I84="","",Calculations!I84)</f>
        <v>46.3309</v>
      </c>
      <c r="Q163" s="247"/>
      <c r="R163" s="290" t="str">
        <f ca="1">IF(Calculations!J84="","",Calculations!J84)</f>
        <v/>
      </c>
      <c r="S163" s="290"/>
      <c r="T163" s="290"/>
      <c r="U163" s="290"/>
      <c r="V163" s="290"/>
      <c r="W163" s="290"/>
      <c r="X163" s="291"/>
    </row>
    <row r="164" spans="2:24" ht="39.950000000000003" customHeight="1" x14ac:dyDescent="0.25">
      <c r="B164" s="253" t="str">
        <f ca="1">HYPERLINK("http://www.twitter.com/"&amp;Calculations!B85,Calculations!B85)</f>
        <v>ScottIrwinUI</v>
      </c>
      <c r="C164" s="254"/>
      <c r="D164" s="254"/>
      <c r="E164" s="254"/>
      <c r="F164" s="242">
        <f ca="1">IF(Calculations!D85="","",Calculations!D85)</f>
        <v>9099</v>
      </c>
      <c r="G164" s="242"/>
      <c r="H164" s="242">
        <f ca="1">IF(Calculations!E85="","",Calculations!E85)</f>
        <v>8899</v>
      </c>
      <c r="I164" s="242"/>
      <c r="J164" s="251">
        <f ca="1">IF(Calculations!F85="","",Calculations!F85)</f>
        <v>1.0224744353298123</v>
      </c>
      <c r="K164" s="251"/>
      <c r="L164" s="238">
        <f ca="1">IF(Calculations!G85="","",Calculations!G85)</f>
        <v>5050</v>
      </c>
      <c r="M164" s="238"/>
      <c r="N164" s="238">
        <f ca="1">IF(Calculations!H85="","",Calculations!H85)</f>
        <v>147</v>
      </c>
      <c r="O164" s="238"/>
      <c r="P164" s="246">
        <f ca="1">IF(Calculations!I85="","",Calculations!I85)</f>
        <v>52.696300000000001</v>
      </c>
      <c r="Q164" s="246"/>
      <c r="R164" s="292" t="str">
        <f ca="1">IF(Calculations!J85="","",Calculations!J85)</f>
        <v/>
      </c>
      <c r="S164" s="292"/>
      <c r="T164" s="292"/>
      <c r="U164" s="292"/>
      <c r="V164" s="292"/>
      <c r="W164" s="292"/>
      <c r="X164" s="293"/>
    </row>
    <row r="165" spans="2:24" ht="39.950000000000003" customHeight="1" x14ac:dyDescent="0.25">
      <c r="B165" s="265" t="str">
        <f ca="1">HYPERLINK("http://www.twitter.com/"&amp;Calculations!B86,Calculations!B86)</f>
        <v>jasonlbritt</v>
      </c>
      <c r="C165" s="266"/>
      <c r="D165" s="266"/>
      <c r="E165" s="266"/>
      <c r="F165" s="259">
        <f ca="1">IF(Calculations!D86="","",Calculations!D86)</f>
        <v>9042</v>
      </c>
      <c r="G165" s="259"/>
      <c r="H165" s="259">
        <f ca="1">IF(Calculations!E86="","",Calculations!E86)</f>
        <v>6076</v>
      </c>
      <c r="I165" s="259"/>
      <c r="J165" s="286">
        <f ca="1">IF(Calculations!F86="","",Calculations!F86)</f>
        <v>1.4881500987491771</v>
      </c>
      <c r="K165" s="286"/>
      <c r="L165" s="239">
        <f ca="1">IF(Calculations!G86="","",Calculations!G86)</f>
        <v>15428</v>
      </c>
      <c r="M165" s="239"/>
      <c r="N165" s="239">
        <f ca="1">IF(Calculations!H86="","",Calculations!H86)</f>
        <v>234</v>
      </c>
      <c r="O165" s="239"/>
      <c r="P165" s="247">
        <f ca="1">IF(Calculations!I86="","",Calculations!I86)</f>
        <v>49.173299999999998</v>
      </c>
      <c r="Q165" s="247"/>
      <c r="R165" s="290" t="str">
        <f ca="1">IF(Calculations!J86="","",Calculations!J86)</f>
        <v>agriculture, finance, hedge fund, investing, kansas</v>
      </c>
      <c r="S165" s="290"/>
      <c r="T165" s="290"/>
      <c r="U165" s="290"/>
      <c r="V165" s="290"/>
      <c r="W165" s="290"/>
      <c r="X165" s="291"/>
    </row>
    <row r="166" spans="2:24" ht="39.950000000000003" customHeight="1" x14ac:dyDescent="0.25">
      <c r="B166" s="253" t="str">
        <f ca="1">HYPERLINK("http://www.twitter.com/"&amp;Calculations!B87,Calculations!B87)</f>
        <v>AgronomyUkraine</v>
      </c>
      <c r="C166" s="254"/>
      <c r="D166" s="254"/>
      <c r="E166" s="254"/>
      <c r="F166" s="242">
        <f ca="1">IF(Calculations!D87="","",Calculations!D87)</f>
        <v>8226</v>
      </c>
      <c r="G166" s="242"/>
      <c r="H166" s="242">
        <f ca="1">IF(Calculations!E87="","",Calculations!E87)</f>
        <v>6957</v>
      </c>
      <c r="I166" s="242"/>
      <c r="J166" s="251">
        <f ca="1">IF(Calculations!F87="","",Calculations!F87)</f>
        <v>1.1824062095730918</v>
      </c>
      <c r="K166" s="251"/>
      <c r="L166" s="238">
        <f ca="1">IF(Calculations!G87="","",Calculations!G87)</f>
        <v>15651</v>
      </c>
      <c r="M166" s="238"/>
      <c r="N166" s="238">
        <f ca="1">IF(Calculations!H87="","",Calculations!H87)</f>
        <v>165</v>
      </c>
      <c r="O166" s="238"/>
      <c r="P166" s="246">
        <f ca="1">IF(Calculations!I87="","",Calculations!I87)</f>
        <v>51.1706</v>
      </c>
      <c r="Q166" s="246"/>
      <c r="R166" s="292" t="str">
        <f ca="1">IF(Calculations!J87="","",Calculations!J87)</f>
        <v>trading, russia, photography, sales, ukraine</v>
      </c>
      <c r="S166" s="292"/>
      <c r="T166" s="292"/>
      <c r="U166" s="292"/>
      <c r="V166" s="292"/>
      <c r="W166" s="292"/>
      <c r="X166" s="293"/>
    </row>
    <row r="167" spans="2:24" ht="39.950000000000003" customHeight="1" x14ac:dyDescent="0.25">
      <c r="B167" s="265" t="str">
        <f ca="1">HYPERLINK("http://www.twitter.com/"&amp;Calculations!B88,Calculations!B88)</f>
        <v>WFP_Europe</v>
      </c>
      <c r="C167" s="266"/>
      <c r="D167" s="266"/>
      <c r="E167" s="266"/>
      <c r="F167" s="259">
        <f ca="1">IF(Calculations!D88="","",Calculations!D88)</f>
        <v>6382</v>
      </c>
      <c r="G167" s="259"/>
      <c r="H167" s="259">
        <f ca="1">IF(Calculations!E88="","",Calculations!E88)</f>
        <v>2123</v>
      </c>
      <c r="I167" s="259"/>
      <c r="J167" s="286">
        <f ca="1">IF(Calculations!F88="","",Calculations!F88)</f>
        <v>3.0061234102684882</v>
      </c>
      <c r="K167" s="286"/>
      <c r="L167" s="239">
        <f ca="1">IF(Calculations!G88="","",Calculations!G88)</f>
        <v>9432</v>
      </c>
      <c r="M167" s="239"/>
      <c r="N167" s="239">
        <f ca="1">IF(Calculations!H88="","",Calculations!H88)</f>
        <v>280</v>
      </c>
      <c r="O167" s="239"/>
      <c r="P167" s="247">
        <f ca="1">IF(Calculations!I88="","",Calculations!I88)</f>
        <v>55.387</v>
      </c>
      <c r="Q167" s="247"/>
      <c r="R167" s="290" t="str">
        <f ca="1">IF(Calculations!J88="","",Calculations!J88)</f>
        <v>nutrition, facebook, food, moms, cereal</v>
      </c>
      <c r="S167" s="290"/>
      <c r="T167" s="290"/>
      <c r="U167" s="290"/>
      <c r="V167" s="290"/>
      <c r="W167" s="290"/>
      <c r="X167" s="291"/>
    </row>
    <row r="168" spans="2:24" ht="39.950000000000003" customHeight="1" x14ac:dyDescent="0.25">
      <c r="B168" s="253" t="str">
        <f ca="1">HYPERLINK("http://www.twitter.com/"&amp;Calculations!B89,Calculations!B89)</f>
        <v>Financial_Orbit</v>
      </c>
      <c r="C168" s="254"/>
      <c r="D168" s="254"/>
      <c r="E168" s="254"/>
      <c r="F168" s="242">
        <f ca="1">IF(Calculations!D89="","",Calculations!D89)</f>
        <v>6189</v>
      </c>
      <c r="G168" s="242"/>
      <c r="H168" s="242">
        <f ca="1">IF(Calculations!E89="","",Calculations!E89)</f>
        <v>4527</v>
      </c>
      <c r="I168" s="242"/>
      <c r="J168" s="251">
        <f ca="1">IF(Calculations!F89="","",Calculations!F89)</f>
        <v>1.3671305500331346</v>
      </c>
      <c r="K168" s="251"/>
      <c r="L168" s="238">
        <f ca="1">IF(Calculations!G89="","",Calculations!G89)</f>
        <v>27710</v>
      </c>
      <c r="M168" s="238"/>
      <c r="N168" s="238">
        <f ca="1">IF(Calculations!H89="","",Calculations!H89)</f>
        <v>322</v>
      </c>
      <c r="O168" s="238"/>
      <c r="P168" s="246">
        <f ca="1">IF(Calculations!I89="","",Calculations!I89)</f>
        <v>52.177300000000002</v>
      </c>
      <c r="Q168" s="246"/>
      <c r="R168" s="292" t="str">
        <f ca="1">IF(Calculations!J89="","",Calculations!J89)</f>
        <v/>
      </c>
      <c r="S168" s="292"/>
      <c r="T168" s="292"/>
      <c r="U168" s="292"/>
      <c r="V168" s="292"/>
      <c r="W168" s="292"/>
      <c r="X168" s="293"/>
    </row>
    <row r="169" spans="2:24" ht="39.950000000000003" customHeight="1" x14ac:dyDescent="0.25">
      <c r="B169" s="265" t="str">
        <f ca="1">HYPERLINK("http://www.twitter.com/"&amp;Calculations!B90,Calculations!B90)</f>
        <v>ereguly</v>
      </c>
      <c r="C169" s="266"/>
      <c r="D169" s="266"/>
      <c r="E169" s="266"/>
      <c r="F169" s="259">
        <f ca="1">IF(Calculations!D90="","",Calculations!D90)</f>
        <v>5802</v>
      </c>
      <c r="G169" s="259"/>
      <c r="H169" s="259">
        <f ca="1">IF(Calculations!E90="","",Calculations!E90)</f>
        <v>1917</v>
      </c>
      <c r="I169" s="259"/>
      <c r="J169" s="286">
        <f ca="1">IF(Calculations!F90="","",Calculations!F90)</f>
        <v>3.0266040688575901</v>
      </c>
      <c r="K169" s="286"/>
      <c r="L169" s="239">
        <f ca="1">IF(Calculations!G90="","",Calculations!G90)</f>
        <v>11309</v>
      </c>
      <c r="M169" s="239"/>
      <c r="N169" s="239">
        <f ca="1">IF(Calculations!H90="","",Calculations!H90)</f>
        <v>303</v>
      </c>
      <c r="O169" s="239"/>
      <c r="P169" s="247">
        <f ca="1">IF(Calculations!I90="","",Calculations!I90)</f>
        <v>54.294800000000002</v>
      </c>
      <c r="Q169" s="247"/>
      <c r="R169" s="290" t="str">
        <f ca="1">IF(Calculations!J90="","",Calculations!J90)</f>
        <v>venice, food, rome, florence, russia</v>
      </c>
      <c r="S169" s="290"/>
      <c r="T169" s="290"/>
      <c r="U169" s="290"/>
      <c r="V169" s="290"/>
      <c r="W169" s="290"/>
      <c r="X169" s="291"/>
    </row>
    <row r="170" spans="2:24" ht="39.950000000000003" customHeight="1" x14ac:dyDescent="0.25">
      <c r="B170" s="253" t="str">
        <f ca="1">HYPERLINK("http://www.twitter.com/"&amp;Calculations!B91,Calculations!B91)</f>
        <v>jfarchy</v>
      </c>
      <c r="C170" s="254"/>
      <c r="D170" s="254"/>
      <c r="E170" s="254"/>
      <c r="F170" s="242">
        <f ca="1">IF(Calculations!D91="","",Calculations!D91)</f>
        <v>5704</v>
      </c>
      <c r="G170" s="242"/>
      <c r="H170" s="242">
        <f ca="1">IF(Calculations!E91="","",Calculations!E91)</f>
        <v>1907</v>
      </c>
      <c r="I170" s="242"/>
      <c r="J170" s="251">
        <f ca="1">IF(Calculations!F91="","",Calculations!F91)</f>
        <v>2.9910854745673832</v>
      </c>
      <c r="K170" s="251"/>
      <c r="L170" s="238">
        <f ca="1">IF(Calculations!G91="","",Calculations!G91)</f>
        <v>18406</v>
      </c>
      <c r="M170" s="238"/>
      <c r="N170" s="238">
        <f ca="1">IF(Calculations!H91="","",Calculations!H91)</f>
        <v>417</v>
      </c>
      <c r="O170" s="238"/>
      <c r="P170" s="246">
        <f ca="1">IF(Calculations!I91="","",Calculations!I91)</f>
        <v>53.690800000000003</v>
      </c>
      <c r="Q170" s="246"/>
      <c r="R170" s="292" t="str">
        <f ca="1">IF(Calculations!J91="","",Calculations!J91)</f>
        <v/>
      </c>
      <c r="S170" s="292"/>
      <c r="T170" s="292"/>
      <c r="U170" s="292"/>
      <c r="V170" s="292"/>
      <c r="W170" s="292"/>
      <c r="X170" s="293"/>
    </row>
    <row r="171" spans="2:24" ht="39.950000000000003" customHeight="1" x14ac:dyDescent="0.25">
      <c r="B171" s="265" t="str">
        <f ca="1">HYPERLINK("http://www.twitter.com/"&amp;Calculations!B92,Calculations!B92)</f>
        <v>OECDagriculture</v>
      </c>
      <c r="C171" s="266"/>
      <c r="D171" s="266"/>
      <c r="E171" s="266"/>
      <c r="F171" s="259">
        <f ca="1">IF(Calculations!D92="","",Calculations!D92)</f>
        <v>5661</v>
      </c>
      <c r="G171" s="259"/>
      <c r="H171" s="259">
        <f ca="1">IF(Calculations!E92="","",Calculations!E92)</f>
        <v>141</v>
      </c>
      <c r="I171" s="259"/>
      <c r="J171" s="286">
        <f ca="1">IF(Calculations!F92="","",Calculations!F92)</f>
        <v>40.148936170212764</v>
      </c>
      <c r="K171" s="286"/>
      <c r="L171" s="239">
        <f ca="1">IF(Calculations!G92="","",Calculations!G92)</f>
        <v>836</v>
      </c>
      <c r="M171" s="239"/>
      <c r="N171" s="239">
        <f ca="1">IF(Calculations!H92="","",Calculations!H92)</f>
        <v>196</v>
      </c>
      <c r="O171" s="239"/>
      <c r="P171" s="247">
        <f ca="1">IF(Calculations!I92="","",Calculations!I92)</f>
        <v>47.219200000000001</v>
      </c>
      <c r="Q171" s="247"/>
      <c r="R171" s="290" t="str">
        <f ca="1">IF(Calculations!J92="","",Calculations!J92)</f>
        <v>brussels, berlin, food, poverty, environment</v>
      </c>
      <c r="S171" s="290"/>
      <c r="T171" s="290"/>
      <c r="U171" s="290"/>
      <c r="V171" s="290"/>
      <c r="W171" s="290"/>
      <c r="X171" s="291"/>
    </row>
    <row r="172" spans="2:24" ht="39.950000000000003" customHeight="1" x14ac:dyDescent="0.25">
      <c r="B172" s="253" t="str">
        <f ca="1">HYPERLINK("http://www.twitter.com/"&amp;Calculations!B93,Calculations!B93)</f>
        <v>abueloeconomico</v>
      </c>
      <c r="C172" s="254"/>
      <c r="D172" s="254"/>
      <c r="E172" s="254"/>
      <c r="F172" s="242">
        <f ca="1">IF(Calculations!D93="","",Calculations!D93)</f>
        <v>5228</v>
      </c>
      <c r="G172" s="242"/>
      <c r="H172" s="242">
        <f ca="1">IF(Calculations!E93="","",Calculations!E93)</f>
        <v>1179</v>
      </c>
      <c r="I172" s="242"/>
      <c r="J172" s="251">
        <f ca="1">IF(Calculations!F93="","",Calculations!F93)</f>
        <v>4.4342663273960987</v>
      </c>
      <c r="K172" s="251"/>
      <c r="L172" s="238">
        <f ca="1">IF(Calculations!G93="","",Calculations!G93)</f>
        <v>10257</v>
      </c>
      <c r="M172" s="238"/>
      <c r="N172" s="238">
        <f ca="1">IF(Calculations!H93="","",Calculations!H93)</f>
        <v>0</v>
      </c>
      <c r="O172" s="238"/>
      <c r="P172" s="246">
        <f ca="1">IF(Calculations!I93="","",Calculations!I93)</f>
        <v>47.798000000000002</v>
      </c>
      <c r="Q172" s="246"/>
      <c r="R172" s="292" t="str">
        <f ca="1">IF(Calculations!J93="","",Calculations!J93)</f>
        <v>economics, paypal, argentina</v>
      </c>
      <c r="S172" s="292"/>
      <c r="T172" s="292"/>
      <c r="U172" s="292"/>
      <c r="V172" s="292"/>
      <c r="W172" s="292"/>
      <c r="X172" s="293"/>
    </row>
    <row r="173" spans="2:24" ht="39.950000000000003" customHeight="1" thickBot="1" x14ac:dyDescent="0.3">
      <c r="B173" s="288" t="str">
        <f ca="1">HYPERLINK("http://www.twitter.com/"&amp;Calculations!B94,Calculations!B94)</f>
        <v>Steven_Ramage</v>
      </c>
      <c r="C173" s="289"/>
      <c r="D173" s="289"/>
      <c r="E173" s="289"/>
      <c r="F173" s="258">
        <f ca="1">IF(Calculations!D94="","",Calculations!D94)</f>
        <v>5197</v>
      </c>
      <c r="G173" s="258"/>
      <c r="H173" s="258">
        <f ca="1">IF(Calculations!E94="","",Calculations!E94)</f>
        <v>5678</v>
      </c>
      <c r="I173" s="258"/>
      <c r="J173" s="287">
        <f ca="1">IF(Calculations!F94="","",Calculations!F94)</f>
        <v>0.91528707291299749</v>
      </c>
      <c r="K173" s="287"/>
      <c r="L173" s="240">
        <f ca="1">IF(Calculations!G94="","",Calculations!G94)</f>
        <v>1471</v>
      </c>
      <c r="M173" s="240"/>
      <c r="N173" s="240">
        <f ca="1">IF(Calculations!H94="","",Calculations!H94)</f>
        <v>362</v>
      </c>
      <c r="O173" s="240"/>
      <c r="P173" s="296">
        <f ca="1">IF(Calculations!I94="","",Calculations!I94)</f>
        <v>48.0441</v>
      </c>
      <c r="Q173" s="296"/>
      <c r="R173" s="294" t="str">
        <f ca="1">IF(Calculations!J94="","",Calculations!J94)</f>
        <v>geo, video, olympics, geography, 3d</v>
      </c>
      <c r="S173" s="294"/>
      <c r="T173" s="294"/>
      <c r="U173" s="294"/>
      <c r="V173" s="294"/>
      <c r="W173" s="294"/>
      <c r="X173" s="295"/>
    </row>
  </sheetData>
  <mergeCells count="206">
    <mergeCell ref="R173:X173"/>
    <mergeCell ref="R2:V2"/>
    <mergeCell ref="P170:Q170"/>
    <mergeCell ref="P171:Q171"/>
    <mergeCell ref="P172:Q172"/>
    <mergeCell ref="P173:Q173"/>
    <mergeCell ref="R153:X153"/>
    <mergeCell ref="R154:X154"/>
    <mergeCell ref="R155:X155"/>
    <mergeCell ref="R156:X156"/>
    <mergeCell ref="R157:X157"/>
    <mergeCell ref="R158:X158"/>
    <mergeCell ref="R159:X159"/>
    <mergeCell ref="R160:X160"/>
    <mergeCell ref="R161:X161"/>
    <mergeCell ref="R162:X162"/>
    <mergeCell ref="R163:X163"/>
    <mergeCell ref="R164:X164"/>
    <mergeCell ref="R165:X165"/>
    <mergeCell ref="R166:X166"/>
    <mergeCell ref="R167:X167"/>
    <mergeCell ref="R168:X168"/>
    <mergeCell ref="R169:X169"/>
    <mergeCell ref="R170:X170"/>
    <mergeCell ref="R171:X171"/>
    <mergeCell ref="R172:X172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B171:E171"/>
    <mergeCell ref="B172:E172"/>
    <mergeCell ref="B173:E173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L173:M173"/>
    <mergeCell ref="H172:I172"/>
    <mergeCell ref="H173:I173"/>
    <mergeCell ref="J173:K173"/>
    <mergeCell ref="F163:G163"/>
    <mergeCell ref="J172:K172"/>
    <mergeCell ref="J171:K171"/>
    <mergeCell ref="J170:K170"/>
    <mergeCell ref="J169:K169"/>
    <mergeCell ref="J168:K168"/>
    <mergeCell ref="H169:I169"/>
    <mergeCell ref="L169:M169"/>
    <mergeCell ref="L170:M170"/>
    <mergeCell ref="L171:M171"/>
    <mergeCell ref="L172:M172"/>
    <mergeCell ref="F171:G171"/>
    <mergeCell ref="F169:G169"/>
    <mergeCell ref="F168:G168"/>
    <mergeCell ref="F167:G167"/>
    <mergeCell ref="H168:I168"/>
    <mergeCell ref="L163:M163"/>
    <mergeCell ref="H170:I170"/>
    <mergeCell ref="H171:I171"/>
    <mergeCell ref="F172:G172"/>
    <mergeCell ref="L167:M167"/>
    <mergeCell ref="L168:M168"/>
    <mergeCell ref="N153:O153"/>
    <mergeCell ref="N154:O154"/>
    <mergeCell ref="H155:I155"/>
    <mergeCell ref="H157:I157"/>
    <mergeCell ref="H158:I158"/>
    <mergeCell ref="H159:I159"/>
    <mergeCell ref="H160:I160"/>
    <mergeCell ref="J167:K167"/>
    <mergeCell ref="H161:I161"/>
    <mergeCell ref="H162:I162"/>
    <mergeCell ref="H163:I163"/>
    <mergeCell ref="H164:I164"/>
    <mergeCell ref="H165:I165"/>
    <mergeCell ref="H166:I166"/>
    <mergeCell ref="H167:I167"/>
    <mergeCell ref="J157:K157"/>
    <mergeCell ref="J156:K156"/>
    <mergeCell ref="J155:K155"/>
    <mergeCell ref="J154:K154"/>
    <mergeCell ref="J153:K153"/>
    <mergeCell ref="P155:Q155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B161:E161"/>
    <mergeCell ref="N158:O158"/>
    <mergeCell ref="N159:O159"/>
    <mergeCell ref="J166:K166"/>
    <mergeCell ref="J165:K165"/>
    <mergeCell ref="J164:K164"/>
    <mergeCell ref="J163:K163"/>
    <mergeCell ref="L161:M161"/>
    <mergeCell ref="L164:M164"/>
    <mergeCell ref="L165:M165"/>
    <mergeCell ref="L166:M166"/>
    <mergeCell ref="J161:K161"/>
    <mergeCell ref="J160:K160"/>
    <mergeCell ref="J159:K159"/>
    <mergeCell ref="J158:K158"/>
    <mergeCell ref="F166:G166"/>
    <mergeCell ref="F165:G165"/>
    <mergeCell ref="F164:G164"/>
    <mergeCell ref="A1:X1"/>
    <mergeCell ref="H6:I6"/>
    <mergeCell ref="G2:J2"/>
    <mergeCell ref="L2:O2"/>
    <mergeCell ref="B151:E151"/>
    <mergeCell ref="W48:X48"/>
    <mergeCell ref="B48:E48"/>
    <mergeCell ref="F48:G48"/>
    <mergeCell ref="H48:I48"/>
    <mergeCell ref="J48:K48"/>
    <mergeCell ref="L48:N48"/>
    <mergeCell ref="O48:Q48"/>
    <mergeCell ref="R48:S48"/>
    <mergeCell ref="B44:X44"/>
    <mergeCell ref="R46:S46"/>
    <mergeCell ref="T46:V46"/>
    <mergeCell ref="L46:N46"/>
    <mergeCell ref="J46:K46"/>
    <mergeCell ref="F45:X45"/>
    <mergeCell ref="O46:Q46"/>
    <mergeCell ref="W46:X46"/>
    <mergeCell ref="R47:S47"/>
    <mergeCell ref="B47:E47"/>
    <mergeCell ref="S3:U3"/>
    <mergeCell ref="B46:E46"/>
    <mergeCell ref="F46:G46"/>
    <mergeCell ref="H46:I46"/>
    <mergeCell ref="F173:G173"/>
    <mergeCell ref="F162:G162"/>
    <mergeCell ref="F161:G161"/>
    <mergeCell ref="F160:G160"/>
    <mergeCell ref="F159:G159"/>
    <mergeCell ref="F158:G158"/>
    <mergeCell ref="F157:G157"/>
    <mergeCell ref="F156:G156"/>
    <mergeCell ref="F155:G155"/>
    <mergeCell ref="H156:I156"/>
    <mergeCell ref="F170:G170"/>
    <mergeCell ref="F151:I151"/>
    <mergeCell ref="B153:E153"/>
    <mergeCell ref="B154:E154"/>
    <mergeCell ref="B155:E155"/>
    <mergeCell ref="B156:E156"/>
    <mergeCell ref="B157:E157"/>
    <mergeCell ref="B158:E158"/>
    <mergeCell ref="F47:G47"/>
    <mergeCell ref="H47:I47"/>
    <mergeCell ref="B159:E159"/>
    <mergeCell ref="J47:K47"/>
    <mergeCell ref="L47:N47"/>
    <mergeCell ref="O47:Q47"/>
    <mergeCell ref="T47:V47"/>
    <mergeCell ref="L162:M162"/>
    <mergeCell ref="F154:G154"/>
    <mergeCell ref="F153:G153"/>
    <mergeCell ref="H153:I153"/>
    <mergeCell ref="H154:I154"/>
    <mergeCell ref="T48:V48"/>
    <mergeCell ref="P153:Q153"/>
    <mergeCell ref="P154:Q154"/>
    <mergeCell ref="P156:Q156"/>
    <mergeCell ref="P157:Q157"/>
    <mergeCell ref="P158:Q158"/>
    <mergeCell ref="P159:Q159"/>
    <mergeCell ref="P160:Q160"/>
    <mergeCell ref="N155:O155"/>
    <mergeCell ref="N156:O156"/>
    <mergeCell ref="N157:O157"/>
    <mergeCell ref="B150:X150"/>
    <mergeCell ref="J162:K162"/>
    <mergeCell ref="W47:X47"/>
    <mergeCell ref="B160:E160"/>
    <mergeCell ref="N170:O170"/>
    <mergeCell ref="N171:O171"/>
    <mergeCell ref="N172:O172"/>
    <mergeCell ref="N173:O173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</mergeCells>
  <dataValidations disablePrompts="1" count="1">
    <dataValidation type="list" allowBlank="1" showInputMessage="1" showErrorMessage="1" sqref="F151:I151">
      <formula1>calculations.influencer_sort</formula1>
    </dataValidation>
  </dataValidations>
  <pageMargins left="0.25" right="0.25" top="0.75" bottom="0.75" header="0" footer="0"/>
  <pageSetup scale="77" fitToHeight="0" orientation="landscape" horizontalDpi="301" verticalDpi="300" r:id="rId1"/>
  <rowBreaks count="1" manualBreakCount="1">
    <brk id="149" max="2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5"/>
  <sheetViews>
    <sheetView showGridLines="0" topLeftCell="A2" zoomScaleNormal="100" workbookViewId="0">
      <selection activeCell="A2" sqref="A2"/>
    </sheetView>
  </sheetViews>
  <sheetFormatPr defaultColWidth="8.85546875" defaultRowHeight="15" outlineLevelRow="1" x14ac:dyDescent="0.25"/>
  <cols>
    <col min="1" max="1" width="17.140625" style="18" customWidth="1"/>
    <col min="2" max="2" width="18.42578125" style="18" customWidth="1"/>
    <col min="3" max="3" width="13.140625" style="18" customWidth="1"/>
    <col min="4" max="4" width="12.5703125" style="19" bestFit="1" customWidth="1"/>
    <col min="5" max="5" width="11" style="18" bestFit="1" customWidth="1"/>
    <col min="6" max="8" width="8.85546875" style="18"/>
    <col min="9" max="9" width="14.85546875" style="18" bestFit="1" customWidth="1"/>
    <col min="10" max="10" width="11" style="18" bestFit="1" customWidth="1"/>
    <col min="11" max="13" width="8.85546875" style="18"/>
    <col min="14" max="14" width="14.85546875" style="18" bestFit="1" customWidth="1"/>
    <col min="15" max="15" width="8.85546875" style="18"/>
    <col min="16" max="16" width="11" style="18" bestFit="1" customWidth="1"/>
    <col min="17" max="16384" width="8.85546875" style="18"/>
  </cols>
  <sheetData>
    <row r="1" spans="1:14" s="5" customFormat="1" x14ac:dyDescent="0.25">
      <c r="A1" s="6" t="s">
        <v>347</v>
      </c>
      <c r="B1" s="6"/>
      <c r="C1" s="6"/>
      <c r="D1" s="29"/>
      <c r="E1" s="300" t="s">
        <v>4</v>
      </c>
      <c r="F1" s="300"/>
      <c r="G1" s="300"/>
      <c r="H1" s="300"/>
      <c r="I1" s="300"/>
      <c r="J1" s="300" t="s">
        <v>6</v>
      </c>
      <c r="K1" s="300"/>
      <c r="L1" s="300"/>
      <c r="M1" s="300"/>
      <c r="N1" s="300"/>
    </row>
    <row r="2" spans="1:14" s="5" customFormat="1" x14ac:dyDescent="0.25">
      <c r="A2" s="28" t="s">
        <v>346</v>
      </c>
      <c r="B2" s="28" t="s">
        <v>345</v>
      </c>
      <c r="C2" s="28" t="s">
        <v>344</v>
      </c>
      <c r="D2" s="27" t="s">
        <v>343</v>
      </c>
      <c r="E2" s="28" t="s">
        <v>4</v>
      </c>
      <c r="F2" s="28" t="s">
        <v>451</v>
      </c>
      <c r="G2" s="28" t="s">
        <v>452</v>
      </c>
      <c r="H2" s="28" t="s">
        <v>476</v>
      </c>
      <c r="I2" s="28" t="s">
        <v>478</v>
      </c>
      <c r="J2" s="28" t="s">
        <v>6</v>
      </c>
      <c r="K2" s="28" t="s">
        <v>451</v>
      </c>
      <c r="L2" s="28" t="s">
        <v>452</v>
      </c>
      <c r="M2" s="28" t="s">
        <v>476</v>
      </c>
      <c r="N2" s="28" t="s">
        <v>478</v>
      </c>
    </row>
    <row r="3" spans="1:14" s="5" customFormat="1" hidden="1" outlineLevel="1" x14ac:dyDescent="0.25">
      <c r="A3" s="26"/>
      <c r="B3" s="25"/>
      <c r="C3" s="24"/>
      <c r="D3" s="21"/>
    </row>
    <row r="4" spans="1:14" s="5" customFormat="1" hidden="1" outlineLevel="1" x14ac:dyDescent="0.25">
      <c r="A4" s="26"/>
      <c r="B4" s="25"/>
      <c r="C4" s="24"/>
      <c r="D4" s="21"/>
    </row>
    <row r="5" spans="1:14" s="5" customFormat="1" hidden="1" outlineLevel="1" x14ac:dyDescent="0.25">
      <c r="A5" s="26"/>
      <c r="B5" s="25"/>
      <c r="C5" s="24"/>
      <c r="D5" s="21"/>
    </row>
    <row r="6" spans="1:14" s="5" customFormat="1" hidden="1" outlineLevel="1" x14ac:dyDescent="0.25">
      <c r="A6" s="26"/>
      <c r="B6" s="25"/>
      <c r="C6" s="24"/>
      <c r="D6" s="21"/>
    </row>
    <row r="7" spans="1:14" s="5" customFormat="1" hidden="1" outlineLevel="1" x14ac:dyDescent="0.25">
      <c r="A7" s="26"/>
      <c r="B7" s="25"/>
      <c r="C7" s="24"/>
      <c r="D7" s="21"/>
    </row>
    <row r="8" spans="1:14" s="5" customFormat="1" hidden="1" outlineLevel="1" x14ac:dyDescent="0.25">
      <c r="A8" s="26"/>
      <c r="B8" s="25"/>
      <c r="C8" s="24"/>
      <c r="D8" s="21"/>
    </row>
    <row r="9" spans="1:14" s="5" customFormat="1" hidden="1" outlineLevel="1" x14ac:dyDescent="0.25">
      <c r="A9" s="26"/>
      <c r="B9" s="25"/>
      <c r="C9" s="24"/>
      <c r="D9" s="21"/>
    </row>
    <row r="10" spans="1:14" s="5" customFormat="1" hidden="1" outlineLevel="1" x14ac:dyDescent="0.25">
      <c r="A10" s="26"/>
      <c r="B10" s="25"/>
      <c r="C10" s="24"/>
      <c r="D10" s="21"/>
    </row>
    <row r="11" spans="1:14" s="5" customFormat="1" hidden="1" outlineLevel="1" x14ac:dyDescent="0.25">
      <c r="A11" s="26"/>
      <c r="B11" s="25"/>
      <c r="C11" s="24"/>
      <c r="D11" s="21"/>
    </row>
    <row r="12" spans="1:14" s="5" customFormat="1" hidden="1" outlineLevel="1" x14ac:dyDescent="0.25">
      <c r="A12" s="26"/>
      <c r="B12" s="25"/>
      <c r="C12" s="24"/>
      <c r="D12" s="21"/>
    </row>
    <row r="13" spans="1:14" s="5" customFormat="1" hidden="1" outlineLevel="1" x14ac:dyDescent="0.25">
      <c r="A13" s="26"/>
      <c r="B13" s="25"/>
      <c r="C13" s="24"/>
      <c r="D13" s="21"/>
    </row>
    <row r="14" spans="1:14" s="5" customFormat="1" hidden="1" outlineLevel="1" x14ac:dyDescent="0.25">
      <c r="A14" s="26"/>
      <c r="B14" s="25"/>
      <c r="C14" s="24"/>
      <c r="D14" s="21"/>
    </row>
    <row r="15" spans="1:14" s="5" customFormat="1" hidden="1" outlineLevel="1" x14ac:dyDescent="0.25">
      <c r="A15" s="26"/>
      <c r="B15" s="25"/>
      <c r="C15" s="24"/>
      <c r="D15" s="21"/>
    </row>
    <row r="16" spans="1:14" s="5" customFormat="1" hidden="1" outlineLevel="1" x14ac:dyDescent="0.25">
      <c r="A16" s="26"/>
      <c r="B16" s="25"/>
      <c r="C16" s="24"/>
      <c r="D16" s="21"/>
    </row>
    <row r="17" spans="1:4" s="5" customFormat="1" hidden="1" outlineLevel="1" x14ac:dyDescent="0.25">
      <c r="A17" s="26"/>
      <c r="B17" s="25"/>
      <c r="C17" s="24"/>
      <c r="D17" s="21"/>
    </row>
    <row r="18" spans="1:4" s="5" customFormat="1" hidden="1" outlineLevel="1" x14ac:dyDescent="0.25">
      <c r="A18" s="26"/>
      <c r="B18" s="25"/>
      <c r="C18" s="24"/>
      <c r="D18" s="21"/>
    </row>
    <row r="19" spans="1:4" s="5" customFormat="1" hidden="1" outlineLevel="1" x14ac:dyDescent="0.25">
      <c r="A19" s="26"/>
      <c r="B19" s="25"/>
      <c r="C19" s="24"/>
      <c r="D19" s="21"/>
    </row>
    <row r="20" spans="1:4" s="5" customFormat="1" hidden="1" outlineLevel="1" x14ac:dyDescent="0.25">
      <c r="A20" s="26"/>
      <c r="B20" s="25"/>
      <c r="C20" s="24"/>
      <c r="D20" s="21"/>
    </row>
    <row r="21" spans="1:4" s="5" customFormat="1" hidden="1" outlineLevel="1" x14ac:dyDescent="0.25">
      <c r="A21" s="26"/>
      <c r="B21" s="25"/>
      <c r="C21" s="24"/>
      <c r="D21" s="21"/>
    </row>
    <row r="22" spans="1:4" s="5" customFormat="1" hidden="1" outlineLevel="1" x14ac:dyDescent="0.25">
      <c r="A22" s="26"/>
      <c r="B22" s="25"/>
      <c r="C22" s="24"/>
      <c r="D22" s="21"/>
    </row>
    <row r="23" spans="1:4" s="5" customFormat="1" hidden="1" outlineLevel="1" x14ac:dyDescent="0.25">
      <c r="A23" s="26"/>
      <c r="B23" s="25"/>
      <c r="C23" s="24"/>
      <c r="D23" s="21"/>
    </row>
    <row r="24" spans="1:4" s="5" customFormat="1" hidden="1" outlineLevel="1" x14ac:dyDescent="0.25">
      <c r="A24" s="26"/>
      <c r="B24" s="25"/>
      <c r="C24" s="24"/>
      <c r="D24" s="21"/>
    </row>
    <row r="25" spans="1:4" s="5" customFormat="1" hidden="1" outlineLevel="1" x14ac:dyDescent="0.25">
      <c r="A25" s="26"/>
      <c r="B25" s="25"/>
      <c r="C25" s="24"/>
      <c r="D25" s="21"/>
    </row>
    <row r="26" spans="1:4" s="5" customFormat="1" hidden="1" outlineLevel="1" x14ac:dyDescent="0.25">
      <c r="A26" s="26"/>
      <c r="B26" s="25"/>
      <c r="C26" s="24"/>
      <c r="D26" s="21"/>
    </row>
    <row r="27" spans="1:4" s="5" customFormat="1" hidden="1" outlineLevel="1" x14ac:dyDescent="0.25">
      <c r="A27" s="26"/>
      <c r="B27" s="25"/>
      <c r="C27" s="24"/>
      <c r="D27" s="21"/>
    </row>
    <row r="28" spans="1:4" s="5" customFormat="1" hidden="1" outlineLevel="1" x14ac:dyDescent="0.25">
      <c r="A28" s="26"/>
      <c r="B28" s="25"/>
      <c r="C28" s="24"/>
      <c r="D28" s="21"/>
    </row>
    <row r="29" spans="1:4" s="5" customFormat="1" hidden="1" outlineLevel="1" x14ac:dyDescent="0.25">
      <c r="A29" s="26"/>
      <c r="B29" s="25"/>
      <c r="C29" s="24"/>
      <c r="D29" s="21"/>
    </row>
    <row r="30" spans="1:4" s="5" customFormat="1" hidden="1" outlineLevel="1" x14ac:dyDescent="0.25">
      <c r="A30" s="26"/>
      <c r="B30" s="25"/>
      <c r="C30" s="24"/>
      <c r="D30" s="21"/>
    </row>
    <row r="31" spans="1:4" s="5" customFormat="1" hidden="1" outlineLevel="1" x14ac:dyDescent="0.25">
      <c r="A31" s="26"/>
      <c r="B31" s="25"/>
      <c r="C31" s="24"/>
      <c r="D31" s="21"/>
    </row>
    <row r="32" spans="1:4" s="5" customFormat="1" hidden="1" outlineLevel="1" x14ac:dyDescent="0.25">
      <c r="A32" s="26"/>
      <c r="B32" s="25"/>
      <c r="C32" s="24"/>
      <c r="D32" s="21"/>
    </row>
    <row r="33" spans="1:4" s="5" customFormat="1" hidden="1" outlineLevel="1" x14ac:dyDescent="0.25">
      <c r="A33" s="26"/>
      <c r="B33" s="25"/>
      <c r="C33" s="24"/>
      <c r="D33" s="21"/>
    </row>
    <row r="34" spans="1:4" s="5" customFormat="1" hidden="1" outlineLevel="1" x14ac:dyDescent="0.25">
      <c r="A34" s="26"/>
      <c r="B34" s="25"/>
      <c r="C34" s="24"/>
      <c r="D34" s="21"/>
    </row>
    <row r="35" spans="1:4" s="5" customFormat="1" hidden="1" outlineLevel="1" x14ac:dyDescent="0.25">
      <c r="A35" s="26"/>
      <c r="B35" s="25"/>
      <c r="C35" s="24"/>
      <c r="D35" s="21"/>
    </row>
    <row r="36" spans="1:4" s="5" customFormat="1" hidden="1" outlineLevel="1" x14ac:dyDescent="0.25">
      <c r="A36" s="26"/>
      <c r="B36" s="25"/>
      <c r="C36" s="24"/>
      <c r="D36" s="21"/>
    </row>
    <row r="37" spans="1:4" s="5" customFormat="1" hidden="1" outlineLevel="1" x14ac:dyDescent="0.25">
      <c r="A37" s="26"/>
      <c r="B37" s="25"/>
      <c r="C37" s="24"/>
      <c r="D37" s="21"/>
    </row>
    <row r="38" spans="1:4" s="5" customFormat="1" hidden="1" outlineLevel="1" x14ac:dyDescent="0.25">
      <c r="A38" s="26"/>
      <c r="B38" s="25"/>
      <c r="C38" s="24"/>
      <c r="D38" s="21"/>
    </row>
    <row r="39" spans="1:4" s="5" customFormat="1" hidden="1" outlineLevel="1" x14ac:dyDescent="0.25">
      <c r="A39" s="26"/>
      <c r="B39" s="25"/>
      <c r="C39" s="24"/>
      <c r="D39" s="21"/>
    </row>
    <row r="40" spans="1:4" s="5" customFormat="1" hidden="1" outlineLevel="1" x14ac:dyDescent="0.25">
      <c r="A40" s="26"/>
      <c r="B40" s="25"/>
      <c r="C40" s="24"/>
      <c r="D40" s="21"/>
    </row>
    <row r="41" spans="1:4" s="5" customFormat="1" hidden="1" outlineLevel="1" x14ac:dyDescent="0.25">
      <c r="A41" s="26"/>
      <c r="B41" s="25"/>
      <c r="C41" s="24"/>
      <c r="D41" s="21"/>
    </row>
    <row r="42" spans="1:4" s="5" customFormat="1" hidden="1" outlineLevel="1" x14ac:dyDescent="0.25">
      <c r="A42" s="26"/>
      <c r="B42" s="25"/>
      <c r="C42" s="24"/>
      <c r="D42" s="21"/>
    </row>
    <row r="43" spans="1:4" s="5" customFormat="1" hidden="1" outlineLevel="1" x14ac:dyDescent="0.25">
      <c r="A43" s="26"/>
      <c r="B43" s="25"/>
      <c r="C43" s="24"/>
      <c r="D43" s="21"/>
    </row>
    <row r="44" spans="1:4" s="5" customFormat="1" hidden="1" outlineLevel="1" x14ac:dyDescent="0.25">
      <c r="A44" s="26"/>
      <c r="B44" s="25"/>
      <c r="C44" s="24"/>
      <c r="D44" s="21"/>
    </row>
    <row r="45" spans="1:4" s="5" customFormat="1" hidden="1" outlineLevel="1" x14ac:dyDescent="0.25">
      <c r="A45" s="26"/>
      <c r="B45" s="25"/>
      <c r="C45" s="24"/>
      <c r="D45" s="21"/>
    </row>
    <row r="46" spans="1:4" s="5" customFormat="1" hidden="1" outlineLevel="1" x14ac:dyDescent="0.25">
      <c r="A46" s="26"/>
      <c r="B46" s="25"/>
      <c r="C46" s="24"/>
      <c r="D46" s="21"/>
    </row>
    <row r="47" spans="1:4" s="5" customFormat="1" hidden="1" outlineLevel="1" x14ac:dyDescent="0.25">
      <c r="A47" s="26"/>
      <c r="B47" s="25"/>
      <c r="C47" s="24"/>
      <c r="D47" s="21"/>
    </row>
    <row r="48" spans="1:4" s="5" customFormat="1" hidden="1" outlineLevel="1" x14ac:dyDescent="0.25">
      <c r="A48" s="26"/>
      <c r="B48" s="25"/>
      <c r="C48" s="24"/>
      <c r="D48" s="21"/>
    </row>
    <row r="49" spans="1:14" s="5" customFormat="1" hidden="1" outlineLevel="1" x14ac:dyDescent="0.25">
      <c r="A49" s="26"/>
      <c r="B49" s="25"/>
      <c r="C49" s="24"/>
      <c r="D49" s="21"/>
    </row>
    <row r="50" spans="1:14" s="5" customFormat="1" hidden="1" outlineLevel="1" x14ac:dyDescent="0.25">
      <c r="A50" s="26"/>
      <c r="B50" s="25"/>
      <c r="C50" s="24"/>
      <c r="D50" s="21"/>
    </row>
    <row r="51" spans="1:14" s="5" customFormat="1" hidden="1" outlineLevel="1" x14ac:dyDescent="0.25">
      <c r="A51" s="26"/>
      <c r="B51" s="25"/>
      <c r="C51" s="24"/>
      <c r="D51" s="21"/>
    </row>
    <row r="52" spans="1:14" s="5" customFormat="1" hidden="1" outlineLevel="1" x14ac:dyDescent="0.25">
      <c r="A52" s="26"/>
      <c r="B52" s="25"/>
      <c r="C52" s="24"/>
      <c r="D52" s="21"/>
    </row>
    <row r="53" spans="1:14" s="5" customFormat="1" hidden="1" outlineLevel="1" x14ac:dyDescent="0.25">
      <c r="A53" s="26"/>
      <c r="B53" s="25"/>
      <c r="C53" s="24"/>
      <c r="D53" s="21"/>
    </row>
    <row r="54" spans="1:14" s="5" customFormat="1" hidden="1" outlineLevel="1" x14ac:dyDescent="0.25">
      <c r="A54" s="26"/>
      <c r="B54" s="25"/>
      <c r="C54" s="24"/>
      <c r="D54" s="21"/>
    </row>
    <row r="55" spans="1:14" s="5" customFormat="1" hidden="1" outlineLevel="1" x14ac:dyDescent="0.25">
      <c r="A55" s="26"/>
      <c r="B55" s="25"/>
      <c r="C55" s="24"/>
      <c r="D55" s="21"/>
    </row>
    <row r="56" spans="1:14" s="5" customFormat="1" hidden="1" outlineLevel="1" x14ac:dyDescent="0.25">
      <c r="A56" s="26"/>
      <c r="B56" s="25"/>
      <c r="C56" s="24"/>
      <c r="D56" s="21"/>
    </row>
    <row r="57" spans="1:14" s="5" customFormat="1" hidden="1" outlineLevel="1" x14ac:dyDescent="0.25">
      <c r="A57" s="26"/>
      <c r="B57" s="25"/>
      <c r="C57" s="24"/>
      <c r="D57" s="21"/>
    </row>
    <row r="58" spans="1:14" s="5" customFormat="1" hidden="1" outlineLevel="1" x14ac:dyDescent="0.25">
      <c r="A58" s="26"/>
      <c r="B58" s="25"/>
      <c r="C58" s="24"/>
      <c r="D58" s="21"/>
    </row>
    <row r="59" spans="1:14" s="5" customFormat="1" hidden="1" outlineLevel="1" x14ac:dyDescent="0.25">
      <c r="A59" s="26"/>
      <c r="B59" s="25"/>
      <c r="C59" s="24"/>
      <c r="D59" s="21"/>
    </row>
    <row r="60" spans="1:14" s="5" customFormat="1" hidden="1" outlineLevel="1" x14ac:dyDescent="0.25">
      <c r="A60" s="26"/>
      <c r="B60" s="25"/>
      <c r="C60" s="24"/>
      <c r="D60" s="21"/>
    </row>
    <row r="61" spans="1:14" s="5" customFormat="1" hidden="1" outlineLevel="1" x14ac:dyDescent="0.25">
      <c r="A61" s="26"/>
      <c r="B61" s="25"/>
      <c r="C61" s="24"/>
      <c r="D61" s="21"/>
    </row>
    <row r="62" spans="1:14" s="5" customFormat="1" hidden="1" outlineLevel="1" x14ac:dyDescent="0.25">
      <c r="A62" s="26"/>
      <c r="B62" s="25"/>
      <c r="C62" s="24"/>
      <c r="D62" s="21"/>
    </row>
    <row r="63" spans="1:14" s="5" customFormat="1" collapsed="1" x14ac:dyDescent="0.25">
      <c r="A63" s="23">
        <f>$C$63</f>
        <v>42723</v>
      </c>
      <c r="B63" s="25">
        <f>IF(C64&lt;Charts!$H$3,0,IF(DATE(YEAR(Charts!$H$3),MONTH(Charts!$H$3),DAY(Charts!$H$3))=DATE(YEAR(C64), MONTH(C64),DAY(C64)),0,TEXT(C63,"m/d/yy")&amp;"-"&amp;TEXT(C63+6,"m/d/yy")))</f>
        <v>0</v>
      </c>
      <c r="C63" s="24">
        <f t="shared" ref="C63:C120" si="0">C64-1</f>
        <v>42723</v>
      </c>
      <c r="D63" s="67">
        <f>$C$63</f>
        <v>42723</v>
      </c>
      <c r="E63" s="60">
        <f>SUMIFS(User!$D:$D, User!$B:$B, "&gt;="&amp;C63, User!$B:$B, "&lt;"&amp;C64)</f>
        <v>0</v>
      </c>
      <c r="F63" s="5" t="e">
        <f>IF($E63=MAX($E:$E),$E63,NA())</f>
        <v>#N/A</v>
      </c>
      <c r="G63" s="5" t="e">
        <f>IF($E63&lt;&gt;(SMALL($E:$E,COUNTIF($E:$E,0)+1)),NA(),(SMALL($E:$E,COUNTIF($E:$E,0)+1)))</f>
        <v>#N/A</v>
      </c>
      <c r="H63" s="5" t="e">
        <f>IF(E62=0,NA(),E63-E62)</f>
        <v>#N/A</v>
      </c>
      <c r="I63" s="5" t="e">
        <f t="array" ref="I63">IF(ABS($H63)=MAX(IF(ISNUMBER(ABS($H:$H)),ABS($H:$H))),$H63,NA())</f>
        <v>#N/A</v>
      </c>
      <c r="J63" s="60">
        <f>SUMIFS(Klout!$B:$B,Klout!$A:$A, "&gt;="&amp;C63, Klout!$A:$A, "&lt;"&amp;C64)</f>
        <v>0</v>
      </c>
      <c r="K63" s="5" t="e">
        <f>IF($J63=MAX($J:$J),$J63,NA())</f>
        <v>#N/A</v>
      </c>
      <c r="L63" s="5" t="e">
        <f>IF($J63&lt;&gt;(SMALL($J:$J,COUNTIF($J:$J,0)+1)),NA(),(SMALL($J:$J,COUNTIF($J:$J,0)+1)))</f>
        <v>#N/A</v>
      </c>
      <c r="M63" s="5" t="e">
        <f>IF(J62=0,NA(),J63-J62)</f>
        <v>#N/A</v>
      </c>
      <c r="N63" s="5" t="e">
        <f t="array" ref="N63">IF(ABS($M63)=MAX(IF(ISNUMBER(ABS($M:$M)),ABS($M:$M))),$M63,NA())</f>
        <v>#N/A</v>
      </c>
    </row>
    <row r="64" spans="1:14" s="5" customFormat="1" x14ac:dyDescent="0.25">
      <c r="A64" s="23">
        <f t="shared" ref="A64:A95" si="1">C64</f>
        <v>42724</v>
      </c>
      <c r="B64" s="25">
        <f>IF(C65&lt;Charts!$H$3,0,IF(DATE(YEAR(Charts!$H$3),MONTH(Charts!$H$3),DAY(Charts!$H$3))=DATE(YEAR(C65), MONTH(C65),DAY(C65)),0,TEXT(C64,"m/d/yy")&amp;"-"&amp;TEXT(C64+6,"m/d/yy")))</f>
        <v>0</v>
      </c>
      <c r="C64" s="24">
        <f t="shared" si="0"/>
        <v>42724</v>
      </c>
      <c r="D64" s="67">
        <f t="shared" ref="D64:D95" si="2">C64</f>
        <v>42724</v>
      </c>
      <c r="E64" s="60">
        <f>SUMIFS(User!$D:$D, User!$B:$B, "&gt;="&amp;C64, User!$B:$B, "&lt;"&amp;C65)</f>
        <v>0</v>
      </c>
      <c r="F64" s="5" t="e">
        <f t="shared" ref="F64:F122" si="3">IF($E64=MAX($E:$E),$E64,NA())</f>
        <v>#N/A</v>
      </c>
      <c r="G64" s="5" t="e">
        <f t="shared" ref="G64:G122" si="4">IF($E64&lt;&gt;(SMALL($E:$E,COUNTIF($E:$E,0)+1)),NA(),(SMALL($E:$E,COUNTIF($E:$E,0)+1)))</f>
        <v>#N/A</v>
      </c>
      <c r="H64" s="5" t="e">
        <f t="shared" ref="H64:H122" si="5">IF(E63=0,NA(),E64-E63)</f>
        <v>#N/A</v>
      </c>
      <c r="I64" s="5" t="e">
        <f t="array" ref="I64">IF(ABS($H64)=MAX(IF(ISNUMBER(ABS($H:$H)),ABS($H:$H))),$H64,NA())</f>
        <v>#N/A</v>
      </c>
      <c r="J64" s="60">
        <f>SUMIFS(Klout!$B:$B,Klout!$A:$A, "&gt;="&amp;C64, Klout!$A:$A, "&lt;"&amp;C65)</f>
        <v>0</v>
      </c>
      <c r="K64" s="5" t="e">
        <f t="shared" ref="K64:K122" si="6">IF($J64=MAX(J:J),$J64,NA())</f>
        <v>#N/A</v>
      </c>
      <c r="L64" s="5" t="e">
        <f t="shared" ref="L64:L122" si="7">IF($J64&lt;&gt;(SMALL($J:$J,COUNTIF($J:$J,0)+1)),NA(),(SMALL($J:$J,COUNTIF($J:$J,0)+1)))</f>
        <v>#N/A</v>
      </c>
      <c r="M64" s="5" t="e">
        <f t="shared" ref="M64:M122" si="8">IF(J63=0,NA(),J64-J63)</f>
        <v>#N/A</v>
      </c>
      <c r="N64" s="5" t="e">
        <f t="array" ref="N64">IF(ABS($M64)=MAX(IF(ISNUMBER(ABS($M:$M)),ABS($M:$M))),$M64,NA())</f>
        <v>#N/A</v>
      </c>
    </row>
    <row r="65" spans="1:14" s="5" customFormat="1" x14ac:dyDescent="0.25">
      <c r="A65" s="23">
        <f t="shared" si="1"/>
        <v>42725</v>
      </c>
      <c r="B65" s="25">
        <f>IF(C66&lt;Charts!$H$3,0,IF(DATE(YEAR(Charts!$H$3),MONTH(Charts!$H$3),DAY(Charts!$H$3))=DATE(YEAR(C66), MONTH(C66),DAY(C66)),0,TEXT(C65,"m/d/yy")&amp;"-"&amp;TEXT(C65+6,"m/d/yy")))</f>
        <v>0</v>
      </c>
      <c r="C65" s="24">
        <f t="shared" si="0"/>
        <v>42725</v>
      </c>
      <c r="D65" s="67">
        <f t="shared" si="2"/>
        <v>42725</v>
      </c>
      <c r="E65" s="60">
        <f>SUMIFS(User!$D:$D, User!$B:$B, "&gt;="&amp;C65, User!$B:$B, "&lt;"&amp;C66)</f>
        <v>0</v>
      </c>
      <c r="F65" s="5" t="e">
        <f t="shared" si="3"/>
        <v>#N/A</v>
      </c>
      <c r="G65" s="5" t="e">
        <f t="shared" si="4"/>
        <v>#N/A</v>
      </c>
      <c r="H65" s="5" t="e">
        <f t="shared" si="5"/>
        <v>#N/A</v>
      </c>
      <c r="I65" s="5" t="e">
        <f t="array" ref="I65">IF(ABS($H65)=MAX(IF(ISNUMBER(ABS($H:$H)),ABS($H:$H))),$H65,NA())</f>
        <v>#N/A</v>
      </c>
      <c r="J65" s="60">
        <f>SUMIFS(Klout!$B:$B,Klout!$A:$A, "&gt;="&amp;C65, Klout!$A:$A, "&lt;"&amp;C66)</f>
        <v>0</v>
      </c>
      <c r="K65" s="5" t="e">
        <f t="shared" si="6"/>
        <v>#N/A</v>
      </c>
      <c r="L65" s="5" t="e">
        <f t="shared" si="7"/>
        <v>#N/A</v>
      </c>
      <c r="M65" s="5" t="e">
        <f t="shared" si="8"/>
        <v>#N/A</v>
      </c>
      <c r="N65" s="5" t="e">
        <f t="array" ref="N65">IF(ABS($M65)=MAX(IF(ISNUMBER(ABS($M:$M)),ABS($M:$M))),$M65,NA())</f>
        <v>#N/A</v>
      </c>
    </row>
    <row r="66" spans="1:14" s="5" customFormat="1" x14ac:dyDescent="0.25">
      <c r="A66" s="23">
        <f t="shared" si="1"/>
        <v>42726</v>
      </c>
      <c r="B66" s="25">
        <f>IF(C67&lt;Charts!$H$3,0,IF(DATE(YEAR(Charts!$H$3),MONTH(Charts!$H$3),DAY(Charts!$H$3))=DATE(YEAR(C67), MONTH(C67),DAY(C67)),0,TEXT(C66,"m/d/yy")&amp;"-"&amp;TEXT(C66+6,"m/d/yy")))</f>
        <v>0</v>
      </c>
      <c r="C66" s="24">
        <f t="shared" si="0"/>
        <v>42726</v>
      </c>
      <c r="D66" s="67">
        <f t="shared" si="2"/>
        <v>42726</v>
      </c>
      <c r="E66" s="60">
        <f>SUMIFS(User!$D:$D, User!$B:$B, "&gt;="&amp;C66, User!$B:$B, "&lt;"&amp;C67)</f>
        <v>0</v>
      </c>
      <c r="F66" s="5" t="e">
        <f t="shared" si="3"/>
        <v>#N/A</v>
      </c>
      <c r="G66" s="5" t="e">
        <f t="shared" si="4"/>
        <v>#N/A</v>
      </c>
      <c r="H66" s="5" t="e">
        <f t="shared" si="5"/>
        <v>#N/A</v>
      </c>
      <c r="I66" s="5" t="e">
        <f t="array" ref="I66">IF(ABS($H66)=MAX(IF(ISNUMBER(ABS($H:$H)),ABS($H:$H))),$H66,NA())</f>
        <v>#N/A</v>
      </c>
      <c r="J66" s="60">
        <f>SUMIFS(Klout!$B:$B,Klout!$A:$A, "&gt;="&amp;C66, Klout!$A:$A, "&lt;"&amp;C67)</f>
        <v>0</v>
      </c>
      <c r="K66" s="5" t="e">
        <f t="shared" si="6"/>
        <v>#N/A</v>
      </c>
      <c r="L66" s="5" t="e">
        <f t="shared" si="7"/>
        <v>#N/A</v>
      </c>
      <c r="M66" s="5" t="e">
        <f t="shared" si="8"/>
        <v>#N/A</v>
      </c>
      <c r="N66" s="5" t="e">
        <f t="array" ref="N66">IF(ABS($M66)=MAX(IF(ISNUMBER(ABS($M:$M)),ABS($M:$M))),$M66,NA())</f>
        <v>#N/A</v>
      </c>
    </row>
    <row r="67" spans="1:14" s="5" customFormat="1" x14ac:dyDescent="0.25">
      <c r="A67" s="23">
        <f t="shared" si="1"/>
        <v>42727</v>
      </c>
      <c r="B67" s="25">
        <f>IF(C68&lt;Charts!$H$3,0,IF(DATE(YEAR(Charts!$H$3),MONTH(Charts!$H$3),DAY(Charts!$H$3))=DATE(YEAR(C68), MONTH(C68),DAY(C68)),0,TEXT(C67,"m/d/yy")&amp;"-"&amp;TEXT(C67+6,"m/d/yy")))</f>
        <v>0</v>
      </c>
      <c r="C67" s="24">
        <f t="shared" si="0"/>
        <v>42727</v>
      </c>
      <c r="D67" s="67">
        <f t="shared" si="2"/>
        <v>42727</v>
      </c>
      <c r="E67" s="60">
        <f>SUMIFS(User!$D:$D, User!$B:$B, "&gt;="&amp;C67, User!$B:$B, "&lt;"&amp;C68)</f>
        <v>0</v>
      </c>
      <c r="F67" s="5" t="e">
        <f t="shared" si="3"/>
        <v>#N/A</v>
      </c>
      <c r="G67" s="5" t="e">
        <f t="shared" si="4"/>
        <v>#N/A</v>
      </c>
      <c r="H67" s="5" t="e">
        <f t="shared" si="5"/>
        <v>#N/A</v>
      </c>
      <c r="I67" s="5" t="e">
        <f t="array" ref="I67">IF(ABS($H67)=MAX(IF(ISNUMBER(ABS($H:$H)),ABS($H:$H))),$H67,NA())</f>
        <v>#N/A</v>
      </c>
      <c r="J67" s="60">
        <f>SUMIFS(Klout!$B:$B,Klout!$A:$A, "&gt;="&amp;C67, Klout!$A:$A, "&lt;"&amp;C68)</f>
        <v>0</v>
      </c>
      <c r="K67" s="5" t="e">
        <f t="shared" si="6"/>
        <v>#N/A</v>
      </c>
      <c r="L67" s="5" t="e">
        <f t="shared" si="7"/>
        <v>#N/A</v>
      </c>
      <c r="M67" s="5" t="e">
        <f t="shared" si="8"/>
        <v>#N/A</v>
      </c>
      <c r="N67" s="5" t="e">
        <f t="array" ref="N67">IF(ABS($M67)=MAX(IF(ISNUMBER(ABS($M:$M)),ABS($M:$M))),$M67,NA())</f>
        <v>#N/A</v>
      </c>
    </row>
    <row r="68" spans="1:14" s="5" customFormat="1" x14ac:dyDescent="0.25">
      <c r="A68" s="23">
        <f t="shared" si="1"/>
        <v>42728</v>
      </c>
      <c r="B68" s="25">
        <f>IF(C69&lt;Charts!$H$3,0,IF(DATE(YEAR(Charts!$H$3),MONTH(Charts!$H$3),DAY(Charts!$H$3))=DATE(YEAR(C69), MONTH(C69),DAY(C69)),0,TEXT(C68,"m/d/yy")&amp;"-"&amp;TEXT(C68+6,"m/d/yy")))</f>
        <v>0</v>
      </c>
      <c r="C68" s="24">
        <f t="shared" si="0"/>
        <v>42728</v>
      </c>
      <c r="D68" s="67">
        <f t="shared" si="2"/>
        <v>42728</v>
      </c>
      <c r="E68" s="60">
        <f>SUMIFS(User!$D:$D, User!$B:$B, "&gt;="&amp;C68, User!$B:$B, "&lt;"&amp;C69)</f>
        <v>0</v>
      </c>
      <c r="F68" s="5" t="e">
        <f t="shared" si="3"/>
        <v>#N/A</v>
      </c>
      <c r="G68" s="5" t="e">
        <f t="shared" si="4"/>
        <v>#N/A</v>
      </c>
      <c r="H68" s="5" t="e">
        <f t="shared" si="5"/>
        <v>#N/A</v>
      </c>
      <c r="I68" s="5" t="e">
        <f t="array" ref="I68">IF(ABS($H68)=MAX(IF(ISNUMBER(ABS($H:$H)),ABS($H:$H))),$H68,NA())</f>
        <v>#N/A</v>
      </c>
      <c r="J68" s="60">
        <f>SUMIFS(Klout!$B:$B,Klout!$A:$A, "&gt;="&amp;C68, Klout!$A:$A, "&lt;"&amp;C69)</f>
        <v>0</v>
      </c>
      <c r="K68" s="5" t="e">
        <f t="shared" si="6"/>
        <v>#N/A</v>
      </c>
      <c r="L68" s="5" t="e">
        <f t="shared" si="7"/>
        <v>#N/A</v>
      </c>
      <c r="M68" s="5" t="e">
        <f t="shared" si="8"/>
        <v>#N/A</v>
      </c>
      <c r="N68" s="5" t="e">
        <f t="array" ref="N68">IF(ABS($M68)=MAX(IF(ISNUMBER(ABS($M:$M)),ABS($M:$M))),$M68,NA())</f>
        <v>#N/A</v>
      </c>
    </row>
    <row r="69" spans="1:14" s="5" customFormat="1" x14ac:dyDescent="0.25">
      <c r="A69" s="23">
        <f t="shared" si="1"/>
        <v>42729</v>
      </c>
      <c r="B69" s="25">
        <f>IF(C70&lt;Charts!$H$3,0,IF(DATE(YEAR(Charts!$H$3),MONTH(Charts!$H$3),DAY(Charts!$H$3))=DATE(YEAR(C70), MONTH(C70),DAY(C70)),0,TEXT(C69,"m/d/yy")&amp;"-"&amp;TEXT(C69+6,"m/d/yy")))</f>
        <v>0</v>
      </c>
      <c r="C69" s="24">
        <f t="shared" si="0"/>
        <v>42729</v>
      </c>
      <c r="D69" s="67">
        <f t="shared" si="2"/>
        <v>42729</v>
      </c>
      <c r="E69" s="60">
        <f>SUMIFS(User!$D:$D, User!$B:$B, "&gt;="&amp;C69, User!$B:$B, "&lt;"&amp;C70)</f>
        <v>0</v>
      </c>
      <c r="F69" s="5" t="e">
        <f t="shared" si="3"/>
        <v>#N/A</v>
      </c>
      <c r="G69" s="5" t="e">
        <f t="shared" si="4"/>
        <v>#N/A</v>
      </c>
      <c r="H69" s="5" t="e">
        <f t="shared" si="5"/>
        <v>#N/A</v>
      </c>
      <c r="I69" s="5" t="e">
        <f t="array" ref="I69">IF(ABS($H69)=MAX(IF(ISNUMBER(ABS($H:$H)),ABS($H:$H))),$H69,NA())</f>
        <v>#N/A</v>
      </c>
      <c r="J69" s="60">
        <f>SUMIFS(Klout!$B:$B,Klout!$A:$A, "&gt;="&amp;C69, Klout!$A:$A, "&lt;"&amp;C70)</f>
        <v>0</v>
      </c>
      <c r="K69" s="5" t="e">
        <f t="shared" si="6"/>
        <v>#N/A</v>
      </c>
      <c r="L69" s="5" t="e">
        <f t="shared" si="7"/>
        <v>#N/A</v>
      </c>
      <c r="M69" s="5" t="e">
        <f t="shared" si="8"/>
        <v>#N/A</v>
      </c>
      <c r="N69" s="5" t="e">
        <f t="array" ref="N69">IF(ABS($M69)=MAX(IF(ISNUMBER(ABS($M:$M)),ABS($M:$M))),$M69,NA())</f>
        <v>#N/A</v>
      </c>
    </row>
    <row r="70" spans="1:14" s="5" customFormat="1" x14ac:dyDescent="0.25">
      <c r="A70" s="23">
        <f t="shared" si="1"/>
        <v>42730</v>
      </c>
      <c r="B70" s="25">
        <f>IF(C71&lt;Charts!$H$3,0,IF(DATE(YEAR(Charts!$H$3),MONTH(Charts!$H$3),DAY(Charts!$H$3))=DATE(YEAR(C71), MONTH(C71),DAY(C71)),0,TEXT(C70,"m/d/yy")&amp;"-"&amp;TEXT(C70+6,"m/d/yy")))</f>
        <v>0</v>
      </c>
      <c r="C70" s="24">
        <f t="shared" si="0"/>
        <v>42730</v>
      </c>
      <c r="D70" s="67">
        <f t="shared" si="2"/>
        <v>42730</v>
      </c>
      <c r="E70" s="60">
        <f>SUMIFS(User!$D:$D, User!$B:$B, "&gt;="&amp;C70, User!$B:$B, "&lt;"&amp;C71)</f>
        <v>0</v>
      </c>
      <c r="F70" s="5" t="e">
        <f t="shared" si="3"/>
        <v>#N/A</v>
      </c>
      <c r="G70" s="5" t="e">
        <f t="shared" si="4"/>
        <v>#N/A</v>
      </c>
      <c r="H70" s="5" t="e">
        <f t="shared" si="5"/>
        <v>#N/A</v>
      </c>
      <c r="I70" s="5" t="e">
        <f t="array" ref="I70">IF(ABS($H70)=MAX(IF(ISNUMBER(ABS($H:$H)),ABS($H:$H))),$H70,NA())</f>
        <v>#N/A</v>
      </c>
      <c r="J70" s="60">
        <f>SUMIFS(Klout!$B:$B,Klout!$A:$A, "&gt;="&amp;C70, Klout!$A:$A, "&lt;"&amp;C71)</f>
        <v>0</v>
      </c>
      <c r="K70" s="5" t="e">
        <f t="shared" si="6"/>
        <v>#N/A</v>
      </c>
      <c r="L70" s="5" t="e">
        <f t="shared" si="7"/>
        <v>#N/A</v>
      </c>
      <c r="M70" s="5" t="e">
        <f t="shared" si="8"/>
        <v>#N/A</v>
      </c>
      <c r="N70" s="5" t="e">
        <f t="array" ref="N70">IF(ABS($M70)=MAX(IF(ISNUMBER(ABS($M:$M)),ABS($M:$M))),$M70,NA())</f>
        <v>#N/A</v>
      </c>
    </row>
    <row r="71" spans="1:14" s="5" customFormat="1" x14ac:dyDescent="0.25">
      <c r="A71" s="23">
        <f t="shared" si="1"/>
        <v>42731</v>
      </c>
      <c r="B71" s="25">
        <f>IF(C72&lt;Charts!$H$3,0,IF(DATE(YEAR(Charts!$H$3),MONTH(Charts!$H$3),DAY(Charts!$H$3))=DATE(YEAR(C72), MONTH(C72),DAY(C72)),0,TEXT(C71,"m/d/yy")&amp;"-"&amp;TEXT(C71+6,"m/d/yy")))</f>
        <v>0</v>
      </c>
      <c r="C71" s="24">
        <f t="shared" si="0"/>
        <v>42731</v>
      </c>
      <c r="D71" s="67">
        <f t="shared" si="2"/>
        <v>42731</v>
      </c>
      <c r="E71" s="60">
        <f>SUMIFS(User!$D:$D, User!$B:$B, "&gt;="&amp;C71, User!$B:$B, "&lt;"&amp;C72)</f>
        <v>0</v>
      </c>
      <c r="F71" s="5" t="e">
        <f t="shared" si="3"/>
        <v>#N/A</v>
      </c>
      <c r="G71" s="5" t="e">
        <f t="shared" si="4"/>
        <v>#N/A</v>
      </c>
      <c r="H71" s="5" t="e">
        <f t="shared" si="5"/>
        <v>#N/A</v>
      </c>
      <c r="I71" s="5" t="e">
        <f t="array" ref="I71">IF(ABS($H71)=MAX(IF(ISNUMBER(ABS($H:$H)),ABS($H:$H))),$H71,NA())</f>
        <v>#N/A</v>
      </c>
      <c r="J71" s="60">
        <f>SUMIFS(Klout!$B:$B,Klout!$A:$A, "&gt;="&amp;C71, Klout!$A:$A, "&lt;"&amp;C72)</f>
        <v>0</v>
      </c>
      <c r="K71" s="5" t="e">
        <f t="shared" si="6"/>
        <v>#N/A</v>
      </c>
      <c r="L71" s="5" t="e">
        <f t="shared" si="7"/>
        <v>#N/A</v>
      </c>
      <c r="M71" s="5" t="e">
        <f t="shared" si="8"/>
        <v>#N/A</v>
      </c>
      <c r="N71" s="5" t="e">
        <f t="array" ref="N71">IF(ABS($M71)=MAX(IF(ISNUMBER(ABS($M:$M)),ABS($M:$M))),$M71,NA())</f>
        <v>#N/A</v>
      </c>
    </row>
    <row r="72" spans="1:14" s="5" customFormat="1" x14ac:dyDescent="0.25">
      <c r="A72" s="23">
        <f t="shared" si="1"/>
        <v>42732</v>
      </c>
      <c r="B72" s="25">
        <f>IF(C73&lt;Charts!$H$3,0,IF(DATE(YEAR(Charts!$H$3),MONTH(Charts!$H$3),DAY(Charts!$H$3))=DATE(YEAR(C73), MONTH(C73),DAY(C73)),0,TEXT(C72,"m/d/yy")&amp;"-"&amp;TEXT(C72+6,"m/d/yy")))</f>
        <v>0</v>
      </c>
      <c r="C72" s="24">
        <f t="shared" si="0"/>
        <v>42732</v>
      </c>
      <c r="D72" s="67">
        <f t="shared" si="2"/>
        <v>42732</v>
      </c>
      <c r="E72" s="60">
        <f>SUMIFS(User!$D:$D, User!$B:$B, "&gt;="&amp;C72, User!$B:$B, "&lt;"&amp;C73)</f>
        <v>0</v>
      </c>
      <c r="F72" s="5" t="e">
        <f t="shared" si="3"/>
        <v>#N/A</v>
      </c>
      <c r="G72" s="5" t="e">
        <f t="shared" si="4"/>
        <v>#N/A</v>
      </c>
      <c r="H72" s="5" t="e">
        <f t="shared" si="5"/>
        <v>#N/A</v>
      </c>
      <c r="I72" s="5" t="e">
        <f t="array" ref="I72">IF(ABS($H72)=MAX(IF(ISNUMBER(ABS($H:$H)),ABS($H:$H))),$H72,NA())</f>
        <v>#N/A</v>
      </c>
      <c r="J72" s="60">
        <f>SUMIFS(Klout!$B:$B,Klout!$A:$A, "&gt;="&amp;C72, Klout!$A:$A, "&lt;"&amp;C73)</f>
        <v>0</v>
      </c>
      <c r="K72" s="5" t="e">
        <f t="shared" si="6"/>
        <v>#N/A</v>
      </c>
      <c r="L72" s="5" t="e">
        <f t="shared" si="7"/>
        <v>#N/A</v>
      </c>
      <c r="M72" s="5" t="e">
        <f t="shared" si="8"/>
        <v>#N/A</v>
      </c>
      <c r="N72" s="5" t="e">
        <f t="array" ref="N72">IF(ABS($M72)=MAX(IF(ISNUMBER(ABS($M:$M)),ABS($M:$M))),$M72,NA())</f>
        <v>#N/A</v>
      </c>
    </row>
    <row r="73" spans="1:14" s="5" customFormat="1" x14ac:dyDescent="0.25">
      <c r="A73" s="23">
        <f t="shared" si="1"/>
        <v>42733</v>
      </c>
      <c r="B73" s="25">
        <f>IF(C74&lt;Charts!$H$3,0,IF(DATE(YEAR(Charts!$H$3),MONTH(Charts!$H$3),DAY(Charts!$H$3))=DATE(YEAR(C74), MONTH(C74),DAY(C74)),0,TEXT(C73,"m/d/yy")&amp;"-"&amp;TEXT(C73+6,"m/d/yy")))</f>
        <v>0</v>
      </c>
      <c r="C73" s="24">
        <f t="shared" si="0"/>
        <v>42733</v>
      </c>
      <c r="D73" s="67">
        <f t="shared" si="2"/>
        <v>42733</v>
      </c>
      <c r="E73" s="60">
        <f>SUMIFS(User!$D:$D, User!$B:$B, "&gt;="&amp;C73, User!$B:$B, "&lt;"&amp;C74)</f>
        <v>0</v>
      </c>
      <c r="F73" s="5" t="e">
        <f t="shared" si="3"/>
        <v>#N/A</v>
      </c>
      <c r="G73" s="5" t="e">
        <f t="shared" si="4"/>
        <v>#N/A</v>
      </c>
      <c r="H73" s="5" t="e">
        <f t="shared" si="5"/>
        <v>#N/A</v>
      </c>
      <c r="I73" s="5" t="e">
        <f t="array" ref="I73">IF(ABS($H73)=MAX(IF(ISNUMBER(ABS($H:$H)),ABS($H:$H))),$H73,NA())</f>
        <v>#N/A</v>
      </c>
      <c r="J73" s="60">
        <f>SUMIFS(Klout!$B:$B,Klout!$A:$A, "&gt;="&amp;C73, Klout!$A:$A, "&lt;"&amp;C74)</f>
        <v>0</v>
      </c>
      <c r="K73" s="5" t="e">
        <f t="shared" si="6"/>
        <v>#N/A</v>
      </c>
      <c r="L73" s="5" t="e">
        <f t="shared" si="7"/>
        <v>#N/A</v>
      </c>
      <c r="M73" s="5" t="e">
        <f t="shared" si="8"/>
        <v>#N/A</v>
      </c>
      <c r="N73" s="5" t="e">
        <f t="array" ref="N73">IF(ABS($M73)=MAX(IF(ISNUMBER(ABS($M:$M)),ABS($M:$M))),$M73,NA())</f>
        <v>#N/A</v>
      </c>
    </row>
    <row r="74" spans="1:14" s="5" customFormat="1" x14ac:dyDescent="0.25">
      <c r="A74" s="23">
        <f t="shared" si="1"/>
        <v>42734</v>
      </c>
      <c r="B74" s="25">
        <f>IF(C75&lt;Charts!$H$3,0,IF(DATE(YEAR(Charts!$H$3),MONTH(Charts!$H$3),DAY(Charts!$H$3))=DATE(YEAR(C75), MONTH(C75),DAY(C75)),0,TEXT(C74,"m/d/yy")&amp;"-"&amp;TEXT(C74+6,"m/d/yy")))</f>
        <v>0</v>
      </c>
      <c r="C74" s="24">
        <f t="shared" si="0"/>
        <v>42734</v>
      </c>
      <c r="D74" s="67">
        <f t="shared" si="2"/>
        <v>42734</v>
      </c>
      <c r="E74" s="60">
        <f>SUMIFS(User!$D:$D, User!$B:$B, "&gt;="&amp;C74, User!$B:$B, "&lt;"&amp;C75)</f>
        <v>0</v>
      </c>
      <c r="F74" s="5" t="e">
        <f t="shared" si="3"/>
        <v>#N/A</v>
      </c>
      <c r="G74" s="5" t="e">
        <f t="shared" si="4"/>
        <v>#N/A</v>
      </c>
      <c r="H74" s="5" t="e">
        <f t="shared" si="5"/>
        <v>#N/A</v>
      </c>
      <c r="I74" s="5" t="e">
        <f t="array" ref="I74">IF(ABS($H74)=MAX(IF(ISNUMBER(ABS($H:$H)),ABS($H:$H))),$H74,NA())</f>
        <v>#N/A</v>
      </c>
      <c r="J74" s="60">
        <f>SUMIFS(Klout!$B:$B,Klout!$A:$A, "&gt;="&amp;C74, Klout!$A:$A, "&lt;"&amp;C75)</f>
        <v>0</v>
      </c>
      <c r="K74" s="5" t="e">
        <f t="shared" si="6"/>
        <v>#N/A</v>
      </c>
      <c r="L74" s="5" t="e">
        <f t="shared" si="7"/>
        <v>#N/A</v>
      </c>
      <c r="M74" s="5" t="e">
        <f t="shared" si="8"/>
        <v>#N/A</v>
      </c>
      <c r="N74" s="5" t="e">
        <f t="array" ref="N74">IF(ABS($M74)=MAX(IF(ISNUMBER(ABS($M:$M)),ABS($M:$M))),$M74,NA())</f>
        <v>#N/A</v>
      </c>
    </row>
    <row r="75" spans="1:14" s="5" customFormat="1" x14ac:dyDescent="0.25">
      <c r="A75" s="23">
        <f t="shared" si="1"/>
        <v>42735</v>
      </c>
      <c r="B75" s="25">
        <f>IF(C76&lt;Charts!$H$3,0,IF(DATE(YEAR(Charts!$H$3),MONTH(Charts!$H$3),DAY(Charts!$H$3))=DATE(YEAR(C76), MONTH(C76),DAY(C76)),0,TEXT(C75,"m/d/yy")&amp;"-"&amp;TEXT(C75+6,"m/d/yy")))</f>
        <v>0</v>
      </c>
      <c r="C75" s="24">
        <f t="shared" si="0"/>
        <v>42735</v>
      </c>
      <c r="D75" s="67">
        <f t="shared" si="2"/>
        <v>42735</v>
      </c>
      <c r="E75" s="60">
        <f>SUMIFS(User!$D:$D, User!$B:$B, "&gt;="&amp;C75, User!$B:$B, "&lt;"&amp;C76)</f>
        <v>0</v>
      </c>
      <c r="F75" s="5" t="e">
        <f t="shared" si="3"/>
        <v>#N/A</v>
      </c>
      <c r="G75" s="5" t="e">
        <f t="shared" si="4"/>
        <v>#N/A</v>
      </c>
      <c r="H75" s="5" t="e">
        <f t="shared" si="5"/>
        <v>#N/A</v>
      </c>
      <c r="I75" s="5" t="e">
        <f t="array" ref="I75">IF(ABS($H75)=MAX(IF(ISNUMBER(ABS($H:$H)),ABS($H:$H))),$H75,NA())</f>
        <v>#N/A</v>
      </c>
      <c r="J75" s="60">
        <f>SUMIFS(Klout!$B:$B,Klout!$A:$A, "&gt;="&amp;C75, Klout!$A:$A, "&lt;"&amp;C76)</f>
        <v>0</v>
      </c>
      <c r="K75" s="5" t="e">
        <f t="shared" si="6"/>
        <v>#N/A</v>
      </c>
      <c r="L75" s="5" t="e">
        <f t="shared" si="7"/>
        <v>#N/A</v>
      </c>
      <c r="M75" s="5" t="e">
        <f t="shared" si="8"/>
        <v>#N/A</v>
      </c>
      <c r="N75" s="5" t="e">
        <f t="array" ref="N75">IF(ABS($M75)=MAX(IF(ISNUMBER(ABS($M:$M)),ABS($M:$M))),$M75,NA())</f>
        <v>#N/A</v>
      </c>
    </row>
    <row r="76" spans="1:14" s="5" customFormat="1" x14ac:dyDescent="0.25">
      <c r="A76" s="23">
        <f t="shared" si="1"/>
        <v>42736</v>
      </c>
      <c r="B76" s="25">
        <f>IF(C77&lt;Charts!$H$3,0,IF(DATE(YEAR(Charts!$H$3),MONTH(Charts!$H$3),DAY(Charts!$H$3))=DATE(YEAR(C77), MONTH(C77),DAY(C77)),0,TEXT(C76,"m/d/yy")&amp;"-"&amp;TEXT(C76+6,"m/d/yy")))</f>
        <v>0</v>
      </c>
      <c r="C76" s="24">
        <f t="shared" si="0"/>
        <v>42736</v>
      </c>
      <c r="D76" s="67">
        <f t="shared" si="2"/>
        <v>42736</v>
      </c>
      <c r="E76" s="60">
        <f>SUMIFS(User!$D:$D, User!$B:$B, "&gt;="&amp;C76, User!$B:$B, "&lt;"&amp;C77)</f>
        <v>0</v>
      </c>
      <c r="F76" s="5" t="e">
        <f t="shared" si="3"/>
        <v>#N/A</v>
      </c>
      <c r="G76" s="5" t="e">
        <f t="shared" si="4"/>
        <v>#N/A</v>
      </c>
      <c r="H76" s="5" t="e">
        <f t="shared" si="5"/>
        <v>#N/A</v>
      </c>
      <c r="I76" s="5" t="e">
        <f t="array" ref="I76">IF(ABS($H76)=MAX(IF(ISNUMBER(ABS($H:$H)),ABS($H:$H))),$H76,NA())</f>
        <v>#N/A</v>
      </c>
      <c r="J76" s="60">
        <f>SUMIFS(Klout!$B:$B,Klout!$A:$A, "&gt;="&amp;C76, Klout!$A:$A, "&lt;"&amp;C77)</f>
        <v>0</v>
      </c>
      <c r="K76" s="5" t="e">
        <f t="shared" si="6"/>
        <v>#N/A</v>
      </c>
      <c r="L76" s="5" t="e">
        <f t="shared" si="7"/>
        <v>#N/A</v>
      </c>
      <c r="M76" s="5" t="e">
        <f t="shared" si="8"/>
        <v>#N/A</v>
      </c>
      <c r="N76" s="5" t="e">
        <f t="array" ref="N76">IF(ABS($M76)=MAX(IF(ISNUMBER(ABS($M:$M)),ABS($M:$M))),$M76,NA())</f>
        <v>#N/A</v>
      </c>
    </row>
    <row r="77" spans="1:14" s="5" customFormat="1" x14ac:dyDescent="0.25">
      <c r="A77" s="23">
        <f t="shared" si="1"/>
        <v>42737</v>
      </c>
      <c r="B77" s="25">
        <f>IF(C78&lt;Charts!$H$3,0,IF(DATE(YEAR(Charts!$H$3),MONTH(Charts!$H$3),DAY(Charts!$H$3))=DATE(YEAR(C78), MONTH(C78),DAY(C78)),0,TEXT(C77,"m/d/yy")&amp;"-"&amp;TEXT(C77+6,"m/d/yy")))</f>
        <v>0</v>
      </c>
      <c r="C77" s="24">
        <f t="shared" si="0"/>
        <v>42737</v>
      </c>
      <c r="D77" s="67">
        <f t="shared" si="2"/>
        <v>42737</v>
      </c>
      <c r="E77" s="60">
        <f>SUMIFS(User!$D:$D, User!$B:$B, "&gt;="&amp;C77, User!$B:$B, "&lt;"&amp;C78)</f>
        <v>0</v>
      </c>
      <c r="F77" s="5" t="e">
        <f t="shared" si="3"/>
        <v>#N/A</v>
      </c>
      <c r="G77" s="5" t="e">
        <f t="shared" si="4"/>
        <v>#N/A</v>
      </c>
      <c r="H77" s="5" t="e">
        <f t="shared" si="5"/>
        <v>#N/A</v>
      </c>
      <c r="I77" s="5" t="e">
        <f t="array" ref="I77">IF(ABS($H77)=MAX(IF(ISNUMBER(ABS($H:$H)),ABS($H:$H))),$H77,NA())</f>
        <v>#N/A</v>
      </c>
      <c r="J77" s="60">
        <f>SUMIFS(Klout!$B:$B,Klout!$A:$A, "&gt;="&amp;C77, Klout!$A:$A, "&lt;"&amp;C78)</f>
        <v>0</v>
      </c>
      <c r="K77" s="5" t="e">
        <f t="shared" si="6"/>
        <v>#N/A</v>
      </c>
      <c r="L77" s="5" t="e">
        <f t="shared" si="7"/>
        <v>#N/A</v>
      </c>
      <c r="M77" s="5" t="e">
        <f t="shared" si="8"/>
        <v>#N/A</v>
      </c>
      <c r="N77" s="5" t="e">
        <f t="array" ref="N77">IF(ABS($M77)=MAX(IF(ISNUMBER(ABS($M:$M)),ABS($M:$M))),$M77,NA())</f>
        <v>#N/A</v>
      </c>
    </row>
    <row r="78" spans="1:14" s="5" customFormat="1" x14ac:dyDescent="0.25">
      <c r="A78" s="23">
        <f t="shared" si="1"/>
        <v>42738</v>
      </c>
      <c r="B78" s="25">
        <f>IF(C79&lt;Charts!$H$3,0,IF(DATE(YEAR(Charts!$H$3),MONTH(Charts!$H$3),DAY(Charts!$H$3))=DATE(YEAR(C79), MONTH(C79),DAY(C79)),0,TEXT(C78,"m/d/yy")&amp;"-"&amp;TEXT(C78+6,"m/d/yy")))</f>
        <v>0</v>
      </c>
      <c r="C78" s="24">
        <f t="shared" si="0"/>
        <v>42738</v>
      </c>
      <c r="D78" s="67">
        <f t="shared" si="2"/>
        <v>42738</v>
      </c>
      <c r="E78" s="60">
        <f>SUMIFS(User!$D:$D, User!$B:$B, "&gt;="&amp;C78, User!$B:$B, "&lt;"&amp;C79)</f>
        <v>0</v>
      </c>
      <c r="F78" s="5" t="e">
        <f t="shared" si="3"/>
        <v>#N/A</v>
      </c>
      <c r="G78" s="5" t="e">
        <f t="shared" si="4"/>
        <v>#N/A</v>
      </c>
      <c r="H78" s="5" t="e">
        <f t="shared" si="5"/>
        <v>#N/A</v>
      </c>
      <c r="I78" s="5" t="e">
        <f t="array" ref="I78">IF(ABS($H78)=MAX(IF(ISNUMBER(ABS($H:$H)),ABS($H:$H))),$H78,NA())</f>
        <v>#N/A</v>
      </c>
      <c r="J78" s="60">
        <f>SUMIFS(Klout!$B:$B,Klout!$A:$A, "&gt;="&amp;C78, Klout!$A:$A, "&lt;"&amp;C79)</f>
        <v>0</v>
      </c>
      <c r="K78" s="5" t="e">
        <f t="shared" si="6"/>
        <v>#N/A</v>
      </c>
      <c r="L78" s="5" t="e">
        <f t="shared" si="7"/>
        <v>#N/A</v>
      </c>
      <c r="M78" s="5" t="e">
        <f t="shared" si="8"/>
        <v>#N/A</v>
      </c>
      <c r="N78" s="5" t="e">
        <f t="array" ref="N78">IF(ABS($M78)=MAX(IF(ISNUMBER(ABS($M:$M)),ABS($M:$M))),$M78,NA())</f>
        <v>#N/A</v>
      </c>
    </row>
    <row r="79" spans="1:14" s="5" customFormat="1" x14ac:dyDescent="0.25">
      <c r="A79" s="23">
        <f t="shared" si="1"/>
        <v>42739</v>
      </c>
      <c r="B79" s="25">
        <f>IF(C80&lt;Charts!$H$3,0,IF(DATE(YEAR(Charts!$H$3),MONTH(Charts!$H$3),DAY(Charts!$H$3))=DATE(YEAR(C80), MONTH(C80),DAY(C80)),0,TEXT(C79,"m/d/yy")&amp;"-"&amp;TEXT(C79+6,"m/d/yy")))</f>
        <v>0</v>
      </c>
      <c r="C79" s="24">
        <f t="shared" si="0"/>
        <v>42739</v>
      </c>
      <c r="D79" s="67">
        <f t="shared" si="2"/>
        <v>42739</v>
      </c>
      <c r="E79" s="60">
        <f>SUMIFS(User!$D:$D, User!$B:$B, "&gt;="&amp;C79, User!$B:$B, "&lt;"&amp;C80)</f>
        <v>0</v>
      </c>
      <c r="F79" s="5" t="e">
        <f t="shared" si="3"/>
        <v>#N/A</v>
      </c>
      <c r="G79" s="5" t="e">
        <f t="shared" si="4"/>
        <v>#N/A</v>
      </c>
      <c r="H79" s="5" t="e">
        <f t="shared" si="5"/>
        <v>#N/A</v>
      </c>
      <c r="I79" s="5" t="e">
        <f t="array" ref="I79">IF(ABS($H79)=MAX(IF(ISNUMBER(ABS($H:$H)),ABS($H:$H))),$H79,NA())</f>
        <v>#N/A</v>
      </c>
      <c r="J79" s="60">
        <f>SUMIFS(Klout!$B:$B,Klout!$A:$A, "&gt;="&amp;C79, Klout!$A:$A, "&lt;"&amp;C80)</f>
        <v>0</v>
      </c>
      <c r="K79" s="5" t="e">
        <f t="shared" si="6"/>
        <v>#N/A</v>
      </c>
      <c r="L79" s="5" t="e">
        <f t="shared" si="7"/>
        <v>#N/A</v>
      </c>
      <c r="M79" s="5" t="e">
        <f t="shared" si="8"/>
        <v>#N/A</v>
      </c>
      <c r="N79" s="5" t="e">
        <f t="array" ref="N79">IF(ABS($M79)=MAX(IF(ISNUMBER(ABS($M:$M)),ABS($M:$M))),$M79,NA())</f>
        <v>#N/A</v>
      </c>
    </row>
    <row r="80" spans="1:14" s="5" customFormat="1" x14ac:dyDescent="0.25">
      <c r="A80" s="23">
        <f t="shared" si="1"/>
        <v>42740</v>
      </c>
      <c r="B80" s="25">
        <f>IF(C81&lt;Charts!$H$3,0,IF(DATE(YEAR(Charts!$H$3),MONTH(Charts!$H$3),DAY(Charts!$H$3))=DATE(YEAR(C81), MONTH(C81),DAY(C81)),0,TEXT(C80,"m/d/yy")&amp;"-"&amp;TEXT(C80+6,"m/d/yy")))</f>
        <v>0</v>
      </c>
      <c r="C80" s="24">
        <f t="shared" si="0"/>
        <v>42740</v>
      </c>
      <c r="D80" s="67">
        <f t="shared" si="2"/>
        <v>42740</v>
      </c>
      <c r="E80" s="60">
        <f>SUMIFS(User!$D:$D, User!$B:$B, "&gt;="&amp;C80, User!$B:$B, "&lt;"&amp;C81)</f>
        <v>0</v>
      </c>
      <c r="F80" s="5" t="e">
        <f t="shared" si="3"/>
        <v>#N/A</v>
      </c>
      <c r="G80" s="5" t="e">
        <f t="shared" si="4"/>
        <v>#N/A</v>
      </c>
      <c r="H80" s="5" t="e">
        <f t="shared" si="5"/>
        <v>#N/A</v>
      </c>
      <c r="I80" s="5" t="e">
        <f t="array" ref="I80">IF(ABS($H80)=MAX(IF(ISNUMBER(ABS($H:$H)),ABS($H:$H))),$H80,NA())</f>
        <v>#N/A</v>
      </c>
      <c r="J80" s="60">
        <f>SUMIFS(Klout!$B:$B,Klout!$A:$A, "&gt;="&amp;C80, Klout!$A:$A, "&lt;"&amp;C81)</f>
        <v>0</v>
      </c>
      <c r="K80" s="5" t="e">
        <f t="shared" si="6"/>
        <v>#N/A</v>
      </c>
      <c r="L80" s="5" t="e">
        <f t="shared" si="7"/>
        <v>#N/A</v>
      </c>
      <c r="M80" s="5" t="e">
        <f t="shared" si="8"/>
        <v>#N/A</v>
      </c>
      <c r="N80" s="5" t="e">
        <f t="array" ref="N80">IF(ABS($M80)=MAX(IF(ISNUMBER(ABS($M:$M)),ABS($M:$M))),$M80,NA())</f>
        <v>#N/A</v>
      </c>
    </row>
    <row r="81" spans="1:14" s="5" customFormat="1" x14ac:dyDescent="0.25">
      <c r="A81" s="23">
        <f t="shared" si="1"/>
        <v>42741</v>
      </c>
      <c r="B81" s="25">
        <f>IF(C82&lt;Charts!$H$3,0,IF(DATE(YEAR(Charts!$H$3),MONTH(Charts!$H$3),DAY(Charts!$H$3))=DATE(YEAR(C82), MONTH(C82),DAY(C82)),0,TEXT(C81,"m/d/yy")&amp;"-"&amp;TEXT(C81+6,"m/d/yy")))</f>
        <v>0</v>
      </c>
      <c r="C81" s="24">
        <f t="shared" si="0"/>
        <v>42741</v>
      </c>
      <c r="D81" s="67">
        <f t="shared" si="2"/>
        <v>42741</v>
      </c>
      <c r="E81" s="60">
        <f>SUMIFS(User!$D:$D, User!$B:$B, "&gt;="&amp;C81, User!$B:$B, "&lt;"&amp;C82)</f>
        <v>0</v>
      </c>
      <c r="F81" s="5" t="e">
        <f t="shared" si="3"/>
        <v>#N/A</v>
      </c>
      <c r="G81" s="5" t="e">
        <f t="shared" si="4"/>
        <v>#N/A</v>
      </c>
      <c r="H81" s="5" t="e">
        <f t="shared" si="5"/>
        <v>#N/A</v>
      </c>
      <c r="I81" s="5" t="e">
        <f t="array" ref="I81">IF(ABS($H81)=MAX(IF(ISNUMBER(ABS($H:$H)),ABS($H:$H))),$H81,NA())</f>
        <v>#N/A</v>
      </c>
      <c r="J81" s="60">
        <f>SUMIFS(Klout!$B:$B,Klout!$A:$A, "&gt;="&amp;C81, Klout!$A:$A, "&lt;"&amp;C82)</f>
        <v>0</v>
      </c>
      <c r="K81" s="5" t="e">
        <f t="shared" si="6"/>
        <v>#N/A</v>
      </c>
      <c r="L81" s="5" t="e">
        <f t="shared" si="7"/>
        <v>#N/A</v>
      </c>
      <c r="M81" s="5" t="e">
        <f t="shared" si="8"/>
        <v>#N/A</v>
      </c>
      <c r="N81" s="5" t="e">
        <f t="array" ref="N81">IF(ABS($M81)=MAX(IF(ISNUMBER(ABS($M:$M)),ABS($M:$M))),$M81,NA())</f>
        <v>#N/A</v>
      </c>
    </row>
    <row r="82" spans="1:14" s="5" customFormat="1" x14ac:dyDescent="0.25">
      <c r="A82" s="23">
        <f t="shared" si="1"/>
        <v>42742</v>
      </c>
      <c r="B82" s="25">
        <f>IF(C83&lt;Charts!$H$3,0,IF(DATE(YEAR(Charts!$H$3),MONTH(Charts!$H$3),DAY(Charts!$H$3))=DATE(YEAR(C83), MONTH(C83),DAY(C83)),0,TEXT(C82,"m/d/yy")&amp;"-"&amp;TEXT(C82+6,"m/d/yy")))</f>
        <v>0</v>
      </c>
      <c r="C82" s="24">
        <f t="shared" si="0"/>
        <v>42742</v>
      </c>
      <c r="D82" s="67">
        <f t="shared" si="2"/>
        <v>42742</v>
      </c>
      <c r="E82" s="60">
        <f>SUMIFS(User!$D:$D, User!$B:$B, "&gt;="&amp;C82, User!$B:$B, "&lt;"&amp;C83)</f>
        <v>0</v>
      </c>
      <c r="F82" s="5" t="e">
        <f t="shared" si="3"/>
        <v>#N/A</v>
      </c>
      <c r="G82" s="5" t="e">
        <f t="shared" si="4"/>
        <v>#N/A</v>
      </c>
      <c r="H82" s="5" t="e">
        <f t="shared" si="5"/>
        <v>#N/A</v>
      </c>
      <c r="I82" s="5" t="e">
        <f t="array" ref="I82">IF(ABS($H82)=MAX(IF(ISNUMBER(ABS($H:$H)),ABS($H:$H))),$H82,NA())</f>
        <v>#N/A</v>
      </c>
      <c r="J82" s="60">
        <f>SUMIFS(Klout!$B:$B,Klout!$A:$A, "&gt;="&amp;C82, Klout!$A:$A, "&lt;"&amp;C83)</f>
        <v>0</v>
      </c>
      <c r="K82" s="5" t="e">
        <f t="shared" si="6"/>
        <v>#N/A</v>
      </c>
      <c r="L82" s="5" t="e">
        <f t="shared" si="7"/>
        <v>#N/A</v>
      </c>
      <c r="M82" s="5" t="e">
        <f t="shared" si="8"/>
        <v>#N/A</v>
      </c>
      <c r="N82" s="5" t="e">
        <f t="array" ref="N82">IF(ABS($M82)=MAX(IF(ISNUMBER(ABS($M:$M)),ABS($M:$M))),$M82,NA())</f>
        <v>#N/A</v>
      </c>
    </row>
    <row r="83" spans="1:14" s="5" customFormat="1" x14ac:dyDescent="0.25">
      <c r="A83" s="23">
        <f t="shared" si="1"/>
        <v>42743</v>
      </c>
      <c r="B83" s="25">
        <f>IF(C84&lt;Charts!$H$3,0,IF(DATE(YEAR(Charts!$H$3),MONTH(Charts!$H$3),DAY(Charts!$H$3))=DATE(YEAR(C84), MONTH(C84),DAY(C84)),0,TEXT(C83,"m/d/yy")&amp;"-"&amp;TEXT(C83+6,"m/d/yy")))</f>
        <v>0</v>
      </c>
      <c r="C83" s="24">
        <f t="shared" si="0"/>
        <v>42743</v>
      </c>
      <c r="D83" s="67">
        <f t="shared" si="2"/>
        <v>42743</v>
      </c>
      <c r="E83" s="60">
        <f>SUMIFS(User!$D:$D, User!$B:$B, "&gt;="&amp;C83, User!$B:$B, "&lt;"&amp;C84)</f>
        <v>0</v>
      </c>
      <c r="F83" s="5" t="e">
        <f t="shared" si="3"/>
        <v>#N/A</v>
      </c>
      <c r="G83" s="5" t="e">
        <f t="shared" si="4"/>
        <v>#N/A</v>
      </c>
      <c r="H83" s="5" t="e">
        <f t="shared" si="5"/>
        <v>#N/A</v>
      </c>
      <c r="I83" s="5" t="e">
        <f t="array" ref="I83">IF(ABS($H83)=MAX(IF(ISNUMBER(ABS($H:$H)),ABS($H:$H))),$H83,NA())</f>
        <v>#N/A</v>
      </c>
      <c r="J83" s="60">
        <f>SUMIFS(Klout!$B:$B,Klout!$A:$A, "&gt;="&amp;C83, Klout!$A:$A, "&lt;"&amp;C84)</f>
        <v>0</v>
      </c>
      <c r="K83" s="5" t="e">
        <f t="shared" si="6"/>
        <v>#N/A</v>
      </c>
      <c r="L83" s="5" t="e">
        <f t="shared" si="7"/>
        <v>#N/A</v>
      </c>
      <c r="M83" s="5" t="e">
        <f t="shared" si="8"/>
        <v>#N/A</v>
      </c>
      <c r="N83" s="5" t="e">
        <f t="array" ref="N83">IF(ABS($M83)=MAX(IF(ISNUMBER(ABS($M:$M)),ABS($M:$M))),$M83,NA())</f>
        <v>#N/A</v>
      </c>
    </row>
    <row r="84" spans="1:14" s="5" customFormat="1" x14ac:dyDescent="0.25">
      <c r="A84" s="23">
        <f t="shared" si="1"/>
        <v>42744</v>
      </c>
      <c r="B84" s="25">
        <f>IF(C85&lt;Charts!$H$3,0,IF(DATE(YEAR(Charts!$H$3),MONTH(Charts!$H$3),DAY(Charts!$H$3))=DATE(YEAR(C85), MONTH(C85),DAY(C85)),0,TEXT(C84,"m/d/yy")&amp;"-"&amp;TEXT(C84+6,"m/d/yy")))</f>
        <v>0</v>
      </c>
      <c r="C84" s="24">
        <f t="shared" si="0"/>
        <v>42744</v>
      </c>
      <c r="D84" s="67">
        <f t="shared" si="2"/>
        <v>42744</v>
      </c>
      <c r="E84" s="60">
        <f>SUMIFS(User!$D:$D, User!$B:$B, "&gt;="&amp;C84, User!$B:$B, "&lt;"&amp;C85)</f>
        <v>0</v>
      </c>
      <c r="F84" s="5" t="e">
        <f t="shared" si="3"/>
        <v>#N/A</v>
      </c>
      <c r="G84" s="5" t="e">
        <f t="shared" si="4"/>
        <v>#N/A</v>
      </c>
      <c r="H84" s="5" t="e">
        <f t="shared" si="5"/>
        <v>#N/A</v>
      </c>
      <c r="I84" s="5" t="e">
        <f t="array" ref="I84">IF(ABS($H84)=MAX(IF(ISNUMBER(ABS($H:$H)),ABS($H:$H))),$H84,NA())</f>
        <v>#N/A</v>
      </c>
      <c r="J84" s="60">
        <f>SUMIFS(Klout!$B:$B,Klout!$A:$A, "&gt;="&amp;C84, Klout!$A:$A, "&lt;"&amp;C85)</f>
        <v>0</v>
      </c>
      <c r="K84" s="5" t="e">
        <f t="shared" si="6"/>
        <v>#N/A</v>
      </c>
      <c r="L84" s="5" t="e">
        <f t="shared" si="7"/>
        <v>#N/A</v>
      </c>
      <c r="M84" s="5" t="e">
        <f t="shared" si="8"/>
        <v>#N/A</v>
      </c>
      <c r="N84" s="5" t="e">
        <f t="array" ref="N84">IF(ABS($M84)=MAX(IF(ISNUMBER(ABS($M:$M)),ABS($M:$M))),$M84,NA())</f>
        <v>#N/A</v>
      </c>
    </row>
    <row r="85" spans="1:14" s="5" customFormat="1" x14ac:dyDescent="0.25">
      <c r="A85" s="23">
        <f t="shared" si="1"/>
        <v>42745</v>
      </c>
      <c r="B85" s="25">
        <f>IF(C86&lt;Charts!$H$3,0,IF(DATE(YEAR(Charts!$H$3),MONTH(Charts!$H$3),DAY(Charts!$H$3))=DATE(YEAR(C86), MONTH(C86),DAY(C86)),0,TEXT(C85,"m/d/yy")&amp;"-"&amp;TEXT(C85+6,"m/d/yy")))</f>
        <v>0</v>
      </c>
      <c r="C85" s="24">
        <f t="shared" si="0"/>
        <v>42745</v>
      </c>
      <c r="D85" s="67">
        <f t="shared" si="2"/>
        <v>42745</v>
      </c>
      <c r="E85" s="60">
        <f>SUMIFS(User!$D:$D, User!$B:$B, "&gt;="&amp;C85, User!$B:$B, "&lt;"&amp;C86)</f>
        <v>0</v>
      </c>
      <c r="F85" s="5" t="e">
        <f t="shared" si="3"/>
        <v>#N/A</v>
      </c>
      <c r="G85" s="5" t="e">
        <f t="shared" si="4"/>
        <v>#N/A</v>
      </c>
      <c r="H85" s="5" t="e">
        <f t="shared" si="5"/>
        <v>#N/A</v>
      </c>
      <c r="I85" s="5" t="e">
        <f t="array" ref="I85">IF(ABS($H85)=MAX(IF(ISNUMBER(ABS($H:$H)),ABS($H:$H))),$H85,NA())</f>
        <v>#N/A</v>
      </c>
      <c r="J85" s="60">
        <f>SUMIFS(Klout!$B:$B,Klout!$A:$A, "&gt;="&amp;C85, Klout!$A:$A, "&lt;"&amp;C86)</f>
        <v>0</v>
      </c>
      <c r="K85" s="5" t="e">
        <f t="shared" si="6"/>
        <v>#N/A</v>
      </c>
      <c r="L85" s="5" t="e">
        <f t="shared" si="7"/>
        <v>#N/A</v>
      </c>
      <c r="M85" s="5" t="e">
        <f t="shared" si="8"/>
        <v>#N/A</v>
      </c>
      <c r="N85" s="5" t="e">
        <f t="array" ref="N85">IF(ABS($M85)=MAX(IF(ISNUMBER(ABS($M:$M)),ABS($M:$M))),$M85,NA())</f>
        <v>#N/A</v>
      </c>
    </row>
    <row r="86" spans="1:14" s="5" customFormat="1" x14ac:dyDescent="0.25">
      <c r="A86" s="23">
        <f t="shared" si="1"/>
        <v>42746</v>
      </c>
      <c r="B86" s="25">
        <f>IF(C87&lt;Charts!$H$3,0,IF(DATE(YEAR(Charts!$H$3),MONTH(Charts!$H$3),DAY(Charts!$H$3))=DATE(YEAR(C87), MONTH(C87),DAY(C87)),0,TEXT(C86,"m/d/yy")&amp;"-"&amp;TEXT(C86+6,"m/d/yy")))</f>
        <v>0</v>
      </c>
      <c r="C86" s="24">
        <f t="shared" si="0"/>
        <v>42746</v>
      </c>
      <c r="D86" s="67">
        <f t="shared" si="2"/>
        <v>42746</v>
      </c>
      <c r="E86" s="60">
        <f>SUMIFS(User!$D:$D, User!$B:$B, "&gt;="&amp;C86, User!$B:$B, "&lt;"&amp;C87)</f>
        <v>0</v>
      </c>
      <c r="F86" s="5" t="e">
        <f t="shared" si="3"/>
        <v>#N/A</v>
      </c>
      <c r="G86" s="5" t="e">
        <f t="shared" si="4"/>
        <v>#N/A</v>
      </c>
      <c r="H86" s="5" t="e">
        <f t="shared" si="5"/>
        <v>#N/A</v>
      </c>
      <c r="I86" s="5" t="e">
        <f t="array" ref="I86">IF(ABS($H86)=MAX(IF(ISNUMBER(ABS($H:$H)),ABS($H:$H))),$H86,NA())</f>
        <v>#N/A</v>
      </c>
      <c r="J86" s="60">
        <f>SUMIFS(Klout!$B:$B,Klout!$A:$A, "&gt;="&amp;C86, Klout!$A:$A, "&lt;"&amp;C87)</f>
        <v>0</v>
      </c>
      <c r="K86" s="5" t="e">
        <f t="shared" si="6"/>
        <v>#N/A</v>
      </c>
      <c r="L86" s="5" t="e">
        <f t="shared" si="7"/>
        <v>#N/A</v>
      </c>
      <c r="M86" s="5" t="e">
        <f t="shared" si="8"/>
        <v>#N/A</v>
      </c>
      <c r="N86" s="5" t="e">
        <f t="array" ref="N86">IF(ABS($M86)=MAX(IF(ISNUMBER(ABS($M:$M)),ABS($M:$M))),$M86,NA())</f>
        <v>#N/A</v>
      </c>
    </row>
    <row r="87" spans="1:14" s="5" customFormat="1" x14ac:dyDescent="0.25">
      <c r="A87" s="23">
        <f t="shared" si="1"/>
        <v>42747</v>
      </c>
      <c r="B87" s="25">
        <f>IF(C88&lt;Charts!$H$3,0,IF(DATE(YEAR(Charts!$H$3),MONTH(Charts!$H$3),DAY(Charts!$H$3))=DATE(YEAR(C88), MONTH(C88),DAY(C88)),0,TEXT(C87,"m/d/yy")&amp;"-"&amp;TEXT(C87+6,"m/d/yy")))</f>
        <v>0</v>
      </c>
      <c r="C87" s="24">
        <f t="shared" si="0"/>
        <v>42747</v>
      </c>
      <c r="D87" s="67">
        <f t="shared" si="2"/>
        <v>42747</v>
      </c>
      <c r="E87" s="60">
        <f>SUMIFS(User!$D:$D, User!$B:$B, "&gt;="&amp;C87, User!$B:$B, "&lt;"&amp;C88)</f>
        <v>0</v>
      </c>
      <c r="F87" s="5" t="e">
        <f t="shared" si="3"/>
        <v>#N/A</v>
      </c>
      <c r="G87" s="5" t="e">
        <f t="shared" si="4"/>
        <v>#N/A</v>
      </c>
      <c r="H87" s="5" t="e">
        <f t="shared" si="5"/>
        <v>#N/A</v>
      </c>
      <c r="I87" s="5" t="e">
        <f t="array" ref="I87">IF(ABS($H87)=MAX(IF(ISNUMBER(ABS($H:$H)),ABS($H:$H))),$H87,NA())</f>
        <v>#N/A</v>
      </c>
      <c r="J87" s="60">
        <f>SUMIFS(Klout!$B:$B,Klout!$A:$A, "&gt;="&amp;C87, Klout!$A:$A, "&lt;"&amp;C88)</f>
        <v>0</v>
      </c>
      <c r="K87" s="5" t="e">
        <f t="shared" si="6"/>
        <v>#N/A</v>
      </c>
      <c r="L87" s="5" t="e">
        <f t="shared" si="7"/>
        <v>#N/A</v>
      </c>
      <c r="M87" s="5" t="e">
        <f t="shared" si="8"/>
        <v>#N/A</v>
      </c>
      <c r="N87" s="5" t="e">
        <f t="array" ref="N87">IF(ABS($M87)=MAX(IF(ISNUMBER(ABS($M:$M)),ABS($M:$M))),$M87,NA())</f>
        <v>#N/A</v>
      </c>
    </row>
    <row r="88" spans="1:14" s="5" customFormat="1" x14ac:dyDescent="0.25">
      <c r="A88" s="23">
        <f t="shared" si="1"/>
        <v>42748</v>
      </c>
      <c r="B88" s="25">
        <f>IF(C89&lt;Charts!$H$3,0,IF(DATE(YEAR(Charts!$H$3),MONTH(Charts!$H$3),DAY(Charts!$H$3))=DATE(YEAR(C89), MONTH(C89),DAY(C89)),0,TEXT(C88,"m/d/yy")&amp;"-"&amp;TEXT(C88+6,"m/d/yy")))</f>
        <v>0</v>
      </c>
      <c r="C88" s="24">
        <f t="shared" si="0"/>
        <v>42748</v>
      </c>
      <c r="D88" s="67">
        <f t="shared" si="2"/>
        <v>42748</v>
      </c>
      <c r="E88" s="60">
        <f>SUMIFS(User!$D:$D, User!$B:$B, "&gt;="&amp;C88, User!$B:$B, "&lt;"&amp;C89)</f>
        <v>0</v>
      </c>
      <c r="F88" s="5" t="e">
        <f t="shared" si="3"/>
        <v>#N/A</v>
      </c>
      <c r="G88" s="5" t="e">
        <f t="shared" si="4"/>
        <v>#N/A</v>
      </c>
      <c r="H88" s="5" t="e">
        <f t="shared" si="5"/>
        <v>#N/A</v>
      </c>
      <c r="I88" s="5" t="e">
        <f t="array" ref="I88">IF(ABS($H88)=MAX(IF(ISNUMBER(ABS($H:$H)),ABS($H:$H))),$H88,NA())</f>
        <v>#N/A</v>
      </c>
      <c r="J88" s="60">
        <f>SUMIFS(Klout!$B:$B,Klout!$A:$A, "&gt;="&amp;C88, Klout!$A:$A, "&lt;"&amp;C89)</f>
        <v>0</v>
      </c>
      <c r="K88" s="5" t="e">
        <f t="shared" si="6"/>
        <v>#N/A</v>
      </c>
      <c r="L88" s="5" t="e">
        <f t="shared" si="7"/>
        <v>#N/A</v>
      </c>
      <c r="M88" s="5" t="e">
        <f t="shared" si="8"/>
        <v>#N/A</v>
      </c>
      <c r="N88" s="5" t="e">
        <f t="array" ref="N88">IF(ABS($M88)=MAX(IF(ISNUMBER(ABS($M:$M)),ABS($M:$M))),$M88,NA())</f>
        <v>#N/A</v>
      </c>
    </row>
    <row r="89" spans="1:14" s="5" customFormat="1" x14ac:dyDescent="0.25">
      <c r="A89" s="23">
        <f t="shared" si="1"/>
        <v>42749</v>
      </c>
      <c r="B89" s="25">
        <f>IF(C90&lt;Charts!$H$3,0,IF(DATE(YEAR(Charts!$H$3),MONTH(Charts!$H$3),DAY(Charts!$H$3))=DATE(YEAR(C90), MONTH(C90),DAY(C90)),0,TEXT(C89,"m/d/yy")&amp;"-"&amp;TEXT(C89+6,"m/d/yy")))</f>
        <v>0</v>
      </c>
      <c r="C89" s="24">
        <f t="shared" si="0"/>
        <v>42749</v>
      </c>
      <c r="D89" s="67">
        <f t="shared" si="2"/>
        <v>42749</v>
      </c>
      <c r="E89" s="60">
        <f>SUMIFS(User!$D:$D, User!$B:$B, "&gt;="&amp;C89, User!$B:$B, "&lt;"&amp;C90)</f>
        <v>0</v>
      </c>
      <c r="F89" s="5" t="e">
        <f t="shared" si="3"/>
        <v>#N/A</v>
      </c>
      <c r="G89" s="5" t="e">
        <f t="shared" si="4"/>
        <v>#N/A</v>
      </c>
      <c r="H89" s="5" t="e">
        <f t="shared" si="5"/>
        <v>#N/A</v>
      </c>
      <c r="I89" s="5" t="e">
        <f t="array" ref="I89">IF(ABS($H89)=MAX(IF(ISNUMBER(ABS($H:$H)),ABS($H:$H))),$H89,NA())</f>
        <v>#N/A</v>
      </c>
      <c r="J89" s="60">
        <f>SUMIFS(Klout!$B:$B,Klout!$A:$A, "&gt;="&amp;C89, Klout!$A:$A, "&lt;"&amp;C90)</f>
        <v>0</v>
      </c>
      <c r="K89" s="5" t="e">
        <f t="shared" si="6"/>
        <v>#N/A</v>
      </c>
      <c r="L89" s="5" t="e">
        <f t="shared" si="7"/>
        <v>#N/A</v>
      </c>
      <c r="M89" s="5" t="e">
        <f t="shared" si="8"/>
        <v>#N/A</v>
      </c>
      <c r="N89" s="5" t="e">
        <f t="array" ref="N89">IF(ABS($M89)=MAX(IF(ISNUMBER(ABS($M:$M)),ABS($M:$M))),$M89,NA())</f>
        <v>#N/A</v>
      </c>
    </row>
    <row r="90" spans="1:14" s="5" customFormat="1" x14ac:dyDescent="0.25">
      <c r="A90" s="23">
        <f t="shared" si="1"/>
        <v>42750</v>
      </c>
      <c r="B90" s="25">
        <f>IF(C91&lt;Charts!$H$3,0,IF(DATE(YEAR(Charts!$H$3),MONTH(Charts!$H$3),DAY(Charts!$H$3))=DATE(YEAR(C91), MONTH(C91),DAY(C91)),0,TEXT(C90,"m/d/yy")&amp;"-"&amp;TEXT(C90+6,"m/d/yy")))</f>
        <v>0</v>
      </c>
      <c r="C90" s="24">
        <f t="shared" si="0"/>
        <v>42750</v>
      </c>
      <c r="D90" s="67">
        <f t="shared" si="2"/>
        <v>42750</v>
      </c>
      <c r="E90" s="60">
        <f>SUMIFS(User!$D:$D, User!$B:$B, "&gt;="&amp;C90, User!$B:$B, "&lt;"&amp;C91)</f>
        <v>0</v>
      </c>
      <c r="F90" s="5" t="e">
        <f t="shared" si="3"/>
        <v>#N/A</v>
      </c>
      <c r="G90" s="5" t="e">
        <f t="shared" si="4"/>
        <v>#N/A</v>
      </c>
      <c r="H90" s="5" t="e">
        <f t="shared" si="5"/>
        <v>#N/A</v>
      </c>
      <c r="I90" s="5" t="e">
        <f t="array" ref="I90">IF(ABS($H90)=MAX(IF(ISNUMBER(ABS($H:$H)),ABS($H:$H))),$H90,NA())</f>
        <v>#N/A</v>
      </c>
      <c r="J90" s="60">
        <f>SUMIFS(Klout!$B:$B,Klout!$A:$A, "&gt;="&amp;C90, Klout!$A:$A, "&lt;"&amp;C91)</f>
        <v>0</v>
      </c>
      <c r="K90" s="5" t="e">
        <f t="shared" si="6"/>
        <v>#N/A</v>
      </c>
      <c r="L90" s="5" t="e">
        <f t="shared" si="7"/>
        <v>#N/A</v>
      </c>
      <c r="M90" s="5" t="e">
        <f t="shared" si="8"/>
        <v>#N/A</v>
      </c>
      <c r="N90" s="5" t="e">
        <f t="array" ref="N90">IF(ABS($M90)=MAX(IF(ISNUMBER(ABS($M:$M)),ABS($M:$M))),$M90,NA())</f>
        <v>#N/A</v>
      </c>
    </row>
    <row r="91" spans="1:14" s="5" customFormat="1" x14ac:dyDescent="0.25">
      <c r="A91" s="23">
        <f t="shared" si="1"/>
        <v>42751</v>
      </c>
      <c r="B91" s="25">
        <f>IF(C92&lt;Charts!$H$3,0,IF(DATE(YEAR(Charts!$H$3),MONTH(Charts!$H$3),DAY(Charts!$H$3))=DATE(YEAR(C92), MONTH(C92),DAY(C92)),0,TEXT(C91,"m/d/yy")&amp;"-"&amp;TEXT(C91+6,"m/d/yy")))</f>
        <v>0</v>
      </c>
      <c r="C91" s="24">
        <f t="shared" si="0"/>
        <v>42751</v>
      </c>
      <c r="D91" s="67">
        <f t="shared" si="2"/>
        <v>42751</v>
      </c>
      <c r="E91" s="60">
        <f>SUMIFS(User!$D:$D, User!$B:$B, "&gt;="&amp;C91, User!$B:$B, "&lt;"&amp;C92)</f>
        <v>0</v>
      </c>
      <c r="F91" s="5" t="e">
        <f t="shared" si="3"/>
        <v>#N/A</v>
      </c>
      <c r="G91" s="5" t="e">
        <f t="shared" si="4"/>
        <v>#N/A</v>
      </c>
      <c r="H91" s="5" t="e">
        <f t="shared" si="5"/>
        <v>#N/A</v>
      </c>
      <c r="I91" s="5" t="e">
        <f t="array" ref="I91">IF(ABS($H91)=MAX(IF(ISNUMBER(ABS($H:$H)),ABS($H:$H))),$H91,NA())</f>
        <v>#N/A</v>
      </c>
      <c r="J91" s="60">
        <f>SUMIFS(Klout!$B:$B,Klout!$A:$A, "&gt;="&amp;C91, Klout!$A:$A, "&lt;"&amp;C92)</f>
        <v>0</v>
      </c>
      <c r="K91" s="5" t="e">
        <f t="shared" si="6"/>
        <v>#N/A</v>
      </c>
      <c r="L91" s="5" t="e">
        <f t="shared" si="7"/>
        <v>#N/A</v>
      </c>
      <c r="M91" s="5" t="e">
        <f t="shared" si="8"/>
        <v>#N/A</v>
      </c>
      <c r="N91" s="5" t="e">
        <f t="array" ref="N91">IF(ABS($M91)=MAX(IF(ISNUMBER(ABS($M:$M)),ABS($M:$M))),$M91,NA())</f>
        <v>#N/A</v>
      </c>
    </row>
    <row r="92" spans="1:14" s="5" customFormat="1" x14ac:dyDescent="0.25">
      <c r="A92" s="23">
        <f t="shared" si="1"/>
        <v>42752</v>
      </c>
      <c r="B92" s="25">
        <f>IF(C93&lt;Charts!$H$3,0,IF(DATE(YEAR(Charts!$H$3),MONTH(Charts!$H$3),DAY(Charts!$H$3))=DATE(YEAR(C93), MONTH(C93),DAY(C93)),0,TEXT(C92,"m/d/yy")&amp;"-"&amp;TEXT(C92+6,"m/d/yy")))</f>
        <v>0</v>
      </c>
      <c r="C92" s="24">
        <f t="shared" si="0"/>
        <v>42752</v>
      </c>
      <c r="D92" s="67">
        <f t="shared" si="2"/>
        <v>42752</v>
      </c>
      <c r="E92" s="60">
        <f>SUMIFS(User!$D:$D, User!$B:$B, "&gt;="&amp;C92, User!$B:$B, "&lt;"&amp;C93)</f>
        <v>0</v>
      </c>
      <c r="F92" s="5" t="e">
        <f t="shared" si="3"/>
        <v>#N/A</v>
      </c>
      <c r="G92" s="5" t="e">
        <f t="shared" si="4"/>
        <v>#N/A</v>
      </c>
      <c r="H92" s="5" t="e">
        <f t="shared" si="5"/>
        <v>#N/A</v>
      </c>
      <c r="I92" s="5" t="e">
        <f t="array" ref="I92">IF(ABS($H92)=MAX(IF(ISNUMBER(ABS($H:$H)),ABS($H:$H))),$H92,NA())</f>
        <v>#N/A</v>
      </c>
      <c r="J92" s="60">
        <f>SUMIFS(Klout!$B:$B,Klout!$A:$A, "&gt;="&amp;C92, Klout!$A:$A, "&lt;"&amp;C93)</f>
        <v>0</v>
      </c>
      <c r="K92" s="5" t="e">
        <f t="shared" si="6"/>
        <v>#N/A</v>
      </c>
      <c r="L92" s="5" t="e">
        <f t="shared" si="7"/>
        <v>#N/A</v>
      </c>
      <c r="M92" s="5" t="e">
        <f t="shared" si="8"/>
        <v>#N/A</v>
      </c>
      <c r="N92" s="5" t="e">
        <f t="array" ref="N92">IF(ABS($M92)=MAX(IF(ISNUMBER(ABS($M:$M)),ABS($M:$M))),$M92,NA())</f>
        <v>#N/A</v>
      </c>
    </row>
    <row r="93" spans="1:14" s="5" customFormat="1" x14ac:dyDescent="0.25">
      <c r="A93" s="23">
        <f t="shared" si="1"/>
        <v>42753</v>
      </c>
      <c r="B93" s="25">
        <f>IF(C94&lt;Charts!$H$3,0,IF(DATE(YEAR(Charts!$H$3),MONTH(Charts!$H$3),DAY(Charts!$H$3))=DATE(YEAR(C94), MONTH(C94),DAY(C94)),0,TEXT(C93,"m/d/yy")&amp;"-"&amp;TEXT(C93+6,"m/d/yy")))</f>
        <v>0</v>
      </c>
      <c r="C93" s="24">
        <f t="shared" si="0"/>
        <v>42753</v>
      </c>
      <c r="D93" s="67">
        <f t="shared" si="2"/>
        <v>42753</v>
      </c>
      <c r="E93" s="60">
        <f>SUMIFS(User!$D:$D, User!$B:$B, "&gt;="&amp;C93, User!$B:$B, "&lt;"&amp;C94)</f>
        <v>0</v>
      </c>
      <c r="F93" s="5" t="e">
        <f t="shared" si="3"/>
        <v>#N/A</v>
      </c>
      <c r="G93" s="5" t="e">
        <f t="shared" si="4"/>
        <v>#N/A</v>
      </c>
      <c r="H93" s="5" t="e">
        <f t="shared" si="5"/>
        <v>#N/A</v>
      </c>
      <c r="I93" s="5" t="e">
        <f t="array" ref="I93">IF(ABS($H93)=MAX(IF(ISNUMBER(ABS($H:$H)),ABS($H:$H))),$H93,NA())</f>
        <v>#N/A</v>
      </c>
      <c r="J93" s="60">
        <f>SUMIFS(Klout!$B:$B,Klout!$A:$A, "&gt;="&amp;C93, Klout!$A:$A, "&lt;"&amp;C94)</f>
        <v>0</v>
      </c>
      <c r="K93" s="5" t="e">
        <f t="shared" si="6"/>
        <v>#N/A</v>
      </c>
      <c r="L93" s="5" t="e">
        <f t="shared" si="7"/>
        <v>#N/A</v>
      </c>
      <c r="M93" s="5" t="e">
        <f t="shared" si="8"/>
        <v>#N/A</v>
      </c>
      <c r="N93" s="5" t="e">
        <f t="array" ref="N93">IF(ABS($M93)=MAX(IF(ISNUMBER(ABS($M:$M)),ABS($M:$M))),$M93,NA())</f>
        <v>#N/A</v>
      </c>
    </row>
    <row r="94" spans="1:14" s="5" customFormat="1" x14ac:dyDescent="0.25">
      <c r="A94" s="23">
        <f t="shared" si="1"/>
        <v>42754</v>
      </c>
      <c r="B94" s="25">
        <f>IF(C95&lt;Charts!$H$3,0,IF(DATE(YEAR(Charts!$H$3),MONTH(Charts!$H$3),DAY(Charts!$H$3))=DATE(YEAR(C95), MONTH(C95),DAY(C95)),0,TEXT(C94,"m/d/yy")&amp;"-"&amp;TEXT(C94+6,"m/d/yy")))</f>
        <v>0</v>
      </c>
      <c r="C94" s="24">
        <f t="shared" si="0"/>
        <v>42754</v>
      </c>
      <c r="D94" s="67">
        <f t="shared" si="2"/>
        <v>42754</v>
      </c>
      <c r="E94" s="60">
        <f>SUMIFS(User!$D:$D, User!$B:$B, "&gt;="&amp;C94, User!$B:$B, "&lt;"&amp;C95)</f>
        <v>0</v>
      </c>
      <c r="F94" s="5" t="e">
        <f t="shared" si="3"/>
        <v>#N/A</v>
      </c>
      <c r="G94" s="5" t="e">
        <f t="shared" si="4"/>
        <v>#N/A</v>
      </c>
      <c r="H94" s="5" t="e">
        <f t="shared" si="5"/>
        <v>#N/A</v>
      </c>
      <c r="I94" s="5" t="e">
        <f t="array" ref="I94">IF(ABS($H94)=MAX(IF(ISNUMBER(ABS($H:$H)),ABS($H:$H))),$H94,NA())</f>
        <v>#N/A</v>
      </c>
      <c r="J94" s="60">
        <f>SUMIFS(Klout!$B:$B,Klout!$A:$A, "&gt;="&amp;C94, Klout!$A:$A, "&lt;"&amp;C95)</f>
        <v>0</v>
      </c>
      <c r="K94" s="5" t="e">
        <f t="shared" si="6"/>
        <v>#N/A</v>
      </c>
      <c r="L94" s="5" t="e">
        <f t="shared" si="7"/>
        <v>#N/A</v>
      </c>
      <c r="M94" s="5" t="e">
        <f t="shared" si="8"/>
        <v>#N/A</v>
      </c>
      <c r="N94" s="5" t="e">
        <f t="array" ref="N94">IF(ABS($M94)=MAX(IF(ISNUMBER(ABS($M:$M)),ABS($M:$M))),$M94,NA())</f>
        <v>#N/A</v>
      </c>
    </row>
    <row r="95" spans="1:14" s="5" customFormat="1" x14ac:dyDescent="0.25">
      <c r="A95" s="23">
        <f t="shared" si="1"/>
        <v>42755</v>
      </c>
      <c r="B95" s="25">
        <f>IF(C96&lt;Charts!$H$3,0,IF(DATE(YEAR(Charts!$H$3),MONTH(Charts!$H$3),DAY(Charts!$H$3))=DATE(YEAR(C96), MONTH(C96),DAY(C96)),0,TEXT(C95,"m/d/yy")&amp;"-"&amp;TEXT(C95+6,"m/d/yy")))</f>
        <v>0</v>
      </c>
      <c r="C95" s="24">
        <f t="shared" si="0"/>
        <v>42755</v>
      </c>
      <c r="D95" s="67">
        <f t="shared" si="2"/>
        <v>42755</v>
      </c>
      <c r="E95" s="60">
        <f>SUMIFS(User!$D:$D, User!$B:$B, "&gt;="&amp;C95, User!$B:$B, "&lt;"&amp;C96)</f>
        <v>0</v>
      </c>
      <c r="F95" s="5" t="e">
        <f t="shared" si="3"/>
        <v>#N/A</v>
      </c>
      <c r="G95" s="5" t="e">
        <f t="shared" si="4"/>
        <v>#N/A</v>
      </c>
      <c r="H95" s="5" t="e">
        <f t="shared" si="5"/>
        <v>#N/A</v>
      </c>
      <c r="I95" s="5" t="e">
        <f t="array" ref="I95">IF(ABS($H95)=MAX(IF(ISNUMBER(ABS($H:$H)),ABS($H:$H))),$H95,NA())</f>
        <v>#N/A</v>
      </c>
      <c r="J95" s="60">
        <f>SUMIFS(Klout!$B:$B,Klout!$A:$A, "&gt;="&amp;C95, Klout!$A:$A, "&lt;"&amp;C96)</f>
        <v>0</v>
      </c>
      <c r="K95" s="5" t="e">
        <f t="shared" si="6"/>
        <v>#N/A</v>
      </c>
      <c r="L95" s="5" t="e">
        <f t="shared" si="7"/>
        <v>#N/A</v>
      </c>
      <c r="M95" s="5" t="e">
        <f t="shared" si="8"/>
        <v>#N/A</v>
      </c>
      <c r="N95" s="5" t="e">
        <f t="array" ref="N95">IF(ABS($M95)=MAX(IF(ISNUMBER(ABS($M:$M)),ABS($M:$M))),$M95,NA())</f>
        <v>#N/A</v>
      </c>
    </row>
    <row r="96" spans="1:14" s="5" customFormat="1" x14ac:dyDescent="0.25">
      <c r="A96" s="23">
        <f t="shared" ref="A96:A122" si="9">C96</f>
        <v>42756</v>
      </c>
      <c r="B96" s="25">
        <f>IF(C97&lt;Charts!$H$3,0,IF(DATE(YEAR(Charts!$H$3),MONTH(Charts!$H$3),DAY(Charts!$H$3))=DATE(YEAR(C97), MONTH(C97),DAY(C97)),0,TEXT(C96,"m/d/yy")&amp;"-"&amp;TEXT(C96+6,"m/d/yy")))</f>
        <v>0</v>
      </c>
      <c r="C96" s="24">
        <f t="shared" si="0"/>
        <v>42756</v>
      </c>
      <c r="D96" s="67">
        <f t="shared" ref="D96:D122" si="10">C96</f>
        <v>42756</v>
      </c>
      <c r="E96" s="60">
        <f>SUMIFS(User!$D:$D, User!$B:$B, "&gt;="&amp;C96, User!$B:$B, "&lt;"&amp;C97)</f>
        <v>0</v>
      </c>
      <c r="F96" s="5" t="e">
        <f t="shared" si="3"/>
        <v>#N/A</v>
      </c>
      <c r="G96" s="5" t="e">
        <f t="shared" si="4"/>
        <v>#N/A</v>
      </c>
      <c r="H96" s="5" t="e">
        <f t="shared" si="5"/>
        <v>#N/A</v>
      </c>
      <c r="I96" s="5" t="e">
        <f t="array" ref="I96">IF(ABS($H96)=MAX(IF(ISNUMBER(ABS($H:$H)),ABS($H:$H))),$H96,NA())</f>
        <v>#N/A</v>
      </c>
      <c r="J96" s="60">
        <f>SUMIFS(Klout!$B:$B,Klout!$A:$A, "&gt;="&amp;C96, Klout!$A:$A, "&lt;"&amp;C97)</f>
        <v>0</v>
      </c>
      <c r="K96" s="5" t="e">
        <f t="shared" si="6"/>
        <v>#N/A</v>
      </c>
      <c r="L96" s="5" t="e">
        <f t="shared" si="7"/>
        <v>#N/A</v>
      </c>
      <c r="M96" s="5" t="e">
        <f t="shared" si="8"/>
        <v>#N/A</v>
      </c>
      <c r="N96" s="5" t="e">
        <f t="array" ref="N96">IF(ABS($M96)=MAX(IF(ISNUMBER(ABS($M:$M)),ABS($M:$M))),$M96,NA())</f>
        <v>#N/A</v>
      </c>
    </row>
    <row r="97" spans="1:14" s="5" customFormat="1" x14ac:dyDescent="0.25">
      <c r="A97" s="23">
        <f t="shared" si="9"/>
        <v>42757</v>
      </c>
      <c r="B97" s="25">
        <f>IF(C98&lt;Charts!$H$3,0,IF(DATE(YEAR(Charts!$H$3),MONTH(Charts!$H$3),DAY(Charts!$H$3))=DATE(YEAR(C98), MONTH(C98),DAY(C98)),0,TEXT(C97,"m/d/yy")&amp;"-"&amp;TEXT(C97+6,"m/d/yy")))</f>
        <v>0</v>
      </c>
      <c r="C97" s="24">
        <f t="shared" si="0"/>
        <v>42757</v>
      </c>
      <c r="D97" s="67">
        <f t="shared" si="10"/>
        <v>42757</v>
      </c>
      <c r="E97" s="60">
        <f>SUMIFS(User!$D:$D, User!$B:$B, "&gt;="&amp;C97, User!$B:$B, "&lt;"&amp;C98)</f>
        <v>0</v>
      </c>
      <c r="F97" s="5" t="e">
        <f t="shared" si="3"/>
        <v>#N/A</v>
      </c>
      <c r="G97" s="5" t="e">
        <f t="shared" si="4"/>
        <v>#N/A</v>
      </c>
      <c r="H97" s="5" t="e">
        <f t="shared" si="5"/>
        <v>#N/A</v>
      </c>
      <c r="I97" s="5" t="e">
        <f t="array" ref="I97">IF(ABS($H97)=MAX(IF(ISNUMBER(ABS($H:$H)),ABS($H:$H))),$H97,NA())</f>
        <v>#N/A</v>
      </c>
      <c r="J97" s="60">
        <f>SUMIFS(Klout!$B:$B,Klout!$A:$A, "&gt;="&amp;C97, Klout!$A:$A, "&lt;"&amp;C98)</f>
        <v>0</v>
      </c>
      <c r="K97" s="5" t="e">
        <f t="shared" si="6"/>
        <v>#N/A</v>
      </c>
      <c r="L97" s="5" t="e">
        <f t="shared" si="7"/>
        <v>#N/A</v>
      </c>
      <c r="M97" s="5" t="e">
        <f t="shared" si="8"/>
        <v>#N/A</v>
      </c>
      <c r="N97" s="5" t="e">
        <f t="array" ref="N97">IF(ABS($M97)=MAX(IF(ISNUMBER(ABS($M:$M)),ABS($M:$M))),$M97,NA())</f>
        <v>#N/A</v>
      </c>
    </row>
    <row r="98" spans="1:14" s="5" customFormat="1" x14ac:dyDescent="0.25">
      <c r="A98" s="23">
        <f t="shared" si="9"/>
        <v>42758</v>
      </c>
      <c r="B98" s="25">
        <f>IF(C99&lt;Charts!$H$3,0,IF(DATE(YEAR(Charts!$H$3),MONTH(Charts!$H$3),DAY(Charts!$H$3))=DATE(YEAR(C99), MONTH(C99),DAY(C99)),0,TEXT(C98,"m/d/yy")&amp;"-"&amp;TEXT(C98+6,"m/d/yy")))</f>
        <v>0</v>
      </c>
      <c r="C98" s="24">
        <f t="shared" si="0"/>
        <v>42758</v>
      </c>
      <c r="D98" s="67">
        <f t="shared" si="10"/>
        <v>42758</v>
      </c>
      <c r="E98" s="60">
        <f>SUMIFS(User!$D:$D, User!$B:$B, "&gt;="&amp;C98, User!$B:$B, "&lt;"&amp;C99)</f>
        <v>0</v>
      </c>
      <c r="F98" s="5" t="e">
        <f t="shared" si="3"/>
        <v>#N/A</v>
      </c>
      <c r="G98" s="5" t="e">
        <f t="shared" si="4"/>
        <v>#N/A</v>
      </c>
      <c r="H98" s="5" t="e">
        <f t="shared" si="5"/>
        <v>#N/A</v>
      </c>
      <c r="I98" s="5" t="e">
        <f t="array" ref="I98">IF(ABS($H98)=MAX(IF(ISNUMBER(ABS($H:$H)),ABS($H:$H))),$H98,NA())</f>
        <v>#N/A</v>
      </c>
      <c r="J98" s="60">
        <f>SUMIFS(Klout!$B:$B,Klout!$A:$A, "&gt;="&amp;C98, Klout!$A:$A, "&lt;"&amp;C99)</f>
        <v>0</v>
      </c>
      <c r="K98" s="5" t="e">
        <f t="shared" si="6"/>
        <v>#N/A</v>
      </c>
      <c r="L98" s="5" t="e">
        <f t="shared" si="7"/>
        <v>#N/A</v>
      </c>
      <c r="M98" s="5" t="e">
        <f t="shared" si="8"/>
        <v>#N/A</v>
      </c>
      <c r="N98" s="5" t="e">
        <f t="array" ref="N98">IF(ABS($M98)=MAX(IF(ISNUMBER(ABS($M:$M)),ABS($M:$M))),$M98,NA())</f>
        <v>#N/A</v>
      </c>
    </row>
    <row r="99" spans="1:14" s="5" customFormat="1" x14ac:dyDescent="0.25">
      <c r="A99" s="23">
        <f t="shared" si="9"/>
        <v>42759</v>
      </c>
      <c r="B99" s="25">
        <f>IF(C100&lt;Charts!$H$3,0,IF(DATE(YEAR(Charts!$H$3),MONTH(Charts!$H$3),DAY(Charts!$H$3))=DATE(YEAR(C100), MONTH(C100),DAY(C100)),0,TEXT(C99,"m/d/yy")&amp;"-"&amp;TEXT(C99+6,"m/d/yy")))</f>
        <v>0</v>
      </c>
      <c r="C99" s="24">
        <f t="shared" si="0"/>
        <v>42759</v>
      </c>
      <c r="D99" s="67">
        <f t="shared" si="10"/>
        <v>42759</v>
      </c>
      <c r="E99" s="60">
        <f>SUMIFS(User!$D:$D, User!$B:$B, "&gt;="&amp;C99, User!$B:$B, "&lt;"&amp;C100)</f>
        <v>0</v>
      </c>
      <c r="F99" s="5" t="e">
        <f t="shared" si="3"/>
        <v>#N/A</v>
      </c>
      <c r="G99" s="5" t="e">
        <f t="shared" si="4"/>
        <v>#N/A</v>
      </c>
      <c r="H99" s="5" t="e">
        <f t="shared" si="5"/>
        <v>#N/A</v>
      </c>
      <c r="I99" s="5" t="e">
        <f t="array" ref="I99">IF(ABS($H99)=MAX(IF(ISNUMBER(ABS($H:$H)),ABS($H:$H))),$H99,NA())</f>
        <v>#N/A</v>
      </c>
      <c r="J99" s="60">
        <f>SUMIFS(Klout!$B:$B,Klout!$A:$A, "&gt;="&amp;C99, Klout!$A:$A, "&lt;"&amp;C100)</f>
        <v>0</v>
      </c>
      <c r="K99" s="5" t="e">
        <f t="shared" si="6"/>
        <v>#N/A</v>
      </c>
      <c r="L99" s="5" t="e">
        <f t="shared" si="7"/>
        <v>#N/A</v>
      </c>
      <c r="M99" s="5" t="e">
        <f t="shared" si="8"/>
        <v>#N/A</v>
      </c>
      <c r="N99" s="5" t="e">
        <f t="array" ref="N99">IF(ABS($M99)=MAX(IF(ISNUMBER(ABS($M:$M)),ABS($M:$M))),$M99,NA())</f>
        <v>#N/A</v>
      </c>
    </row>
    <row r="100" spans="1:14" s="5" customFormat="1" x14ac:dyDescent="0.25">
      <c r="A100" s="23">
        <f t="shared" si="9"/>
        <v>42760</v>
      </c>
      <c r="B100" s="25">
        <f>IF(C101&lt;Charts!$H$3,0,IF(DATE(YEAR(Charts!$H$3),MONTH(Charts!$H$3),DAY(Charts!$H$3))=DATE(YEAR(C101), MONTH(C101),DAY(C101)),0,TEXT(C100,"m/d/yy")&amp;"-"&amp;TEXT(C100+6,"m/d/yy")))</f>
        <v>0</v>
      </c>
      <c r="C100" s="24">
        <f t="shared" si="0"/>
        <v>42760</v>
      </c>
      <c r="D100" s="67">
        <f t="shared" si="10"/>
        <v>42760</v>
      </c>
      <c r="E100" s="60">
        <f>SUMIFS(User!$D:$D, User!$B:$B, "&gt;="&amp;C100, User!$B:$B, "&lt;"&amp;C101)</f>
        <v>0</v>
      </c>
      <c r="F100" s="5" t="e">
        <f t="shared" si="3"/>
        <v>#N/A</v>
      </c>
      <c r="G100" s="5" t="e">
        <f t="shared" si="4"/>
        <v>#N/A</v>
      </c>
      <c r="H100" s="5" t="e">
        <f t="shared" si="5"/>
        <v>#N/A</v>
      </c>
      <c r="I100" s="5" t="e">
        <f t="array" ref="I100">IF(ABS($H100)=MAX(IF(ISNUMBER(ABS($H:$H)),ABS($H:$H))),$H100,NA())</f>
        <v>#N/A</v>
      </c>
      <c r="J100" s="60">
        <f>SUMIFS(Klout!$B:$B,Klout!$A:$A, "&gt;="&amp;C100, Klout!$A:$A, "&lt;"&amp;C101)</f>
        <v>0</v>
      </c>
      <c r="K100" s="5" t="e">
        <f t="shared" si="6"/>
        <v>#N/A</v>
      </c>
      <c r="L100" s="5" t="e">
        <f t="shared" si="7"/>
        <v>#N/A</v>
      </c>
      <c r="M100" s="5" t="e">
        <f t="shared" si="8"/>
        <v>#N/A</v>
      </c>
      <c r="N100" s="5" t="e">
        <f t="array" ref="N100">IF(ABS($M100)=MAX(IF(ISNUMBER(ABS($M:$M)),ABS($M:$M))),$M100,NA())</f>
        <v>#N/A</v>
      </c>
    </row>
    <row r="101" spans="1:14" s="5" customFormat="1" x14ac:dyDescent="0.25">
      <c r="A101" s="23">
        <f t="shared" si="9"/>
        <v>42761</v>
      </c>
      <c r="B101" s="25">
        <f>IF(C102&lt;Charts!$H$3,0,IF(DATE(YEAR(Charts!$H$3),MONTH(Charts!$H$3),DAY(Charts!$H$3))=DATE(YEAR(C102), MONTH(C102),DAY(C102)),0,TEXT(C101,"m/d/yy")&amp;"-"&amp;TEXT(C101+6,"m/d/yy")))</f>
        <v>0</v>
      </c>
      <c r="C101" s="24">
        <f t="shared" si="0"/>
        <v>42761</v>
      </c>
      <c r="D101" s="67">
        <f t="shared" si="10"/>
        <v>42761</v>
      </c>
      <c r="E101" s="60">
        <f>SUMIFS(User!$D:$D, User!$B:$B, "&gt;="&amp;C101, User!$B:$B, "&lt;"&amp;C102)</f>
        <v>0</v>
      </c>
      <c r="F101" s="5" t="e">
        <f t="shared" si="3"/>
        <v>#N/A</v>
      </c>
      <c r="G101" s="5" t="e">
        <f t="shared" si="4"/>
        <v>#N/A</v>
      </c>
      <c r="H101" s="5" t="e">
        <f t="shared" si="5"/>
        <v>#N/A</v>
      </c>
      <c r="I101" s="5" t="e">
        <f t="array" ref="I101">IF(ABS($H101)=MAX(IF(ISNUMBER(ABS($H:$H)),ABS($H:$H))),$H101,NA())</f>
        <v>#N/A</v>
      </c>
      <c r="J101" s="60">
        <f>SUMIFS(Klout!$B:$B,Klout!$A:$A, "&gt;="&amp;C101, Klout!$A:$A, "&lt;"&amp;C102)</f>
        <v>0</v>
      </c>
      <c r="K101" s="5" t="e">
        <f t="shared" si="6"/>
        <v>#N/A</v>
      </c>
      <c r="L101" s="5" t="e">
        <f t="shared" si="7"/>
        <v>#N/A</v>
      </c>
      <c r="M101" s="5" t="e">
        <f t="shared" si="8"/>
        <v>#N/A</v>
      </c>
      <c r="N101" s="5" t="e">
        <f t="array" ref="N101">IF(ABS($M101)=MAX(IF(ISNUMBER(ABS($M:$M)),ABS($M:$M))),$M101,NA())</f>
        <v>#N/A</v>
      </c>
    </row>
    <row r="102" spans="1:14" s="5" customFormat="1" ht="15" customHeight="1" x14ac:dyDescent="0.25">
      <c r="A102" s="23">
        <f t="shared" si="9"/>
        <v>42762</v>
      </c>
      <c r="B102" s="25">
        <f>IF(C103&lt;Charts!$H$3,0,IF(DATE(YEAR(Charts!$H$3),MONTH(Charts!$H$3),DAY(Charts!$H$3))=DATE(YEAR(C103), MONTH(C103),DAY(C103)),0,TEXT(C102,"m/d/yy")&amp;"-"&amp;TEXT(C102+6,"m/d/yy")))</f>
        <v>0</v>
      </c>
      <c r="C102" s="24">
        <f t="shared" si="0"/>
        <v>42762</v>
      </c>
      <c r="D102" s="67">
        <f t="shared" si="10"/>
        <v>42762</v>
      </c>
      <c r="E102" s="60">
        <f>SUMIFS(User!$D:$D, User!$B:$B, "&gt;="&amp;C102, User!$B:$B, "&lt;"&amp;C103)</f>
        <v>0</v>
      </c>
      <c r="F102" s="5" t="e">
        <f t="shared" si="3"/>
        <v>#N/A</v>
      </c>
      <c r="G102" s="5" t="e">
        <f t="shared" si="4"/>
        <v>#N/A</v>
      </c>
      <c r="H102" s="5" t="e">
        <f t="shared" si="5"/>
        <v>#N/A</v>
      </c>
      <c r="I102" s="5" t="e">
        <f t="array" ref="I102">IF(ABS($H102)=MAX(IF(ISNUMBER(ABS($H:$H)),ABS($H:$H))),$H102,NA())</f>
        <v>#N/A</v>
      </c>
      <c r="J102" s="60">
        <f>SUMIFS(Klout!$B:$B,Klout!$A:$A, "&gt;="&amp;C102, Klout!$A:$A, "&lt;"&amp;C103)</f>
        <v>0</v>
      </c>
      <c r="K102" s="5" t="e">
        <f t="shared" si="6"/>
        <v>#N/A</v>
      </c>
      <c r="L102" s="5" t="e">
        <f t="shared" si="7"/>
        <v>#N/A</v>
      </c>
      <c r="M102" s="5" t="e">
        <f t="shared" si="8"/>
        <v>#N/A</v>
      </c>
      <c r="N102" s="5" t="e">
        <f t="array" ref="N102">IF(ABS($M102)=MAX(IF(ISNUMBER(ABS($M:$M)),ABS($M:$M))),$M102,NA())</f>
        <v>#N/A</v>
      </c>
    </row>
    <row r="103" spans="1:14" s="5" customFormat="1" x14ac:dyDescent="0.25">
      <c r="A103" s="23">
        <f t="shared" si="9"/>
        <v>42763</v>
      </c>
      <c r="B103" s="25">
        <f>IF(C104&lt;Charts!$H$3,0,IF(DATE(YEAR(Charts!$H$3),MONTH(Charts!$H$3),DAY(Charts!$H$3))=DATE(YEAR(C104), MONTH(C104),DAY(C104)),0,TEXT(C103,"m/d/yy")&amp;"-"&amp;TEXT(C103+6,"m/d/yy")))</f>
        <v>0</v>
      </c>
      <c r="C103" s="24">
        <f t="shared" si="0"/>
        <v>42763</v>
      </c>
      <c r="D103" s="67">
        <f t="shared" si="10"/>
        <v>42763</v>
      </c>
      <c r="E103" s="60">
        <f>SUMIFS(User!$D:$D, User!$B:$B, "&gt;="&amp;C103, User!$B:$B, "&lt;"&amp;C104)</f>
        <v>0</v>
      </c>
      <c r="F103" s="5" t="e">
        <f t="shared" si="3"/>
        <v>#N/A</v>
      </c>
      <c r="G103" s="5" t="e">
        <f t="shared" si="4"/>
        <v>#N/A</v>
      </c>
      <c r="H103" s="5" t="e">
        <f t="shared" si="5"/>
        <v>#N/A</v>
      </c>
      <c r="I103" s="5" t="e">
        <f t="array" ref="I103">IF(ABS($H103)=MAX(IF(ISNUMBER(ABS($H:$H)),ABS($H:$H))),$H103,NA())</f>
        <v>#N/A</v>
      </c>
      <c r="J103" s="60">
        <f>SUMIFS(Klout!$B:$B,Klout!$A:$A, "&gt;="&amp;C103, Klout!$A:$A, "&lt;"&amp;C104)</f>
        <v>0</v>
      </c>
      <c r="K103" s="5" t="e">
        <f t="shared" si="6"/>
        <v>#N/A</v>
      </c>
      <c r="L103" s="5" t="e">
        <f t="shared" si="7"/>
        <v>#N/A</v>
      </c>
      <c r="M103" s="5" t="e">
        <f t="shared" si="8"/>
        <v>#N/A</v>
      </c>
      <c r="N103" s="5" t="e">
        <f t="array" ref="N103">IF(ABS($M103)=MAX(IF(ISNUMBER(ABS($M:$M)),ABS($M:$M))),$M103,NA())</f>
        <v>#N/A</v>
      </c>
    </row>
    <row r="104" spans="1:14" s="5" customFormat="1" x14ac:dyDescent="0.25">
      <c r="A104" s="23">
        <f t="shared" si="9"/>
        <v>42764</v>
      </c>
      <c r="B104" s="25">
        <f>IF(C105&lt;Charts!$H$3,0,IF(DATE(YEAR(Charts!$H$3),MONTH(Charts!$H$3),DAY(Charts!$H$3))=DATE(YEAR(C105), MONTH(C105),DAY(C105)),0,TEXT(C104,"m/d/yy")&amp;"-"&amp;TEXT(C104+6,"m/d/yy")))</f>
        <v>0</v>
      </c>
      <c r="C104" s="24">
        <f t="shared" si="0"/>
        <v>42764</v>
      </c>
      <c r="D104" s="67">
        <f t="shared" si="10"/>
        <v>42764</v>
      </c>
      <c r="E104" s="60">
        <f>SUMIFS(User!$D:$D, User!$B:$B, "&gt;="&amp;C104, User!$B:$B, "&lt;"&amp;C105)</f>
        <v>0</v>
      </c>
      <c r="F104" s="5" t="e">
        <f t="shared" si="3"/>
        <v>#N/A</v>
      </c>
      <c r="G104" s="5" t="e">
        <f t="shared" si="4"/>
        <v>#N/A</v>
      </c>
      <c r="H104" s="5" t="e">
        <f t="shared" si="5"/>
        <v>#N/A</v>
      </c>
      <c r="I104" s="5" t="e">
        <f t="array" ref="I104">IF(ABS($H104)=MAX(IF(ISNUMBER(ABS($H:$H)),ABS($H:$H))),$H104,NA())</f>
        <v>#N/A</v>
      </c>
      <c r="J104" s="60">
        <f>SUMIFS(Klout!$B:$B,Klout!$A:$A, "&gt;="&amp;C104, Klout!$A:$A, "&lt;"&amp;C105)</f>
        <v>0</v>
      </c>
      <c r="K104" s="5" t="e">
        <f t="shared" si="6"/>
        <v>#N/A</v>
      </c>
      <c r="L104" s="5" t="e">
        <f t="shared" si="7"/>
        <v>#N/A</v>
      </c>
      <c r="M104" s="5" t="e">
        <f t="shared" si="8"/>
        <v>#N/A</v>
      </c>
      <c r="N104" s="5" t="e">
        <f t="array" ref="N104">IF(ABS($M104)=MAX(IF(ISNUMBER(ABS($M:$M)),ABS($M:$M))),$M104,NA())</f>
        <v>#N/A</v>
      </c>
    </row>
    <row r="105" spans="1:14" s="5" customFormat="1" x14ac:dyDescent="0.25">
      <c r="A105" s="23">
        <f t="shared" si="9"/>
        <v>42765</v>
      </c>
      <c r="B105" s="25">
        <f>IF(C106&lt;Charts!$H$3,0,IF(DATE(YEAR(Charts!$H$3),MONTH(Charts!$H$3),DAY(Charts!$H$3))=DATE(YEAR(C106), MONTH(C106),DAY(C106)),0,TEXT(C105,"m/d/yy")&amp;"-"&amp;TEXT(C105+6,"m/d/yy")))</f>
        <v>0</v>
      </c>
      <c r="C105" s="24">
        <f t="shared" si="0"/>
        <v>42765</v>
      </c>
      <c r="D105" s="67">
        <f t="shared" si="10"/>
        <v>42765</v>
      </c>
      <c r="E105" s="60">
        <f>SUMIFS(User!$D:$D, User!$B:$B, "&gt;="&amp;C105, User!$B:$B, "&lt;"&amp;C106)</f>
        <v>0</v>
      </c>
      <c r="F105" s="5" t="e">
        <f t="shared" si="3"/>
        <v>#N/A</v>
      </c>
      <c r="G105" s="5" t="e">
        <f t="shared" si="4"/>
        <v>#N/A</v>
      </c>
      <c r="H105" s="5" t="e">
        <f t="shared" si="5"/>
        <v>#N/A</v>
      </c>
      <c r="I105" s="5" t="e">
        <f t="array" ref="I105">IF(ABS($H105)=MAX(IF(ISNUMBER(ABS($H:$H)),ABS($H:$H))),$H105,NA())</f>
        <v>#N/A</v>
      </c>
      <c r="J105" s="60">
        <f>SUMIFS(Klout!$B:$B,Klout!$A:$A, "&gt;="&amp;C105, Klout!$A:$A, "&lt;"&amp;C106)</f>
        <v>0</v>
      </c>
      <c r="K105" s="5" t="e">
        <f t="shared" si="6"/>
        <v>#N/A</v>
      </c>
      <c r="L105" s="5" t="e">
        <f t="shared" si="7"/>
        <v>#N/A</v>
      </c>
      <c r="M105" s="5" t="e">
        <f t="shared" si="8"/>
        <v>#N/A</v>
      </c>
      <c r="N105" s="5" t="e">
        <f t="array" ref="N105">IF(ABS($M105)=MAX(IF(ISNUMBER(ABS($M:$M)),ABS($M:$M))),$M105,NA())</f>
        <v>#N/A</v>
      </c>
    </row>
    <row r="106" spans="1:14" s="5" customFormat="1" x14ac:dyDescent="0.25">
      <c r="A106" s="23">
        <f t="shared" si="9"/>
        <v>42766</v>
      </c>
      <c r="B106" s="25">
        <f>IF(C107&lt;Charts!$H$3,0,IF(DATE(YEAR(Charts!$H$3),MONTH(Charts!$H$3),DAY(Charts!$H$3))=DATE(YEAR(C107), MONTH(C107),DAY(C107)),0,TEXT(C106,"m/d/yy")&amp;"-"&amp;TEXT(C106+6,"m/d/yy")))</f>
        <v>0</v>
      </c>
      <c r="C106" s="24">
        <f t="shared" si="0"/>
        <v>42766</v>
      </c>
      <c r="D106" s="67">
        <f t="shared" si="10"/>
        <v>42766</v>
      </c>
      <c r="E106" s="60">
        <f>SUMIFS(User!$D:$D, User!$B:$B, "&gt;="&amp;C106, User!$B:$B, "&lt;"&amp;C107)</f>
        <v>0</v>
      </c>
      <c r="F106" s="5" t="e">
        <f t="shared" si="3"/>
        <v>#N/A</v>
      </c>
      <c r="G106" s="5" t="e">
        <f t="shared" si="4"/>
        <v>#N/A</v>
      </c>
      <c r="H106" s="5" t="e">
        <f t="shared" si="5"/>
        <v>#N/A</v>
      </c>
      <c r="I106" s="5" t="e">
        <f t="array" ref="I106">IF(ABS($H106)=MAX(IF(ISNUMBER(ABS($H:$H)),ABS($H:$H))),$H106,NA())</f>
        <v>#N/A</v>
      </c>
      <c r="J106" s="60">
        <f>SUMIFS(Klout!$B:$B,Klout!$A:$A, "&gt;="&amp;C106, Klout!$A:$A, "&lt;"&amp;C107)</f>
        <v>0</v>
      </c>
      <c r="K106" s="5" t="e">
        <f t="shared" si="6"/>
        <v>#N/A</v>
      </c>
      <c r="L106" s="5" t="e">
        <f t="shared" si="7"/>
        <v>#N/A</v>
      </c>
      <c r="M106" s="5" t="e">
        <f t="shared" si="8"/>
        <v>#N/A</v>
      </c>
      <c r="N106" s="5" t="e">
        <f t="array" ref="N106">IF(ABS($M106)=MAX(IF(ISNUMBER(ABS($M:$M)),ABS($M:$M))),$M106,NA())</f>
        <v>#N/A</v>
      </c>
    </row>
    <row r="107" spans="1:14" s="5" customFormat="1" x14ac:dyDescent="0.25">
      <c r="A107" s="23">
        <f t="shared" si="9"/>
        <v>42767</v>
      </c>
      <c r="B107" s="25">
        <f>IF(C108&lt;Charts!$H$3,0,IF(DATE(YEAR(Charts!$H$3),MONTH(Charts!$H$3),DAY(Charts!$H$3))=DATE(YEAR(C108), MONTH(C108),DAY(C108)),0,TEXT(C107,"m/d/yy")&amp;"-"&amp;TEXT(C107+6,"m/d/yy")))</f>
        <v>0</v>
      </c>
      <c r="C107" s="24">
        <f t="shared" si="0"/>
        <v>42767</v>
      </c>
      <c r="D107" s="67">
        <f t="shared" si="10"/>
        <v>42767</v>
      </c>
      <c r="E107" s="60">
        <f>SUMIFS(User!$D:$D, User!$B:$B, "&gt;="&amp;C107, User!$B:$B, "&lt;"&amp;C108)</f>
        <v>0</v>
      </c>
      <c r="F107" s="5" t="e">
        <f t="shared" si="3"/>
        <v>#N/A</v>
      </c>
      <c r="G107" s="5" t="e">
        <f t="shared" si="4"/>
        <v>#N/A</v>
      </c>
      <c r="H107" s="5" t="e">
        <f t="shared" si="5"/>
        <v>#N/A</v>
      </c>
      <c r="I107" s="5" t="e">
        <f t="array" ref="I107">IF(ABS($H107)=MAX(IF(ISNUMBER(ABS($H:$H)),ABS($H:$H))),$H107,NA())</f>
        <v>#N/A</v>
      </c>
      <c r="J107" s="60">
        <f>SUMIFS(Klout!$B:$B,Klout!$A:$A, "&gt;="&amp;C107, Klout!$A:$A, "&lt;"&amp;C108)</f>
        <v>0</v>
      </c>
      <c r="K107" s="5" t="e">
        <f t="shared" si="6"/>
        <v>#N/A</v>
      </c>
      <c r="L107" s="5" t="e">
        <f t="shared" si="7"/>
        <v>#N/A</v>
      </c>
      <c r="M107" s="5" t="e">
        <f t="shared" si="8"/>
        <v>#N/A</v>
      </c>
      <c r="N107" s="5" t="e">
        <f t="array" ref="N107">IF(ABS($M107)=MAX(IF(ISNUMBER(ABS($M:$M)),ABS($M:$M))),$M107,NA())</f>
        <v>#N/A</v>
      </c>
    </row>
    <row r="108" spans="1:14" s="5" customFormat="1" x14ac:dyDescent="0.25">
      <c r="A108" s="23">
        <f t="shared" si="9"/>
        <v>42768</v>
      </c>
      <c r="B108" s="25">
        <f>IF(C109&lt;Charts!$H$3,0,IF(DATE(YEAR(Charts!$H$3),MONTH(Charts!$H$3),DAY(Charts!$H$3))=DATE(YEAR(C109), MONTH(C109),DAY(C109)),0,TEXT(C108,"m/d/yy")&amp;"-"&amp;TEXT(C108+6,"m/d/yy")))</f>
        <v>0</v>
      </c>
      <c r="C108" s="24">
        <f t="shared" si="0"/>
        <v>42768</v>
      </c>
      <c r="D108" s="67">
        <f t="shared" si="10"/>
        <v>42768</v>
      </c>
      <c r="E108" s="60">
        <f>SUMIFS(User!$D:$D, User!$B:$B, "&gt;="&amp;C108, User!$B:$B, "&lt;"&amp;C109)</f>
        <v>0</v>
      </c>
      <c r="F108" s="5" t="e">
        <f t="shared" si="3"/>
        <v>#N/A</v>
      </c>
      <c r="G108" s="5" t="e">
        <f t="shared" si="4"/>
        <v>#N/A</v>
      </c>
      <c r="H108" s="5" t="e">
        <f t="shared" si="5"/>
        <v>#N/A</v>
      </c>
      <c r="I108" s="5" t="e">
        <f t="array" ref="I108">IF(ABS($H108)=MAX(IF(ISNUMBER(ABS($H:$H)),ABS($H:$H))),$H108,NA())</f>
        <v>#N/A</v>
      </c>
      <c r="J108" s="60">
        <f>SUMIFS(Klout!$B:$B,Klout!$A:$A, "&gt;="&amp;C108, Klout!$A:$A, "&lt;"&amp;C109)</f>
        <v>0</v>
      </c>
      <c r="K108" s="5" t="e">
        <f t="shared" si="6"/>
        <v>#N/A</v>
      </c>
      <c r="L108" s="5" t="e">
        <f t="shared" si="7"/>
        <v>#N/A</v>
      </c>
      <c r="M108" s="5" t="e">
        <f t="shared" si="8"/>
        <v>#N/A</v>
      </c>
      <c r="N108" s="5" t="e">
        <f t="array" ref="N108">IF(ABS($M108)=MAX(IF(ISNUMBER(ABS($M:$M)),ABS($M:$M))),$M108,NA())</f>
        <v>#N/A</v>
      </c>
    </row>
    <row r="109" spans="1:14" s="5" customFormat="1" x14ac:dyDescent="0.25">
      <c r="A109" s="23">
        <f t="shared" si="9"/>
        <v>42769</v>
      </c>
      <c r="B109" s="25">
        <f>IF(C110&lt;Charts!$H$3,0,IF(DATE(YEAR(Charts!$H$3),MONTH(Charts!$H$3),DAY(Charts!$H$3))=DATE(YEAR(C110), MONTH(C110),DAY(C110)),0,TEXT(C109,"m/d/yy")&amp;"-"&amp;TEXT(C109+6,"m/d/yy")))</f>
        <v>0</v>
      </c>
      <c r="C109" s="24">
        <f t="shared" si="0"/>
        <v>42769</v>
      </c>
      <c r="D109" s="67">
        <f t="shared" si="10"/>
        <v>42769</v>
      </c>
      <c r="E109" s="60">
        <f>SUMIFS(User!$D:$D, User!$B:$B, "&gt;="&amp;C109, User!$B:$B, "&lt;"&amp;C110)</f>
        <v>0</v>
      </c>
      <c r="F109" s="5" t="e">
        <f t="shared" si="3"/>
        <v>#N/A</v>
      </c>
      <c r="G109" s="5" t="e">
        <f t="shared" si="4"/>
        <v>#N/A</v>
      </c>
      <c r="H109" s="5" t="e">
        <f t="shared" si="5"/>
        <v>#N/A</v>
      </c>
      <c r="I109" s="5" t="e">
        <f t="array" ref="I109">IF(ABS($H109)=MAX(IF(ISNUMBER(ABS($H:$H)),ABS($H:$H))),$H109,NA())</f>
        <v>#N/A</v>
      </c>
      <c r="J109" s="60">
        <f>SUMIFS(Klout!$B:$B,Klout!$A:$A, "&gt;="&amp;C109, Klout!$A:$A, "&lt;"&amp;C110)</f>
        <v>0</v>
      </c>
      <c r="K109" s="5" t="e">
        <f t="shared" si="6"/>
        <v>#N/A</v>
      </c>
      <c r="L109" s="5" t="e">
        <f t="shared" si="7"/>
        <v>#N/A</v>
      </c>
      <c r="M109" s="5" t="e">
        <f t="shared" si="8"/>
        <v>#N/A</v>
      </c>
      <c r="N109" s="5" t="e">
        <f t="array" ref="N109">IF(ABS($M109)=MAX(IF(ISNUMBER(ABS($M:$M)),ABS($M:$M))),$M109,NA())</f>
        <v>#N/A</v>
      </c>
    </row>
    <row r="110" spans="1:14" s="5" customFormat="1" x14ac:dyDescent="0.25">
      <c r="A110" s="23">
        <f t="shared" si="9"/>
        <v>42770</v>
      </c>
      <c r="B110" s="25">
        <f>IF(C111&lt;Charts!$H$3,0,IF(DATE(YEAR(Charts!$H$3),MONTH(Charts!$H$3),DAY(Charts!$H$3))=DATE(YEAR(C111), MONTH(C111),DAY(C111)),0,TEXT(C110,"m/d/yy")&amp;"-"&amp;TEXT(C110+6,"m/d/yy")))</f>
        <v>0</v>
      </c>
      <c r="C110" s="24">
        <f t="shared" si="0"/>
        <v>42770</v>
      </c>
      <c r="D110" s="67">
        <f t="shared" si="10"/>
        <v>42770</v>
      </c>
      <c r="E110" s="60">
        <f>SUMIFS(User!$D:$D, User!$B:$B, "&gt;="&amp;C110, User!$B:$B, "&lt;"&amp;C111)</f>
        <v>0</v>
      </c>
      <c r="F110" s="5" t="e">
        <f t="shared" si="3"/>
        <v>#N/A</v>
      </c>
      <c r="G110" s="5" t="e">
        <f t="shared" si="4"/>
        <v>#N/A</v>
      </c>
      <c r="H110" s="5" t="e">
        <f t="shared" si="5"/>
        <v>#N/A</v>
      </c>
      <c r="I110" s="5" t="e">
        <f t="array" ref="I110">IF(ABS($H110)=MAX(IF(ISNUMBER(ABS($H:$H)),ABS($H:$H))),$H110,NA())</f>
        <v>#N/A</v>
      </c>
      <c r="J110" s="60">
        <f>SUMIFS(Klout!$B:$B,Klout!$A:$A, "&gt;="&amp;C110, Klout!$A:$A, "&lt;"&amp;C111)</f>
        <v>0</v>
      </c>
      <c r="K110" s="5" t="e">
        <f t="shared" si="6"/>
        <v>#N/A</v>
      </c>
      <c r="L110" s="5" t="e">
        <f t="shared" si="7"/>
        <v>#N/A</v>
      </c>
      <c r="M110" s="5" t="e">
        <f t="shared" si="8"/>
        <v>#N/A</v>
      </c>
      <c r="N110" s="5" t="e">
        <f t="array" ref="N110">IF(ABS($M110)=MAX(IF(ISNUMBER(ABS($M:$M)),ABS($M:$M))),$M110,NA())</f>
        <v>#N/A</v>
      </c>
    </row>
    <row r="111" spans="1:14" s="5" customFormat="1" x14ac:dyDescent="0.25">
      <c r="A111" s="23">
        <f t="shared" si="9"/>
        <v>42771</v>
      </c>
      <c r="B111" s="25">
        <f>IF(C112&lt;Charts!$H$3,0,IF(DATE(YEAR(Charts!$H$3),MONTH(Charts!$H$3),DAY(Charts!$H$3))=DATE(YEAR(C112), MONTH(C112),DAY(C112)),0,TEXT(C111,"m/d/yy")&amp;"-"&amp;TEXT(C111+6,"m/d/yy")))</f>
        <v>0</v>
      </c>
      <c r="C111" s="24">
        <f t="shared" si="0"/>
        <v>42771</v>
      </c>
      <c r="D111" s="67">
        <f t="shared" si="10"/>
        <v>42771</v>
      </c>
      <c r="E111" s="60">
        <f>SUMIFS(User!$D:$D, User!$B:$B, "&gt;="&amp;C111, User!$B:$B, "&lt;"&amp;C112)</f>
        <v>0</v>
      </c>
      <c r="F111" s="5" t="e">
        <f t="shared" si="3"/>
        <v>#N/A</v>
      </c>
      <c r="G111" s="5" t="e">
        <f t="shared" si="4"/>
        <v>#N/A</v>
      </c>
      <c r="H111" s="5" t="e">
        <f t="shared" si="5"/>
        <v>#N/A</v>
      </c>
      <c r="I111" s="5" t="e">
        <f t="array" ref="I111">IF(ABS($H111)=MAX(IF(ISNUMBER(ABS($H:$H)),ABS($H:$H))),$H111,NA())</f>
        <v>#N/A</v>
      </c>
      <c r="J111" s="60">
        <f>SUMIFS(Klout!$B:$B,Klout!$A:$A, "&gt;="&amp;C111, Klout!$A:$A, "&lt;"&amp;C112)</f>
        <v>0</v>
      </c>
      <c r="K111" s="5" t="e">
        <f t="shared" si="6"/>
        <v>#N/A</v>
      </c>
      <c r="L111" s="5" t="e">
        <f t="shared" si="7"/>
        <v>#N/A</v>
      </c>
      <c r="M111" s="5" t="e">
        <f t="shared" si="8"/>
        <v>#N/A</v>
      </c>
      <c r="N111" s="5" t="e">
        <f t="array" ref="N111">IF(ABS($M111)=MAX(IF(ISNUMBER(ABS($M:$M)),ABS($M:$M))),$M111,NA())</f>
        <v>#N/A</v>
      </c>
    </row>
    <row r="112" spans="1:14" s="5" customFormat="1" x14ac:dyDescent="0.25">
      <c r="A112" s="23">
        <f t="shared" si="9"/>
        <v>42772</v>
      </c>
      <c r="B112" s="25">
        <f>IF(C113&lt;Charts!$H$3,0,IF(DATE(YEAR(Charts!$H$3),MONTH(Charts!$H$3),DAY(Charts!$H$3))=DATE(YEAR(C113), MONTH(C113),DAY(C113)),0,TEXT(C112,"m/d/yy")&amp;"-"&amp;TEXT(C112+6,"m/d/yy")))</f>
        <v>0</v>
      </c>
      <c r="C112" s="24">
        <f t="shared" si="0"/>
        <v>42772</v>
      </c>
      <c r="D112" s="67">
        <f t="shared" si="10"/>
        <v>42772</v>
      </c>
      <c r="E112" s="60">
        <f>SUMIFS(User!$D:$D, User!$B:$B, "&gt;="&amp;C112, User!$B:$B, "&lt;"&amp;C113)</f>
        <v>0</v>
      </c>
      <c r="F112" s="5" t="e">
        <f t="shared" si="3"/>
        <v>#N/A</v>
      </c>
      <c r="G112" s="5" t="e">
        <f t="shared" si="4"/>
        <v>#N/A</v>
      </c>
      <c r="H112" s="5" t="e">
        <f t="shared" si="5"/>
        <v>#N/A</v>
      </c>
      <c r="I112" s="5" t="e">
        <f t="array" ref="I112">IF(ABS($H112)=MAX(IF(ISNUMBER(ABS($H:$H)),ABS($H:$H))),$H112,NA())</f>
        <v>#N/A</v>
      </c>
      <c r="J112" s="60">
        <f>SUMIFS(Klout!$B:$B,Klout!$A:$A, "&gt;="&amp;C112, Klout!$A:$A, "&lt;"&amp;C113)</f>
        <v>0</v>
      </c>
      <c r="K112" s="5" t="e">
        <f t="shared" si="6"/>
        <v>#N/A</v>
      </c>
      <c r="L112" s="5" t="e">
        <f t="shared" si="7"/>
        <v>#N/A</v>
      </c>
      <c r="M112" s="5" t="e">
        <f t="shared" si="8"/>
        <v>#N/A</v>
      </c>
      <c r="N112" s="5" t="e">
        <f t="array" ref="N112">IF(ABS($M112)=MAX(IF(ISNUMBER(ABS($M:$M)),ABS($M:$M))),$M112,NA())</f>
        <v>#N/A</v>
      </c>
    </row>
    <row r="113" spans="1:14" s="5" customFormat="1" x14ac:dyDescent="0.25">
      <c r="A113" s="23">
        <f t="shared" si="9"/>
        <v>42773</v>
      </c>
      <c r="B113" s="25">
        <f>IF(C114&lt;Charts!$H$3,0,IF(DATE(YEAR(Charts!$H$3),MONTH(Charts!$H$3),DAY(Charts!$H$3))=DATE(YEAR(C114), MONTH(C114),DAY(C114)),0,TEXT(C113,"m/d/yy")&amp;"-"&amp;TEXT(C113+6,"m/d/yy")))</f>
        <v>0</v>
      </c>
      <c r="C113" s="24">
        <f t="shared" si="0"/>
        <v>42773</v>
      </c>
      <c r="D113" s="67">
        <f t="shared" si="10"/>
        <v>42773</v>
      </c>
      <c r="E113" s="60">
        <f>SUMIFS(User!$D:$D, User!$B:$B, "&gt;="&amp;C113, User!$B:$B, "&lt;"&amp;C114)</f>
        <v>0</v>
      </c>
      <c r="F113" s="5" t="e">
        <f t="shared" si="3"/>
        <v>#N/A</v>
      </c>
      <c r="G113" s="5" t="e">
        <f t="shared" si="4"/>
        <v>#N/A</v>
      </c>
      <c r="H113" s="5" t="e">
        <f t="shared" si="5"/>
        <v>#N/A</v>
      </c>
      <c r="I113" s="5" t="e">
        <f t="array" ref="I113">IF(ABS($H113)=MAX(IF(ISNUMBER(ABS($H:$H)),ABS($H:$H))),$H113,NA())</f>
        <v>#N/A</v>
      </c>
      <c r="J113" s="60">
        <f>SUMIFS(Klout!$B:$B,Klout!$A:$A, "&gt;="&amp;C113, Klout!$A:$A, "&lt;"&amp;C114)</f>
        <v>0</v>
      </c>
      <c r="K113" s="5" t="e">
        <f t="shared" si="6"/>
        <v>#N/A</v>
      </c>
      <c r="L113" s="5" t="e">
        <f t="shared" si="7"/>
        <v>#N/A</v>
      </c>
      <c r="M113" s="5" t="e">
        <f t="shared" si="8"/>
        <v>#N/A</v>
      </c>
      <c r="N113" s="5" t="e">
        <f t="array" ref="N113">IF(ABS($M113)=MAX(IF(ISNUMBER(ABS($M:$M)),ABS($M:$M))),$M113,NA())</f>
        <v>#N/A</v>
      </c>
    </row>
    <row r="114" spans="1:14" s="5" customFormat="1" x14ac:dyDescent="0.25">
      <c r="A114" s="23">
        <f t="shared" si="9"/>
        <v>42774</v>
      </c>
      <c r="B114" s="25">
        <f>IF(C115&lt;Charts!$H$3,0,IF(DATE(YEAR(Charts!$H$3),MONTH(Charts!$H$3),DAY(Charts!$H$3))=DATE(YEAR(C115), MONTH(C115),DAY(C115)),0,TEXT(C114,"m/d/yy")&amp;"-"&amp;TEXT(C114+6,"m/d/yy")))</f>
        <v>0</v>
      </c>
      <c r="C114" s="24">
        <f t="shared" si="0"/>
        <v>42774</v>
      </c>
      <c r="D114" s="67">
        <f t="shared" si="10"/>
        <v>42774</v>
      </c>
      <c r="E114" s="60">
        <f>SUMIFS(User!$D:$D, User!$B:$B, "&gt;="&amp;C114, User!$B:$B, "&lt;"&amp;C115)</f>
        <v>0</v>
      </c>
      <c r="F114" s="5" t="e">
        <f t="shared" si="3"/>
        <v>#N/A</v>
      </c>
      <c r="G114" s="5" t="e">
        <f t="shared" si="4"/>
        <v>#N/A</v>
      </c>
      <c r="H114" s="5" t="e">
        <f t="shared" si="5"/>
        <v>#N/A</v>
      </c>
      <c r="I114" s="5" t="e">
        <f t="array" ref="I114">IF(ABS($H114)=MAX(IF(ISNUMBER(ABS($H:$H)),ABS($H:$H))),$H114,NA())</f>
        <v>#N/A</v>
      </c>
      <c r="J114" s="60">
        <f>SUMIFS(Klout!$B:$B,Klout!$A:$A, "&gt;="&amp;C114, Klout!$A:$A, "&lt;"&amp;C115)</f>
        <v>0</v>
      </c>
      <c r="K114" s="5" t="e">
        <f t="shared" si="6"/>
        <v>#N/A</v>
      </c>
      <c r="L114" s="5" t="e">
        <f t="shared" si="7"/>
        <v>#N/A</v>
      </c>
      <c r="M114" s="5" t="e">
        <f t="shared" si="8"/>
        <v>#N/A</v>
      </c>
      <c r="N114" s="5" t="e">
        <f t="array" ref="N114">IF(ABS($M114)=MAX(IF(ISNUMBER(ABS($M:$M)),ABS($M:$M))),$M114,NA())</f>
        <v>#N/A</v>
      </c>
    </row>
    <row r="115" spans="1:14" s="5" customFormat="1" x14ac:dyDescent="0.25">
      <c r="A115" s="23">
        <f t="shared" si="9"/>
        <v>42775</v>
      </c>
      <c r="B115" s="25" t="str">
        <f>IF(C116&lt;Charts!$H$3,0,IF(DATE(YEAR(Charts!$H$3),MONTH(Charts!$H$3),DAY(Charts!$H$3))=DATE(YEAR(C116), MONTH(C116),DAY(C116)),0,TEXT(C115,"m/d/yy")&amp;"-"&amp;TEXT(C115+6,"m/d/yy")))</f>
        <v>2/9/17-2/15/17</v>
      </c>
      <c r="C115" s="24">
        <f t="shared" si="0"/>
        <v>42775</v>
      </c>
      <c r="D115" s="67">
        <f t="shared" si="10"/>
        <v>42775</v>
      </c>
      <c r="E115" s="60">
        <f>SUMIFS(User!$D:$D, User!$B:$B, "&gt;="&amp;C115, User!$B:$B, "&lt;"&amp;C116)</f>
        <v>0</v>
      </c>
      <c r="F115" s="5" t="e">
        <f t="shared" si="3"/>
        <v>#N/A</v>
      </c>
      <c r="G115" s="5" t="e">
        <f t="shared" si="4"/>
        <v>#N/A</v>
      </c>
      <c r="H115" s="5" t="e">
        <f t="shared" si="5"/>
        <v>#N/A</v>
      </c>
      <c r="I115" s="5" t="e">
        <f t="array" ref="I115">IF(ABS($H115)=MAX(IF(ISNUMBER(ABS($H:$H)),ABS($H:$H))),$H115,NA())</f>
        <v>#N/A</v>
      </c>
      <c r="J115" s="60">
        <f>SUMIFS(Klout!$B:$B,Klout!$A:$A, "&gt;="&amp;C115, Klout!$A:$A, "&lt;"&amp;C116)</f>
        <v>0</v>
      </c>
      <c r="K115" s="5" t="e">
        <f t="shared" si="6"/>
        <v>#N/A</v>
      </c>
      <c r="L115" s="5" t="e">
        <f t="shared" si="7"/>
        <v>#N/A</v>
      </c>
      <c r="M115" s="5" t="e">
        <f t="shared" si="8"/>
        <v>#N/A</v>
      </c>
      <c r="N115" s="5" t="e">
        <f t="array" ref="N115">IF(ABS($M115)=MAX(IF(ISNUMBER(ABS($M:$M)),ABS($M:$M))),$M115,NA())</f>
        <v>#N/A</v>
      </c>
    </row>
    <row r="116" spans="1:14" s="5" customFormat="1" x14ac:dyDescent="0.25">
      <c r="A116" s="23">
        <f t="shared" si="9"/>
        <v>42776</v>
      </c>
      <c r="B116" s="25" t="str">
        <f>IF(C117&lt;Charts!$H$3,0,IF(DATE(YEAR(Charts!$H$3),MONTH(Charts!$H$3),DAY(Charts!$H$3))=DATE(YEAR(C117), MONTH(C117),DAY(C117)),0,TEXT(C116,"m/d/yy")&amp;"-"&amp;TEXT(C116+6,"m/d/yy")))</f>
        <v>2/10/17-2/16/17</v>
      </c>
      <c r="C116" s="24">
        <f t="shared" si="0"/>
        <v>42776</v>
      </c>
      <c r="D116" s="67">
        <f t="shared" si="10"/>
        <v>42776</v>
      </c>
      <c r="E116" s="60">
        <f>SUMIFS(User!$D:$D, User!$B:$B, "&gt;="&amp;C116, User!$B:$B, "&lt;"&amp;C117)</f>
        <v>0</v>
      </c>
      <c r="F116" s="5" t="e">
        <f t="shared" si="3"/>
        <v>#N/A</v>
      </c>
      <c r="G116" s="5" t="e">
        <f t="shared" si="4"/>
        <v>#N/A</v>
      </c>
      <c r="H116" s="5" t="e">
        <f t="shared" si="5"/>
        <v>#N/A</v>
      </c>
      <c r="I116" s="5" t="e">
        <f t="array" ref="I116">IF(ABS($H116)=MAX(IF(ISNUMBER(ABS($H:$H)),ABS($H:$H))),$H116,NA())</f>
        <v>#N/A</v>
      </c>
      <c r="J116" s="60">
        <f>SUMIFS(Klout!$B:$B,Klout!$A:$A, "&gt;="&amp;C116, Klout!$A:$A, "&lt;"&amp;C117)</f>
        <v>0</v>
      </c>
      <c r="K116" s="5" t="e">
        <f t="shared" si="6"/>
        <v>#N/A</v>
      </c>
      <c r="L116" s="5" t="e">
        <f t="shared" si="7"/>
        <v>#N/A</v>
      </c>
      <c r="M116" s="5" t="e">
        <f t="shared" si="8"/>
        <v>#N/A</v>
      </c>
      <c r="N116" s="5" t="e">
        <f t="array" ref="N116">IF(ABS($M116)=MAX(IF(ISNUMBER(ABS($M:$M)),ABS($M:$M))),$M116,NA())</f>
        <v>#N/A</v>
      </c>
    </row>
    <row r="117" spans="1:14" s="5" customFormat="1" x14ac:dyDescent="0.25">
      <c r="A117" s="23">
        <f t="shared" si="9"/>
        <v>42777</v>
      </c>
      <c r="B117" s="25" t="str">
        <f>IF(C118&lt;Charts!$H$3,0,IF(DATE(YEAR(Charts!$H$3),MONTH(Charts!$H$3),DAY(Charts!$H$3))=DATE(YEAR(C118), MONTH(C118),DAY(C118)),0,TEXT(C117,"m/d/yy")&amp;"-"&amp;TEXT(C117+6,"m/d/yy")))</f>
        <v>2/11/17-2/17/17</v>
      </c>
      <c r="C117" s="24">
        <f t="shared" si="0"/>
        <v>42777</v>
      </c>
      <c r="D117" s="67">
        <f t="shared" si="10"/>
        <v>42777</v>
      </c>
      <c r="E117" s="60">
        <f>SUMIFS(User!$D:$D, User!$B:$B, "&gt;="&amp;C117, User!$B:$B, "&lt;"&amp;C118)</f>
        <v>0</v>
      </c>
      <c r="F117" s="5" t="e">
        <f t="shared" si="3"/>
        <v>#N/A</v>
      </c>
      <c r="G117" s="5" t="e">
        <f t="shared" si="4"/>
        <v>#N/A</v>
      </c>
      <c r="H117" s="5" t="e">
        <f t="shared" si="5"/>
        <v>#N/A</v>
      </c>
      <c r="I117" s="5" t="e">
        <f t="array" ref="I117">IF(ABS($H117)=MAX(IF(ISNUMBER(ABS($H:$H)),ABS($H:$H))),$H117,NA())</f>
        <v>#N/A</v>
      </c>
      <c r="J117" s="60">
        <f>SUMIFS(Klout!$B:$B,Klout!$A:$A, "&gt;="&amp;C117, Klout!$A:$A, "&lt;"&amp;C118)</f>
        <v>0</v>
      </c>
      <c r="K117" s="5" t="e">
        <f t="shared" si="6"/>
        <v>#N/A</v>
      </c>
      <c r="L117" s="5" t="e">
        <f t="shared" si="7"/>
        <v>#N/A</v>
      </c>
      <c r="M117" s="5" t="e">
        <f t="shared" si="8"/>
        <v>#N/A</v>
      </c>
      <c r="N117" s="5" t="e">
        <f t="array" ref="N117">IF(ABS($M117)=MAX(IF(ISNUMBER(ABS($M:$M)),ABS($M:$M))),$M117,NA())</f>
        <v>#N/A</v>
      </c>
    </row>
    <row r="118" spans="1:14" s="5" customFormat="1" x14ac:dyDescent="0.25">
      <c r="A118" s="23">
        <f t="shared" si="9"/>
        <v>42778</v>
      </c>
      <c r="B118" s="25" t="str">
        <f>IF(C119&lt;Charts!$H$3,0,IF(DATE(YEAR(Charts!$H$3),MONTH(Charts!$H$3),DAY(Charts!$H$3))=DATE(YEAR(C119), MONTH(C119),DAY(C119)),0,TEXT(C118,"m/d/yy")&amp;"-"&amp;TEXT(C118+6,"m/d/yy")))</f>
        <v>2/12/17-2/18/17</v>
      </c>
      <c r="C118" s="24">
        <f t="shared" si="0"/>
        <v>42778</v>
      </c>
      <c r="D118" s="67">
        <f t="shared" si="10"/>
        <v>42778</v>
      </c>
      <c r="E118" s="60">
        <f>SUMIFS(User!$D:$D, User!$B:$B, "&gt;="&amp;C118, User!$B:$B, "&lt;"&amp;C119)</f>
        <v>0</v>
      </c>
      <c r="F118" s="5" t="e">
        <f t="shared" si="3"/>
        <v>#N/A</v>
      </c>
      <c r="G118" s="5" t="e">
        <f t="shared" si="4"/>
        <v>#N/A</v>
      </c>
      <c r="H118" s="5" t="e">
        <f t="shared" si="5"/>
        <v>#N/A</v>
      </c>
      <c r="I118" s="5" t="e">
        <f t="array" ref="I118">IF(ABS($H118)=MAX(IF(ISNUMBER(ABS($H:$H)),ABS($H:$H))),$H118,NA())</f>
        <v>#N/A</v>
      </c>
      <c r="J118" s="60">
        <f>SUMIFS(Klout!$B:$B,Klout!$A:$A, "&gt;="&amp;C118, Klout!$A:$A, "&lt;"&amp;C119)</f>
        <v>0</v>
      </c>
      <c r="K118" s="5" t="e">
        <f t="shared" si="6"/>
        <v>#N/A</v>
      </c>
      <c r="L118" s="5" t="e">
        <f t="shared" si="7"/>
        <v>#N/A</v>
      </c>
      <c r="M118" s="5" t="e">
        <f t="shared" si="8"/>
        <v>#N/A</v>
      </c>
      <c r="N118" s="5" t="e">
        <f t="array" ref="N118">IF(ABS($M118)=MAX(IF(ISNUMBER(ABS($M:$M)),ABS($M:$M))),$M118,NA())</f>
        <v>#N/A</v>
      </c>
    </row>
    <row r="119" spans="1:14" s="5" customFormat="1" x14ac:dyDescent="0.25">
      <c r="A119" s="23">
        <f t="shared" si="9"/>
        <v>42779</v>
      </c>
      <c r="B119" s="25" t="str">
        <f>IF(C120&lt;Charts!$H$3,0,IF(DATE(YEAR(Charts!$H$3),MONTH(Charts!$H$3),DAY(Charts!$H$3))=DATE(YEAR(C120), MONTH(C120),DAY(C120)),0,TEXT(C119,"m/d/yy")&amp;"-"&amp;TEXT(C119+6,"m/d/yy")))</f>
        <v>2/13/17-2/19/17</v>
      </c>
      <c r="C119" s="24">
        <f t="shared" si="0"/>
        <v>42779</v>
      </c>
      <c r="D119" s="67">
        <f t="shared" si="10"/>
        <v>42779</v>
      </c>
      <c r="E119" s="60">
        <f>SUMIFS(User!$D:$D, User!$B:$B, "&gt;="&amp;C119, User!$B:$B, "&lt;"&amp;C120)</f>
        <v>0</v>
      </c>
      <c r="F119" s="5" t="e">
        <f t="shared" si="3"/>
        <v>#N/A</v>
      </c>
      <c r="G119" s="5" t="e">
        <f t="shared" si="4"/>
        <v>#N/A</v>
      </c>
      <c r="H119" s="5" t="e">
        <f t="shared" si="5"/>
        <v>#N/A</v>
      </c>
      <c r="I119" s="5" t="e">
        <f t="array" ref="I119">IF(ABS($H119)=MAX(IF(ISNUMBER(ABS($H:$H)),ABS($H:$H))),$H119,NA())</f>
        <v>#N/A</v>
      </c>
      <c r="J119" s="60">
        <f>SUMIFS(Klout!$B:$B,Klout!$A:$A, "&gt;="&amp;C119, Klout!$A:$A, "&lt;"&amp;C120)</f>
        <v>0</v>
      </c>
      <c r="K119" s="5" t="e">
        <f t="shared" si="6"/>
        <v>#N/A</v>
      </c>
      <c r="L119" s="5" t="e">
        <f t="shared" si="7"/>
        <v>#N/A</v>
      </c>
      <c r="M119" s="5" t="e">
        <f t="shared" si="8"/>
        <v>#N/A</v>
      </c>
      <c r="N119" s="5" t="e">
        <f t="array" ref="N119">IF(ABS($M119)=MAX(IF(ISNUMBER(ABS($M:$M)),ABS($M:$M))),$M119,NA())</f>
        <v>#N/A</v>
      </c>
    </row>
    <row r="120" spans="1:14" s="5" customFormat="1" x14ac:dyDescent="0.25">
      <c r="A120" s="23">
        <f t="shared" si="9"/>
        <v>42780</v>
      </c>
      <c r="B120" s="25" t="str">
        <f>IF(C121&lt;Charts!$H$3,0,IF(DATE(YEAR(Charts!$H$3),MONTH(Charts!$H$3),DAY(Charts!$H$3))=DATE(YEAR(C121), MONTH(C121),DAY(C121)),0,TEXT(C120,"m/d/yy")&amp;"-"&amp;TEXT(C120+6,"m/d/yy")))</f>
        <v>2/14/17-2/20/17</v>
      </c>
      <c r="C120" s="24">
        <f t="shared" si="0"/>
        <v>42780</v>
      </c>
      <c r="D120" s="67">
        <f t="shared" si="10"/>
        <v>42780</v>
      </c>
      <c r="E120" s="60">
        <f>SUMIFS(User!$D:$D, User!$B:$B, "&gt;="&amp;C120, User!$B:$B, "&lt;"&amp;C121)</f>
        <v>0</v>
      </c>
      <c r="F120" s="5" t="e">
        <f t="shared" si="3"/>
        <v>#N/A</v>
      </c>
      <c r="G120" s="5" t="e">
        <f t="shared" si="4"/>
        <v>#N/A</v>
      </c>
      <c r="H120" s="5" t="e">
        <f t="shared" si="5"/>
        <v>#N/A</v>
      </c>
      <c r="I120" s="5" t="e">
        <f t="array" ref="I120">IF(ABS($H120)=MAX(IF(ISNUMBER(ABS($H:$H)),ABS($H:$H))),$H120,NA())</f>
        <v>#N/A</v>
      </c>
      <c r="J120" s="60">
        <f>SUMIFS(Klout!$B:$B,Klout!$A:$A, "&gt;="&amp;C120, Klout!$A:$A, "&lt;"&amp;C121)</f>
        <v>0</v>
      </c>
      <c r="K120" s="5" t="e">
        <f t="shared" si="6"/>
        <v>#N/A</v>
      </c>
      <c r="L120" s="5" t="e">
        <f t="shared" si="7"/>
        <v>#N/A</v>
      </c>
      <c r="M120" s="5" t="e">
        <f t="shared" si="8"/>
        <v>#N/A</v>
      </c>
      <c r="N120" s="5" t="e">
        <f t="array" ref="N120">IF(ABS($M120)=MAX(IF(ISNUMBER(ABS($M:$M)),ABS($M:$M))),$M120,NA())</f>
        <v>#N/A</v>
      </c>
    </row>
    <row r="121" spans="1:14" s="5" customFormat="1" x14ac:dyDescent="0.25">
      <c r="A121" s="23">
        <f t="shared" si="9"/>
        <v>42781</v>
      </c>
      <c r="B121" s="25" t="str">
        <f>IF(C122&lt;Charts!$H$3,0,IF(DATE(YEAR(Charts!$H$3),MONTH(Charts!$H$3),DAY(Charts!$H$3))=DATE(YEAR(C122), MONTH(C122),DAY(C122)),0,TEXT(C121,"m/d/yy")&amp;"-"&amp;TEXT(C121+6,"m/d/yy")))</f>
        <v>2/15/17-2/21/17</v>
      </c>
      <c r="C121" s="24">
        <f>C122-1</f>
        <v>42781</v>
      </c>
      <c r="D121" s="67">
        <f t="shared" si="10"/>
        <v>42781</v>
      </c>
      <c r="E121" s="60">
        <f>SUMIFS(User!$D:$D, User!$B:$B, "&gt;="&amp;C121, User!$B:$B, "&lt;"&amp;C122)</f>
        <v>0</v>
      </c>
      <c r="F121" s="5" t="e">
        <f t="shared" si="3"/>
        <v>#N/A</v>
      </c>
      <c r="G121" s="5" t="e">
        <f t="shared" si="4"/>
        <v>#N/A</v>
      </c>
      <c r="H121" s="5" t="e">
        <f t="shared" si="5"/>
        <v>#N/A</v>
      </c>
      <c r="I121" s="5" t="e">
        <f t="array" ref="I121">IF(ABS($H121)=MAX(IF(ISNUMBER(ABS($H:$H)),ABS($H:$H))),$H121,NA())</f>
        <v>#N/A</v>
      </c>
      <c r="J121" s="60">
        <f>SUMIFS(Klout!$B:$B,Klout!$A:$A, "&gt;="&amp;C121, Klout!$A:$A, "&lt;"&amp;C122)</f>
        <v>0</v>
      </c>
      <c r="K121" s="5" t="e">
        <f t="shared" si="6"/>
        <v>#N/A</v>
      </c>
      <c r="L121" s="5" t="e">
        <f t="shared" si="7"/>
        <v>#N/A</v>
      </c>
      <c r="M121" s="5" t="e">
        <f t="shared" si="8"/>
        <v>#N/A</v>
      </c>
      <c r="N121" s="5" t="e">
        <f t="array" ref="N121">IF(ABS($M121)=MAX(IF(ISNUMBER(ABS($M:$M)),ABS($M:$M))),$M121,NA())</f>
        <v>#N/A</v>
      </c>
    </row>
    <row r="122" spans="1:14" s="5" customFormat="1" x14ac:dyDescent="0.25">
      <c r="A122" s="23">
        <f t="shared" si="9"/>
        <v>42782</v>
      </c>
      <c r="B122" s="25" t="str">
        <f>IF(C123&lt;Charts!$H$3,0,IF(DATE(YEAR(Charts!$H$3),MONTH(Charts!$H$3),DAY(Charts!$H$3))=DATE(YEAR(C123), MONTH(C123),DAY(C123)),0,TEXT(C122,"m/d/yy")&amp;"-"&amp;TEXT(C122+6,"m/d/yy")))</f>
        <v>2/16/17-2/22/17</v>
      </c>
      <c r="C122" s="22">
        <f>Controls!F32</f>
        <v>42782</v>
      </c>
      <c r="D122" s="68">
        <f t="shared" si="10"/>
        <v>42782</v>
      </c>
      <c r="E122" s="60">
        <f>SUMIFS(User!$D:$D, User!$B:$B, "&gt;="&amp;C122, User!$B:$B, "&lt;"&amp;C123)</f>
        <v>150</v>
      </c>
      <c r="F122" s="5">
        <f t="shared" si="3"/>
        <v>150</v>
      </c>
      <c r="G122" s="5">
        <f t="shared" si="4"/>
        <v>150</v>
      </c>
      <c r="H122" s="5" t="e">
        <f t="shared" si="5"/>
        <v>#N/A</v>
      </c>
      <c r="I122" s="5" t="e">
        <f t="array" ref="I122">IF(ABS($H122)=MAX(IF(ISNUMBER(ABS($H:$H)),ABS($H:$H))),$H122,NA())</f>
        <v>#N/A</v>
      </c>
      <c r="J122" s="60">
        <f>SUMIFS(Klout!$B:$B,Klout!$A:$A, "&gt;="&amp;C122, Klout!$A:$A, "&lt;"&amp;C123)</f>
        <v>27.489000000000001</v>
      </c>
      <c r="K122" s="5">
        <f t="shared" si="6"/>
        <v>27.489000000000001</v>
      </c>
      <c r="L122" s="5">
        <f t="shared" si="7"/>
        <v>27.489000000000001</v>
      </c>
      <c r="M122" s="5" t="e">
        <f t="shared" si="8"/>
        <v>#N/A</v>
      </c>
      <c r="N122" s="5" t="e">
        <f t="array" ref="N122">IF(ABS($M122)=MAX(IF(ISNUMBER(ABS($M:$M)),ABS($M:$M))),$M122,NA())</f>
        <v>#N/A</v>
      </c>
    </row>
    <row r="123" spans="1:14" s="5" customFormat="1" x14ac:dyDescent="0.25">
      <c r="C123" s="22">
        <f>C122+1</f>
        <v>42783</v>
      </c>
      <c r="D123" s="21"/>
    </row>
    <row r="135" spans="2:2" x14ac:dyDescent="0.25">
      <c r="B135" s="20"/>
    </row>
  </sheetData>
  <mergeCells count="2">
    <mergeCell ref="J1:N1"/>
    <mergeCell ref="E1:I1"/>
  </mergeCells>
  <pageMargins left="0.7" right="0.7" top="0.75" bottom="0.75" header="0.3" footer="0.3"/>
  <pageSetup paperSize="11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1"/>
  <sheetViews>
    <sheetView showGridLines="0" workbookViewId="0"/>
  </sheetViews>
  <sheetFormatPr defaultRowHeight="15" x14ac:dyDescent="0.25"/>
  <cols>
    <col min="1" max="1" width="58.28515625" bestFit="1" customWidth="1"/>
    <col min="2" max="2" width="39.42578125" bestFit="1" customWidth="1"/>
    <col min="3" max="3" width="37.5703125" bestFit="1" customWidth="1"/>
    <col min="4" max="4" width="16.7109375" bestFit="1" customWidth="1"/>
    <col min="5" max="5" width="37.5703125" bestFit="1" customWidth="1"/>
    <col min="6" max="6" width="22.140625" bestFit="1" customWidth="1"/>
    <col min="7" max="7" width="15" bestFit="1" customWidth="1"/>
    <col min="8" max="8" width="21" bestFit="1" customWidth="1"/>
    <col min="9" max="9" width="24.85546875" customWidth="1"/>
    <col min="10" max="10" width="8" bestFit="1" customWidth="1"/>
    <col min="12" max="12" width="39.42578125" bestFit="1" customWidth="1"/>
    <col min="13" max="13" width="6.140625" bestFit="1" customWidth="1"/>
    <col min="14" max="14" width="6.28515625" bestFit="1" customWidth="1"/>
  </cols>
  <sheetData>
    <row r="1" spans="1:9" x14ac:dyDescent="0.25">
      <c r="A1" s="223" t="s">
        <v>416</v>
      </c>
      <c r="B1" s="211" t="str">
        <f ca="1">IF(OR(OFFSET(User!A1,1,0)="",LEN(OFFSET(User!A1,1,0))&gt;35),"Twitter Follower Report","Twitter Follower Report for "&amp;OFFSET(User!A1,1,0))</f>
        <v>Twitter Follower Report</v>
      </c>
    </row>
    <row r="3" spans="1:9" x14ac:dyDescent="0.25">
      <c r="A3" s="180" t="s">
        <v>374</v>
      </c>
      <c r="B3" s="181" t="s">
        <v>434</v>
      </c>
      <c r="C3" s="182" t="s">
        <v>439</v>
      </c>
    </row>
    <row r="4" spans="1:9" x14ac:dyDescent="0.25">
      <c r="A4" s="183" t="s">
        <v>375</v>
      </c>
      <c r="B4" s="184" t="s">
        <v>435</v>
      </c>
      <c r="C4" s="185" t="s">
        <v>440</v>
      </c>
    </row>
    <row r="5" spans="1:9" x14ac:dyDescent="0.25">
      <c r="A5" s="183" t="s">
        <v>376</v>
      </c>
      <c r="B5" s="184" t="s">
        <v>436</v>
      </c>
      <c r="C5" s="185" t="s">
        <v>441</v>
      </c>
    </row>
    <row r="6" spans="1:9" x14ac:dyDescent="0.25">
      <c r="A6" s="183" t="s">
        <v>377</v>
      </c>
      <c r="B6" s="184" t="s">
        <v>437</v>
      </c>
      <c r="C6" s="185" t="s">
        <v>442</v>
      </c>
    </row>
    <row r="7" spans="1:9" x14ac:dyDescent="0.25">
      <c r="A7" s="186" t="s">
        <v>378</v>
      </c>
      <c r="B7" s="187" t="s">
        <v>438</v>
      </c>
      <c r="C7" s="188" t="s">
        <v>443</v>
      </c>
    </row>
    <row r="10" spans="1:9" x14ac:dyDescent="0.25">
      <c r="A10" s="6" t="s">
        <v>416</v>
      </c>
      <c r="B10" s="75"/>
      <c r="C10" s="75"/>
      <c r="D10" s="75"/>
      <c r="E10" s="75"/>
      <c r="F10" s="75"/>
      <c r="G10" s="75"/>
      <c r="H10" s="75"/>
      <c r="I10" s="75"/>
    </row>
    <row r="11" spans="1:9" x14ac:dyDescent="0.25">
      <c r="B11" s="155"/>
    </row>
    <row r="12" spans="1:9" x14ac:dyDescent="0.25">
      <c r="B12" s="175" t="s">
        <v>432</v>
      </c>
      <c r="C12" s="176" t="s">
        <v>433</v>
      </c>
    </row>
    <row r="13" spans="1:9" x14ac:dyDescent="0.25">
      <c r="A13" s="170" t="s">
        <v>4</v>
      </c>
      <c r="B13" s="173">
        <f ca="1">IFERROR(INDEX(follower_count.total_followers,MATCH(MAX(follower_count.date),follower_count.date,0),1),0)</f>
        <v>150</v>
      </c>
      <c r="C13" s="173">
        <f ca="1">IFERROR(SUM(follower_list.followers)/COUNT(follower_list.created_at),0)</f>
        <v>5952</v>
      </c>
      <c r="E13" t="str">
        <f ca="1">"On average, your audience has "&amp;TEXT(IFERROR(C13/C15,0),"0.0")&amp;"x as many followers as users they are following."</f>
        <v>On average, your audience has 1.7x as many followers as users they are following.</v>
      </c>
    </row>
    <row r="14" spans="1:9" x14ac:dyDescent="0.25">
      <c r="A14" s="171"/>
      <c r="B14" s="174">
        <f ca="1">COUNT(follower_list.created_at)</f>
        <v>150</v>
      </c>
      <c r="C14" s="174"/>
    </row>
    <row r="15" spans="1:9" x14ac:dyDescent="0.25">
      <c r="A15" s="171" t="s">
        <v>459</v>
      </c>
      <c r="B15" s="174">
        <f ca="1">IFERROR(INDEX(follower_count.total_friends,MATCH(MAX(follower_count.date),follower_count.date,0),1),0)</f>
        <v>122</v>
      </c>
      <c r="C15" s="174">
        <f ca="1">IFERROR(SUM(follower_list.friends)/COUNT(follower_list.created_at),0)</f>
        <v>3430.42</v>
      </c>
    </row>
    <row r="16" spans="1:9" x14ac:dyDescent="0.25">
      <c r="A16" s="171" t="s">
        <v>111</v>
      </c>
      <c r="B16" s="174">
        <f ca="1">IFERROR(MAX(user.tweets),0)</f>
        <v>143</v>
      </c>
      <c r="C16" s="174">
        <f ca="1">IFERROR(SUM(follower_list.tweets)/COUNT(follower_list.created_at),0)</f>
        <v>3992.0733333333333</v>
      </c>
      <c r="E16" t="str">
        <f ca="1">"On average, your audience tweets "&amp;TEXT(IFERROR(SUM(follower_list.tweets)/(Controls!$F$32*Calculations!$B$14-SUMIFS(follower_list.created_at,follower_list.last_tweeted,"&gt;0")),0),"0.0")&amp;" times per day."</f>
        <v>On average, your audience tweets 0.8 times per day.</v>
      </c>
    </row>
    <row r="17" spans="1:9" x14ac:dyDescent="0.25">
      <c r="A17" s="172" t="s">
        <v>6</v>
      </c>
      <c r="B17" s="118">
        <f ca="1">IFERROR(INDEX(klout.klout_score,MATCH(MAX(klout.date),klout.date,0),1),0)</f>
        <v>27.489000000000001</v>
      </c>
      <c r="C17" s="118">
        <f ca="1">IFERROR(AVERAGEIFS(follower_list.klout_score,follower_list.klout_score,"&gt;0"),0)</f>
        <v>33.47959527559054</v>
      </c>
      <c r="E17" t="str">
        <f>TEXT(IFERROR(COUNTIFS('Follower List'!$O:$O,"&gt;"&amp;B441)/COUNTIFS('Follower List'!$O:$O,"&gt;0"),0),"0%")&amp;" of your total followers are above the Worldwide Klout Score of 40."</f>
        <v>41% of your total followers are above the Worldwide Klout Score of 40.</v>
      </c>
    </row>
    <row r="18" spans="1:9" x14ac:dyDescent="0.25">
      <c r="B18" s="125"/>
      <c r="C18" s="177"/>
    </row>
    <row r="19" spans="1:9" x14ac:dyDescent="0.25">
      <c r="B19" s="125"/>
      <c r="C19" s="177"/>
    </row>
    <row r="20" spans="1:9" x14ac:dyDescent="0.25">
      <c r="A20" s="6" t="s">
        <v>462</v>
      </c>
      <c r="B20" s="75"/>
      <c r="C20" s="75"/>
      <c r="D20" s="75"/>
      <c r="E20" s="75"/>
      <c r="F20" s="75"/>
      <c r="G20" s="75"/>
      <c r="H20" s="75"/>
      <c r="I20" s="75"/>
    </row>
    <row r="21" spans="1:9" x14ac:dyDescent="0.25">
      <c r="B21" s="125"/>
      <c r="C21" s="177"/>
    </row>
    <row r="22" spans="1:9" x14ac:dyDescent="0.25">
      <c r="A22" s="221">
        <f ca="1">B13</f>
        <v>150</v>
      </c>
      <c r="B22" s="125"/>
      <c r="C22" s="177"/>
    </row>
    <row r="23" spans="1:9" x14ac:dyDescent="0.25">
      <c r="A23" s="221">
        <f ca="1">B14</f>
        <v>150</v>
      </c>
      <c r="B23" s="125" t="str">
        <f ca="1">IF(A23&gt;10000,"(Up to 10k followers in free version)","")</f>
        <v/>
      </c>
      <c r="C23" s="177"/>
    </row>
    <row r="24" spans="1:9" x14ac:dyDescent="0.25">
      <c r="A24" t="str">
        <f ca="1">"On average, your audience is followed by "&amp;TEXT(C13,"#,##0")&amp;" people and follows "&amp;TEXT(C15,"#,##0")&amp;" people."</f>
        <v>On average, your audience is followed by 5,952 people and follows 3,430 people.</v>
      </c>
      <c r="B24" s="125"/>
      <c r="C24" s="177"/>
    </row>
    <row r="25" spans="1:9" x14ac:dyDescent="0.25">
      <c r="A25" t="str">
        <f ca="1">TEXT(IFERROR(INDEX($E$42:$E$46,MATCH(MAX($C$42:$C$46),$C$42:$C$46,0)),0),"0%")&amp;" of your audience has "&amp;IFERROR(INDEX($D$42:$D$46,MATCH(MAX($C$42:$C$46),$C$42:$C$46,0)),0)&amp;" followers."</f>
        <v>33% of your audience has between 0 and 100 followers.</v>
      </c>
      <c r="B25" s="125"/>
      <c r="C25" s="218"/>
    </row>
    <row r="26" spans="1:9" x14ac:dyDescent="0.25">
      <c r="A26" t="str">
        <f ca="1">"Your audience is included in other Twitter users' lists an average of "&amp;IFERROR(TEXT(AVERAGE('Follower List'!I:I),"#,##0"),0)&amp;" times. The top 1% has been listed an average of "&amp;IFERROR(TEXT(B26,"#,##0"),0)&amp;" times."</f>
        <v>Your audience is included in other Twitter users' lists an average of 135 times. The top 1% has been listed an average of 3,832 times.</v>
      </c>
      <c r="B26" s="125">
        <f t="array" aca="1" ref="B26" ca="1">MEDIAN(IF(follower_list.listed&gt;=PERCENTILE('Follower List'!I:I,0.99),follower_list.listed,""))</f>
        <v>3831.5</v>
      </c>
      <c r="C26" s="218"/>
    </row>
    <row r="27" spans="1:9" x14ac:dyDescent="0.25">
      <c r="C27" s="218"/>
    </row>
    <row r="29" spans="1:9" x14ac:dyDescent="0.25">
      <c r="A29" s="215" t="s">
        <v>417</v>
      </c>
      <c r="B29" s="216"/>
      <c r="C29" s="216"/>
      <c r="D29" s="216"/>
      <c r="E29" s="216"/>
      <c r="F29" s="216"/>
      <c r="G29" s="216"/>
      <c r="H29" s="216"/>
      <c r="I29" s="216"/>
    </row>
    <row r="30" spans="1:9" x14ac:dyDescent="0.25">
      <c r="A30" s="90" t="s">
        <v>284</v>
      </c>
      <c r="B30" s="91"/>
      <c r="C30" s="91"/>
    </row>
    <row r="31" spans="1:9" x14ac:dyDescent="0.25">
      <c r="A31" s="230">
        <v>0</v>
      </c>
      <c r="B31" s="138"/>
      <c r="C31" s="140"/>
    </row>
    <row r="32" spans="1:9" x14ac:dyDescent="0.25">
      <c r="A32" s="228">
        <v>10</v>
      </c>
      <c r="B32" s="92" t="str">
        <f>TEXT(A31,"#,##0")&amp;" to "&amp;TEXT(A32,"#,##0")</f>
        <v>0 to 10</v>
      </c>
      <c r="C32" s="141">
        <f ca="1">IF(COUNTIFS(follower_list.tweets, "&gt;="&amp;A31,follower_list.tweets, "&lt;="&amp;A32)=0,NA(),COUNTIFS(follower_list.tweets, "&gt;="&amp;A31,follower_list.tweets, "&lt;="&amp;A32))</f>
        <v>26</v>
      </c>
    </row>
    <row r="33" spans="1:9" x14ac:dyDescent="0.25">
      <c r="A33" s="228">
        <v>100</v>
      </c>
      <c r="B33" s="92" t="str">
        <f>TEXT(A32,"#,##0")&amp;" to "&amp;TEXT(A33,"#,##0")</f>
        <v>10 to 100</v>
      </c>
      <c r="C33" s="141">
        <f ca="1">IF(COUNTIFS(follower_list.tweets, "&gt;"&amp;A32,follower_list.tweets, "&lt;="&amp;A33)=0,NA(),COUNTIFS(follower_list.tweets, "&gt;"&amp;A32,follower_list.tweets, "&lt;="&amp;A33))</f>
        <v>19</v>
      </c>
    </row>
    <row r="34" spans="1:9" x14ac:dyDescent="0.25">
      <c r="A34" s="228">
        <v>500</v>
      </c>
      <c r="B34" s="92" t="str">
        <f>TEXT(A33,"#,##0")&amp;" to "&amp;TEXT(A34,"#,##0")</f>
        <v>100 to 500</v>
      </c>
      <c r="C34" s="141">
        <f ca="1">IF(COUNTIFS(follower_list.tweets, "&gt;"&amp;A33,follower_list.tweets, "&lt;="&amp;A34)=0,NA(),COUNTIFS(follower_list.tweets, "&gt;"&amp;A33,follower_list.tweets, "&lt;="&amp;A34))</f>
        <v>22</v>
      </c>
    </row>
    <row r="35" spans="1:9" x14ac:dyDescent="0.25">
      <c r="A35" s="228">
        <v>1000</v>
      </c>
      <c r="B35" s="92" t="str">
        <f>TEXT(A34,"#,##0")&amp;" to "&amp;TEXT(A35,"#,##0")</f>
        <v>500 to 1,000</v>
      </c>
      <c r="C35" s="141">
        <f ca="1">IF(COUNTIFS(follower_list.tweets, "&gt;"&amp;A34,follower_list.tweets, "&lt;="&amp;A35)=0,NA(),COUNTIFS(follower_list.tweets, "&gt;"&amp;A34,follower_list.tweets, "&lt;="&amp;A35))</f>
        <v>26</v>
      </c>
    </row>
    <row r="36" spans="1:9" x14ac:dyDescent="0.25">
      <c r="A36" s="229">
        <v>1000000000</v>
      </c>
      <c r="B36" s="139" t="str">
        <f>"&gt; "&amp;TEXT(A35,"#,##0")</f>
        <v>&gt; 1,000</v>
      </c>
      <c r="C36" s="142">
        <f ca="1">IF(COUNTIFS(follower_list.tweets, "&gt;"&amp;A35,follower_list.tweets, "&lt;="&amp;A36)=0,NA(),COUNTIFS(follower_list.tweets, "&gt;"&amp;A35,follower_list.tweets, "&lt;="&amp;A36))</f>
        <v>57</v>
      </c>
    </row>
    <row r="39" spans="1:9" x14ac:dyDescent="0.25">
      <c r="A39" s="215" t="s">
        <v>418</v>
      </c>
      <c r="B39" s="216"/>
      <c r="C39" s="216"/>
      <c r="D39" s="216"/>
      <c r="E39" s="216"/>
      <c r="F39" s="216"/>
      <c r="G39" s="216"/>
      <c r="H39" s="216"/>
      <c r="I39" s="216"/>
    </row>
    <row r="40" spans="1:9" x14ac:dyDescent="0.25">
      <c r="A40" s="90" t="s">
        <v>284</v>
      </c>
      <c r="B40" s="91"/>
      <c r="C40" s="91"/>
    </row>
    <row r="41" spans="1:9" x14ac:dyDescent="0.25">
      <c r="A41" s="231">
        <v>0</v>
      </c>
      <c r="B41" s="138"/>
      <c r="C41" s="140"/>
      <c r="D41" s="217"/>
      <c r="E41" s="217"/>
    </row>
    <row r="42" spans="1:9" x14ac:dyDescent="0.25">
      <c r="A42" s="228">
        <v>100</v>
      </c>
      <c r="B42" s="92" t="str">
        <f>TEXT(A41,"#,##0")&amp;" to "&amp;TEXT(A42,"#,##0")</f>
        <v>0 to 100</v>
      </c>
      <c r="C42" s="141">
        <f ca="1">IF(COUNTIFS(follower_list.followers, "&gt;="&amp;A41,follower_list.followers, "&lt;"&amp;A42)=0,NA(),COUNTIFS(follower_list.followers, "&gt;="&amp;A41,follower_list.followers, "&lt;"&amp;A42))</f>
        <v>49</v>
      </c>
      <c r="D42" s="79" t="s">
        <v>463</v>
      </c>
      <c r="E42" s="219">
        <f ca="1">IFERROR(C42/SUM($C$42:$C$46),0)</f>
        <v>0.32666666666666666</v>
      </c>
    </row>
    <row r="43" spans="1:9" x14ac:dyDescent="0.25">
      <c r="A43" s="228">
        <v>500</v>
      </c>
      <c r="B43" s="92" t="str">
        <f>TEXT(A42,"#,##0")&amp;" to "&amp;TEXT(A43,"#,##0")</f>
        <v>100 to 500</v>
      </c>
      <c r="C43" s="141">
        <f ca="1">IF(COUNTIFS(follower_list.followers, "&gt;="&amp;A42,follower_list.followers, "&lt;"&amp;A43)=0,NA(),COUNTIFS(follower_list.followers, "&gt;="&amp;A42,follower_list.followers, "&lt;"&amp;A43))</f>
        <v>37</v>
      </c>
      <c r="D43" s="79" t="s">
        <v>464</v>
      </c>
      <c r="E43" s="219">
        <f ca="1">IFERROR(C43/SUM($C$42:$C$46),0)</f>
        <v>0.24666666666666667</v>
      </c>
    </row>
    <row r="44" spans="1:9" x14ac:dyDescent="0.25">
      <c r="A44" s="228">
        <v>1000</v>
      </c>
      <c r="B44" s="92" t="str">
        <f>TEXT(A43,"#,##0")&amp;" to "&amp;TEXT(A44,"#,##0")</f>
        <v>500 to 1,000</v>
      </c>
      <c r="C44" s="141">
        <f ca="1">IF(COUNTIFS(follower_list.followers, "&gt;="&amp;A43,follower_list.followers, "&lt;"&amp;A44)=0,NA(),COUNTIFS(follower_list.followers, "&gt;="&amp;A43,follower_list.followers, "&lt;"&amp;A44))</f>
        <v>12</v>
      </c>
      <c r="D44" s="79" t="s">
        <v>465</v>
      </c>
      <c r="E44" s="219">
        <f ca="1">IFERROR(C44/SUM($C$42:$C$46),0)</f>
        <v>0.08</v>
      </c>
    </row>
    <row r="45" spans="1:9" x14ac:dyDescent="0.25">
      <c r="A45" s="228">
        <v>2500</v>
      </c>
      <c r="B45" s="92" t="str">
        <f>TEXT(A44,"#,##0")&amp;" to "&amp;TEXT(A45,"#,##0")</f>
        <v>1,000 to 2,500</v>
      </c>
      <c r="C45" s="141">
        <f ca="1">IF(COUNTIFS(follower_list.followers, "&gt;="&amp;A44,follower_list.followers, "&lt;"&amp;A45)=0,NA(),COUNTIFS(follower_list.followers, "&gt;="&amp;A44,follower_list.followers, "&lt;"&amp;A45))</f>
        <v>21</v>
      </c>
      <c r="D45" s="79" t="s">
        <v>466</v>
      </c>
      <c r="E45" s="219">
        <f ca="1">IFERROR(C45/SUM($C$42:$C$46),0)</f>
        <v>0.14000000000000001</v>
      </c>
    </row>
    <row r="46" spans="1:9" x14ac:dyDescent="0.25">
      <c r="A46" s="229">
        <v>1000000000</v>
      </c>
      <c r="B46" s="139" t="str">
        <f>"&gt; "&amp;TEXT(A45,"#,##0")</f>
        <v>&gt; 2,500</v>
      </c>
      <c r="C46" s="142">
        <f ca="1">IF(COUNTIFS(follower_list.followers, "&gt;="&amp;A45,follower_list.followers, "&lt;"&amp;A46)=0,NA(),COUNTIFS(follower_list.followers, "&gt;="&amp;A45,follower_list.followers, "&lt;"&amp;A46))</f>
        <v>31</v>
      </c>
      <c r="D46" s="86" t="s">
        <v>467</v>
      </c>
      <c r="E46" s="220">
        <f ca="1">IFERROR(C46/SUM($C$42:$C$46),0)</f>
        <v>0.20666666666666667</v>
      </c>
    </row>
    <row r="49" spans="1:9" x14ac:dyDescent="0.25">
      <c r="A49" s="215" t="s">
        <v>460</v>
      </c>
      <c r="B49" s="216"/>
      <c r="C49" s="216"/>
      <c r="D49" s="216"/>
      <c r="E49" s="216"/>
      <c r="F49" s="216"/>
      <c r="G49" s="216"/>
      <c r="H49" s="216"/>
      <c r="I49" s="216"/>
    </row>
    <row r="50" spans="1:9" x14ac:dyDescent="0.25">
      <c r="A50" s="90" t="s">
        <v>284</v>
      </c>
      <c r="B50" s="91"/>
      <c r="C50" s="91"/>
    </row>
    <row r="51" spans="1:9" x14ac:dyDescent="0.25">
      <c r="A51" s="231">
        <v>0</v>
      </c>
      <c r="B51" s="138"/>
      <c r="C51" s="140"/>
    </row>
    <row r="52" spans="1:9" x14ac:dyDescent="0.25">
      <c r="A52" s="228">
        <v>100</v>
      </c>
      <c r="B52" s="92" t="str">
        <f>TEXT(A51,"#,##0")&amp;" to "&amp;TEXT(A52,"#,##0")</f>
        <v>0 to 100</v>
      </c>
      <c r="C52" s="141">
        <f ca="1">IF(COUNTIFS(follower_list.friends, "&gt;="&amp;A51,follower_list.friends, "&lt;"&amp;A52)=0,NA(),COUNTIFS(follower_list.friends, "&gt;="&amp;A51,follower_list.friends, "&lt;"&amp;A52))</f>
        <v>24</v>
      </c>
    </row>
    <row r="53" spans="1:9" x14ac:dyDescent="0.25">
      <c r="A53" s="228">
        <v>500</v>
      </c>
      <c r="B53" s="92" t="str">
        <f>TEXT(A52,"#,##0")&amp;" to "&amp;TEXT(A53,"#,##0")</f>
        <v>100 to 500</v>
      </c>
      <c r="C53" s="141">
        <f ca="1">IF(COUNTIFS(follower_list.friends, "&gt;="&amp;A52,follower_list.friends, "&lt;"&amp;A53)=0,NA(),COUNTIFS(follower_list.friends, "&gt;="&amp;A52,follower_list.friends, "&lt;"&amp;A53))</f>
        <v>44</v>
      </c>
    </row>
    <row r="54" spans="1:9" x14ac:dyDescent="0.25">
      <c r="A54" s="228">
        <v>1000</v>
      </c>
      <c r="B54" s="92" t="str">
        <f>TEXT(A53,"#,##0")&amp;" to "&amp;TEXT(A54,"#,##0")</f>
        <v>500 to 1,000</v>
      </c>
      <c r="C54" s="141">
        <f ca="1">IF(COUNTIFS(follower_list.friends, "&gt;="&amp;A53,follower_list.friends, "&lt;"&amp;A54)=0,NA(),COUNTIFS(follower_list.friends, "&gt;="&amp;A53,follower_list.friends, "&lt;"&amp;A54))</f>
        <v>26</v>
      </c>
    </row>
    <row r="55" spans="1:9" x14ac:dyDescent="0.25">
      <c r="A55" s="228">
        <v>2500</v>
      </c>
      <c r="B55" s="92" t="str">
        <f>TEXT(A54,"#,##0")&amp;" to "&amp;TEXT(A55,"#,##0")</f>
        <v>1,000 to 2,500</v>
      </c>
      <c r="C55" s="141">
        <f ca="1">IF(COUNTIFS(follower_list.friends, "&gt;="&amp;A54,follower_list.friends, "&lt;"&amp;A55)=0,NA(),COUNTIFS(follower_list.friends, "&gt;="&amp;A54,follower_list.friends, "&lt;"&amp;A55))</f>
        <v>29</v>
      </c>
    </row>
    <row r="56" spans="1:9" x14ac:dyDescent="0.25">
      <c r="A56" s="229">
        <v>1000000000</v>
      </c>
      <c r="B56" s="139" t="str">
        <f>"&gt; "&amp;TEXT(A55,"#,##0")</f>
        <v>&gt; 2,500</v>
      </c>
      <c r="C56" s="142">
        <f ca="1">IF(COUNTIFS(follower_list.friends, "&gt;="&amp;A55,follower_list.friends, "&lt;"&amp;A56)=0,NA(),COUNTIFS(follower_list.friends, "&gt;="&amp;A55,follower_list.friends, "&lt;"&amp;A56))</f>
        <v>27</v>
      </c>
    </row>
    <row r="58" spans="1:9" x14ac:dyDescent="0.25">
      <c r="B58" s="125"/>
      <c r="C58" s="177"/>
    </row>
    <row r="59" spans="1:9" x14ac:dyDescent="0.25">
      <c r="A59" s="189" t="s">
        <v>444</v>
      </c>
      <c r="B59" s="75"/>
      <c r="C59" s="75"/>
      <c r="D59" s="75"/>
      <c r="E59" s="75"/>
      <c r="F59" s="75"/>
      <c r="G59" s="75"/>
      <c r="H59" s="75"/>
      <c r="I59" s="75"/>
    </row>
    <row r="60" spans="1:9" x14ac:dyDescent="0.25">
      <c r="B60" s="125"/>
      <c r="C60" s="177"/>
    </row>
    <row r="61" spans="1:9" x14ac:dyDescent="0.25">
      <c r="A61" s="131" t="s">
        <v>445</v>
      </c>
      <c r="B61" s="192" t="s">
        <v>409</v>
      </c>
      <c r="C61" s="193" t="s">
        <v>446</v>
      </c>
    </row>
    <row r="62" spans="1:9" x14ac:dyDescent="0.25">
      <c r="A62" s="3" t="str">
        <f>Charts!$F$46</f>
        <v>food</v>
      </c>
      <c r="B62" s="93">
        <f>IF(A62="", "", COUNTIFS('Follower List'!$C:$C,"*"&amp;A62&amp;"*"))</f>
        <v>24</v>
      </c>
      <c r="C62" s="190">
        <f ca="1">IFERROR(B62/$B$13,"")</f>
        <v>0.16</v>
      </c>
    </row>
    <row r="63" spans="1:9" x14ac:dyDescent="0.25">
      <c r="A63" s="3" t="str">
        <f>Charts!$H$46</f>
        <v>agricultural</v>
      </c>
      <c r="B63" s="93">
        <f>IF(A63="", "", COUNTIFS('Follower List'!$C:$C,"*"&amp;A63&amp;"*"))</f>
        <v>17</v>
      </c>
      <c r="C63" s="190">
        <f t="shared" ref="C63:C69" ca="1" si="0">IFERROR(B63/$B$13,"")</f>
        <v>0.11333333333333333</v>
      </c>
    </row>
    <row r="64" spans="1:9" x14ac:dyDescent="0.25">
      <c r="A64" s="3" t="str">
        <f>Charts!$J$46</f>
        <v>news</v>
      </c>
      <c r="B64" s="93">
        <f>IF(A64="", "", COUNTIFS('Follower List'!$C:$C,"*"&amp;A64&amp;"*"))</f>
        <v>16</v>
      </c>
      <c r="C64" s="190">
        <f t="shared" ca="1" si="0"/>
        <v>0.10666666666666667</v>
      </c>
    </row>
    <row r="65" spans="1:10" x14ac:dyDescent="0.25">
      <c r="A65" s="3" t="str">
        <f>Charts!$L$46</f>
        <v>economist</v>
      </c>
      <c r="B65" s="93">
        <f>IF(A65="", "", COUNTIFS('Follower List'!$C:$C,"*"&amp;A65&amp;"*"))</f>
        <v>13</v>
      </c>
      <c r="C65" s="190">
        <f t="shared" ca="1" si="0"/>
        <v>8.666666666666667E-2</v>
      </c>
    </row>
    <row r="66" spans="1:10" x14ac:dyDescent="0.25">
      <c r="A66" s="3" t="str">
        <f>Charts!$O$46</f>
        <v>agriculture</v>
      </c>
      <c r="B66" s="93">
        <f>IF(A66="", "", COUNTIFS('Follower List'!$C:$C,"*"&amp;A66&amp;"*"))</f>
        <v>14</v>
      </c>
      <c r="C66" s="190">
        <f t="shared" ca="1" si="0"/>
        <v>9.3333333333333338E-2</v>
      </c>
    </row>
    <row r="67" spans="1:10" x14ac:dyDescent="0.25">
      <c r="A67" s="3" t="str">
        <f>Charts!$R$46</f>
        <v>markets</v>
      </c>
      <c r="B67" s="93">
        <f>IF(A67="", "", COUNTIFS('Follower List'!$C:$C,"*"&amp;A67&amp;"*"))</f>
        <v>12</v>
      </c>
      <c r="C67" s="190">
        <f t="shared" ca="1" si="0"/>
        <v>0.08</v>
      </c>
    </row>
    <row r="68" spans="1:10" x14ac:dyDescent="0.25">
      <c r="A68" s="3" t="str">
        <f>Charts!$T$46</f>
        <v>#unfao</v>
      </c>
      <c r="B68" s="93">
        <f>IF(A68="", "", COUNTIFS('Follower List'!$C:$C,"*"&amp;A68&amp;"*"))</f>
        <v>11</v>
      </c>
      <c r="C68" s="190">
        <f t="shared" ca="1" si="0"/>
        <v>7.3333333333333334E-2</v>
      </c>
    </row>
    <row r="69" spans="1:10" x14ac:dyDescent="0.25">
      <c r="A69" s="119" t="str">
        <f>Charts!$W$46</f>
        <v>commodities</v>
      </c>
      <c r="B69" s="101">
        <f>IF(A69="", "", COUNTIFS('Follower List'!$C:$C,"*"&amp;A69&amp;"*"))</f>
        <v>13</v>
      </c>
      <c r="C69" s="191">
        <f t="shared" ca="1" si="0"/>
        <v>8.666666666666667E-2</v>
      </c>
    </row>
    <row r="70" spans="1:10" x14ac:dyDescent="0.25">
      <c r="B70" s="125"/>
      <c r="C70" s="177"/>
    </row>
    <row r="72" spans="1:10" x14ac:dyDescent="0.25">
      <c r="A72" s="6" t="s">
        <v>408</v>
      </c>
      <c r="B72" s="75"/>
      <c r="C72" s="75"/>
      <c r="D72" s="75"/>
      <c r="E72" s="75"/>
      <c r="F72" s="75"/>
      <c r="G72" s="75"/>
      <c r="H72" s="75"/>
      <c r="I72" s="75"/>
    </row>
    <row r="73" spans="1:10" s="5" customFormat="1" x14ac:dyDescent="0.25"/>
    <row r="74" spans="1:10" x14ac:dyDescent="0.25">
      <c r="A74" s="88"/>
      <c r="B74" s="131" t="s">
        <v>338</v>
      </c>
      <c r="C74" s="132" t="s">
        <v>339</v>
      </c>
      <c r="D74" s="132" t="s">
        <v>4</v>
      </c>
      <c r="E74" s="132" t="s">
        <v>459</v>
      </c>
      <c r="F74" s="132" t="s">
        <v>477</v>
      </c>
      <c r="G74" s="132" t="s">
        <v>111</v>
      </c>
      <c r="H74" s="132" t="s">
        <v>112</v>
      </c>
      <c r="I74" s="132" t="s">
        <v>6</v>
      </c>
      <c r="J74" s="133" t="s">
        <v>405</v>
      </c>
    </row>
    <row r="75" spans="1:10" x14ac:dyDescent="0.25">
      <c r="A75" s="89">
        <f ca="1">LARGE(column_to_sort,ROWS($A$75:A75))</f>
        <v>210157</v>
      </c>
      <c r="B75" s="57" t="str">
        <f t="array" aca="1" ref="B75" ca="1">IFERROR(INDEX(follower_list.screen_name,SMALL(IF(A75=column_to_sort,ROW(column_to_sort)-ROW('Follower List'!$A$1),""),COUNTIF($A$75:A75,A75)),1),"")</f>
        <v>FAOnews</v>
      </c>
      <c r="C75" s="4" t="str">
        <f t="shared" ref="C75:C94" ca="1" si="1">IFERROR(INDEX(follower_list.name,MATCH($B75,follower_list.screen_name,0),1),"")</f>
        <v>FAO Newsroom</v>
      </c>
      <c r="D75" s="124">
        <f t="shared" ref="D75:D94" ca="1" si="2">IFERROR(INDEX(follower_list.followers,MATCH($B75,follower_list.screen_name,0),1),"")</f>
        <v>210157</v>
      </c>
      <c r="E75" s="124">
        <f t="shared" ref="E75:E94" ca="1" si="3">IFERROR(INDEX(follower_list.friends,MATCH($B75,follower_list.screen_name,0),1),"")</f>
        <v>63054</v>
      </c>
      <c r="F75" s="178">
        <f t="shared" ref="F75:F94" ca="1" si="4">IFERROR(D75/E75,"")</f>
        <v>3.3329685666254321</v>
      </c>
      <c r="G75" s="124">
        <f t="shared" ref="G75:G94" ca="1" si="5">IFERROR(INDEX(follower_list.tweets,MATCH($B75,follower_list.screen_name,0),1),"")</f>
        <v>27549</v>
      </c>
      <c r="H75" s="124">
        <f t="shared" ref="H75:H94" ca="1" si="6">IFERROR(INDEX(follower_list.listed,MATCH($B75,follower_list.screen_name,0),1),"")</f>
        <v>4656</v>
      </c>
      <c r="I75" s="125">
        <f t="shared" ref="I75:I94" ca="1" si="7">IFERROR(INDEX(follower_list.klout_score,MATCH($B75,follower_list.screen_name,0),1),"")</f>
        <v>70.584299999999999</v>
      </c>
      <c r="J75" s="114" t="str">
        <f t="shared" ref="J75:J94" ca="1" si="8">IFERROR(INDEX(follower_list.topic1,MATCH($B75,follower_list.screen_name,0),1)&amp;IF(INDEX(follower_list.topic2,MATCH($B75,follower_list.screen_name,0),1)&lt;&gt;"",", ","")&amp;INDEX(follower_list.topic2,MATCH($B75,follower_list.screen_name,0),1)&amp;IF(INDEX(follower_list.topic3,MATCH($B75,follower_list.screen_name,0),1)&lt;&gt;"",", ","")&amp;INDEX(follower_list.topic3,MATCH($B75,follower_list.screen_name,0),1)&amp;IF(INDEX(follower_list.topic4,MATCH($B75,follower_list.screen_name,0),1)&lt;&gt;"",", ","")&amp;INDEX(follower_list.topic4,MATCH($B75,follower_list.screen_name,0),1)&amp;IF(INDEX(follower_list.topic5,MATCH($B75,follower_list.screen_name,0),1)&lt;&gt;"",", ","")&amp;INDEX(follower_list.topic5,MATCH($B75,follower_list.screen_name,0),1),"")</f>
        <v>united nations, food, sustainability, politics, agriculture</v>
      </c>
    </row>
    <row r="76" spans="1:10" x14ac:dyDescent="0.25">
      <c r="A76" s="89">
        <f ca="1">LARGE(column_to_sort,ROWS($A$75:A76))</f>
        <v>191171</v>
      </c>
      <c r="B76" s="57" t="str">
        <f t="array" aca="1" ref="B76" ca="1">IFERROR(INDEX(follower_list.screen_name,SMALL(IF(A76=column_to_sort,ROW(column_to_sort)-ROW('Follower List'!$A$1),""),COUNTIF($A$75:A76,A76)),1),"")</f>
        <v>foodtank</v>
      </c>
      <c r="C76" s="4" t="str">
        <f t="shared" ca="1" si="1"/>
        <v>Food Tank</v>
      </c>
      <c r="D76" s="124">
        <f t="shared" ca="1" si="2"/>
        <v>191171</v>
      </c>
      <c r="E76" s="124">
        <f t="shared" ca="1" si="3"/>
        <v>146156</v>
      </c>
      <c r="F76" s="178">
        <f t="shared" ca="1" si="4"/>
        <v>1.3079928295793535</v>
      </c>
      <c r="G76" s="124">
        <f t="shared" ca="1" si="5"/>
        <v>21988</v>
      </c>
      <c r="H76" s="124">
        <f t="shared" ca="1" si="6"/>
        <v>3007</v>
      </c>
      <c r="I76" s="125">
        <f t="shared" ca="1" si="7"/>
        <v>70.457400000000007</v>
      </c>
      <c r="J76" s="114" t="str">
        <f t="shared" ca="1" si="8"/>
        <v/>
      </c>
    </row>
    <row r="77" spans="1:10" x14ac:dyDescent="0.25">
      <c r="A77" s="89">
        <f ca="1">LARGE(column_to_sort,ROWS($A$75:A77))</f>
        <v>85182</v>
      </c>
      <c r="B77" s="57" t="str">
        <f t="array" aca="1" ref="B77" ca="1">IFERROR(INDEX(follower_list.screen_name,SMALL(IF(A77=column_to_sort,ROW(column_to_sort)-ROW('Follower List'!$A$1),""),COUNTIF($A$75:A77,A77)),1),"")</f>
        <v>FAOKnowledge</v>
      </c>
      <c r="C77" s="4" t="str">
        <f t="shared" ca="1" si="1"/>
        <v>FAOKnowledge</v>
      </c>
      <c r="D77" s="124">
        <f t="shared" ca="1" si="2"/>
        <v>85182</v>
      </c>
      <c r="E77" s="124">
        <f t="shared" ca="1" si="3"/>
        <v>20448</v>
      </c>
      <c r="F77" s="178">
        <f t="shared" ca="1" si="4"/>
        <v>4.165786384976526</v>
      </c>
      <c r="G77" s="124">
        <f t="shared" ca="1" si="5"/>
        <v>22359</v>
      </c>
      <c r="H77" s="124">
        <f t="shared" ca="1" si="6"/>
        <v>1511</v>
      </c>
      <c r="I77" s="125">
        <f t="shared" ca="1" si="7"/>
        <v>81.977900000000005</v>
      </c>
      <c r="J77" s="114" t="str">
        <f t="shared" ca="1" si="8"/>
        <v>markets, community, investing, #km, marine</v>
      </c>
    </row>
    <row r="78" spans="1:10" x14ac:dyDescent="0.25">
      <c r="A78" s="89">
        <f ca="1">LARGE(column_to_sort,ROWS($A$75:A78))</f>
        <v>66494</v>
      </c>
      <c r="B78" s="57" t="str">
        <f t="array" aca="1" ref="B78" ca="1">IFERROR(INDEX(follower_list.screen_name,SMALL(IF(A78=column_to_sort,ROW(column_to_sort)-ROW('Follower List'!$A$1),""),COUNTIF($A$75:A78,A78)),1),"")</f>
        <v>FarmsNews</v>
      </c>
      <c r="C78" s="4" t="str">
        <f t="shared" ca="1" si="1"/>
        <v>Farms.com Ag News</v>
      </c>
      <c r="D78" s="124">
        <f t="shared" ca="1" si="2"/>
        <v>66494</v>
      </c>
      <c r="E78" s="124">
        <f t="shared" ca="1" si="3"/>
        <v>68135</v>
      </c>
      <c r="F78" s="178">
        <f t="shared" ca="1" si="4"/>
        <v>0.97591546195053935</v>
      </c>
      <c r="G78" s="124">
        <f t="shared" ca="1" si="5"/>
        <v>18484</v>
      </c>
      <c r="H78" s="124">
        <f t="shared" ca="1" si="6"/>
        <v>808</v>
      </c>
      <c r="I78" s="125">
        <f t="shared" ca="1" si="7"/>
        <v>60.222700000000003</v>
      </c>
      <c r="J78" s="114" t="str">
        <f t="shared" ca="1" si="8"/>
        <v>agriculture, media, science and technology, federal communications commission, vegetable</v>
      </c>
    </row>
    <row r="79" spans="1:10" x14ac:dyDescent="0.25">
      <c r="A79" s="89">
        <f ca="1">LARGE(column_to_sort,ROWS($A$75:A79))</f>
        <v>53127</v>
      </c>
      <c r="B79" s="57" t="str">
        <f t="array" aca="1" ref="B79" ca="1">IFERROR(INDEX(follower_list.screen_name,SMALL(IF(A79=column_to_sort,ROW(column_to_sort)-ROW('Follower List'!$A$1),""),COUNTIF($A$75:A79,A79)),1),"")</f>
        <v>mediamails</v>
      </c>
      <c r="C79" s="4" t="str">
        <f t="shared" ca="1" si="1"/>
        <v>mediamails.com</v>
      </c>
      <c r="D79" s="124">
        <f t="shared" ca="1" si="2"/>
        <v>53127</v>
      </c>
      <c r="E79" s="124">
        <f t="shared" ca="1" si="3"/>
        <v>5105</v>
      </c>
      <c r="F79" s="178">
        <f t="shared" ca="1" si="4"/>
        <v>10.406856023506366</v>
      </c>
      <c r="G79" s="124">
        <f t="shared" ca="1" si="5"/>
        <v>50</v>
      </c>
      <c r="H79" s="124">
        <f t="shared" ca="1" si="6"/>
        <v>4</v>
      </c>
      <c r="I79" s="125">
        <f t="shared" ca="1" si="7"/>
        <v>32.541600000000003</v>
      </c>
      <c r="J79" s="114" t="str">
        <f t="shared" ca="1" si="8"/>
        <v/>
      </c>
    </row>
    <row r="80" spans="1:10" x14ac:dyDescent="0.25">
      <c r="A80" s="89">
        <f ca="1">LARGE(column_to_sort,ROWS($A$75:A80))</f>
        <v>46295</v>
      </c>
      <c r="B80" s="57" t="str">
        <f t="array" aca="1" ref="B80" ca="1">IFERROR(INDEX(follower_list.screen_name,SMALL(IF(A80=column_to_sort,ROW(column_to_sort)-ROW('Follower List'!$A$1),""),COUNTIF($A$75:A80,A80)),1),"")</f>
        <v>FAOstatistics</v>
      </c>
      <c r="C80" s="4" t="str">
        <f t="shared" ca="1" si="1"/>
        <v>FAO statistics</v>
      </c>
      <c r="D80" s="124">
        <f t="shared" ca="1" si="2"/>
        <v>46295</v>
      </c>
      <c r="E80" s="124">
        <f t="shared" ca="1" si="3"/>
        <v>3303</v>
      </c>
      <c r="F80" s="178">
        <f t="shared" ca="1" si="4"/>
        <v>14.016046018770814</v>
      </c>
      <c r="G80" s="124">
        <f t="shared" ca="1" si="5"/>
        <v>10508</v>
      </c>
      <c r="H80" s="124">
        <f t="shared" ca="1" si="6"/>
        <v>1067</v>
      </c>
      <c r="I80" s="125">
        <f t="shared" ca="1" si="7"/>
        <v>61.095300000000002</v>
      </c>
      <c r="J80" s="114" t="str">
        <f t="shared" ca="1" si="8"/>
        <v>food, video, #data, pakistan, statistics</v>
      </c>
    </row>
    <row r="81" spans="1:10" x14ac:dyDescent="0.25">
      <c r="A81" s="89">
        <f ca="1">LARGE(column_to_sort,ROWS($A$75:A81))</f>
        <v>32669</v>
      </c>
      <c r="B81" s="57" t="str">
        <f t="array" aca="1" ref="B81" ca="1">IFERROR(INDEX(follower_list.screen_name,SMALL(IF(A81=column_to_sort,ROW(column_to_sort)-ROW('Follower List'!$A$1),""),COUNTIF($A$75:A81,A81)),1),"")</f>
        <v>MirelaXhota</v>
      </c>
      <c r="C81" s="4" t="str">
        <f t="shared" ca="1" si="1"/>
        <v>Mirela Xhota,Msc</v>
      </c>
      <c r="D81" s="124">
        <f t="shared" ca="1" si="2"/>
        <v>32669</v>
      </c>
      <c r="E81" s="124">
        <f t="shared" ca="1" si="3"/>
        <v>35937</v>
      </c>
      <c r="F81" s="178">
        <f t="shared" ca="1" si="4"/>
        <v>0.90906308261680158</v>
      </c>
      <c r="G81" s="124">
        <f t="shared" ca="1" si="5"/>
        <v>16622</v>
      </c>
      <c r="H81" s="124">
        <f t="shared" ca="1" si="6"/>
        <v>354</v>
      </c>
      <c r="I81" s="125">
        <f t="shared" ca="1" si="7"/>
        <v>51.614400000000003</v>
      </c>
      <c r="J81" s="114" t="str">
        <f t="shared" ca="1" si="8"/>
        <v/>
      </c>
    </row>
    <row r="82" spans="1:10" x14ac:dyDescent="0.25">
      <c r="A82" s="89">
        <f ca="1">LARGE(column_to_sort,ROWS($A$75:A82))</f>
        <v>28466</v>
      </c>
      <c r="B82" s="57" t="str">
        <f t="array" aca="1" ref="B82" ca="1">IFERROR(INDEX(follower_list.screen_name,SMALL(IF(A82=column_to_sort,ROW(column_to_sort)-ROW('Follower List'!$A$1),""),COUNTIF($A$75:A82,A82)),1),"")</f>
        <v>JavierBlas2</v>
      </c>
      <c r="C82" s="4" t="str">
        <f t="shared" ca="1" si="1"/>
        <v>Javier Blas</v>
      </c>
      <c r="D82" s="124">
        <f t="shared" ca="1" si="2"/>
        <v>28466</v>
      </c>
      <c r="E82" s="124">
        <f t="shared" ca="1" si="3"/>
        <v>846</v>
      </c>
      <c r="F82" s="178">
        <f t="shared" ca="1" si="4"/>
        <v>33.64775413711584</v>
      </c>
      <c r="G82" s="124">
        <f t="shared" ca="1" si="5"/>
        <v>20434</v>
      </c>
      <c r="H82" s="124">
        <f t="shared" ca="1" si="6"/>
        <v>1301</v>
      </c>
      <c r="I82" s="125">
        <f t="shared" ca="1" si="7"/>
        <v>66.954099999999997</v>
      </c>
      <c r="J82" s="114" t="str">
        <f t="shared" ca="1" si="8"/>
        <v/>
      </c>
    </row>
    <row r="83" spans="1:10" x14ac:dyDescent="0.25">
      <c r="A83" s="89">
        <f ca="1">LARGE(column_to_sort,ROWS($A$75:A83))</f>
        <v>10460</v>
      </c>
      <c r="B83" s="57" t="str">
        <f t="array" aca="1" ref="B83" ca="1">IFERROR(INDEX(follower_list.screen_name,SMALL(IF(A83=column_to_sort,ROW(column_to_sort)-ROW('Follower List'!$A$1),""),COUNTIF($A$75:A83,A83)),1),"")</f>
        <v>uswheatassoc</v>
      </c>
      <c r="C83" s="4" t="str">
        <f t="shared" ca="1" si="1"/>
        <v>US Wheat Associates</v>
      </c>
      <c r="D83" s="124">
        <f t="shared" ca="1" si="2"/>
        <v>10460</v>
      </c>
      <c r="E83" s="124">
        <f t="shared" ca="1" si="3"/>
        <v>3009</v>
      </c>
      <c r="F83" s="178">
        <f t="shared" ca="1" si="4"/>
        <v>3.4762379528082419</v>
      </c>
      <c r="G83" s="124">
        <f t="shared" ca="1" si="5"/>
        <v>7464</v>
      </c>
      <c r="H83" s="124">
        <f t="shared" ca="1" si="6"/>
        <v>281</v>
      </c>
      <c r="I83" s="125">
        <f t="shared" ca="1" si="7"/>
        <v>55.674599999999998</v>
      </c>
      <c r="J83" s="114" t="str">
        <f t="shared" ca="1" si="8"/>
        <v>agriculture, pinterest, korea, dieting, houston</v>
      </c>
    </row>
    <row r="84" spans="1:10" x14ac:dyDescent="0.25">
      <c r="A84" s="89">
        <f ca="1">LARGE(column_to_sort,ROWS($A$75:A84))</f>
        <v>9159</v>
      </c>
      <c r="B84" s="57" t="str">
        <f t="array" aca="1" ref="B84" ca="1">IFERROR(INDEX(follower_list.screen_name,SMALL(IF(A84=column_to_sort,ROW(column_to_sort)-ROW('Follower List'!$A$1),""),COUNTIF($A$75:A84,A84)),1),"")</f>
        <v>Agronegocios_Uy</v>
      </c>
      <c r="C84" s="4" t="str">
        <f t="shared" ca="1" si="1"/>
        <v>Agronegocios Uruguay</v>
      </c>
      <c r="D84" s="124">
        <f t="shared" ca="1" si="2"/>
        <v>9159</v>
      </c>
      <c r="E84" s="124">
        <f t="shared" ca="1" si="3"/>
        <v>8935</v>
      </c>
      <c r="F84" s="178">
        <f t="shared" ca="1" si="4"/>
        <v>1.0250699496362619</v>
      </c>
      <c r="G84" s="124">
        <f t="shared" ca="1" si="5"/>
        <v>139690</v>
      </c>
      <c r="H84" s="124">
        <f t="shared" ca="1" si="6"/>
        <v>310</v>
      </c>
      <c r="I84" s="125">
        <f t="shared" ca="1" si="7"/>
        <v>46.3309</v>
      </c>
      <c r="J84" s="114" t="str">
        <f t="shared" ca="1" si="8"/>
        <v/>
      </c>
    </row>
    <row r="85" spans="1:10" x14ac:dyDescent="0.25">
      <c r="A85" s="89">
        <f ca="1">LARGE(column_to_sort,ROWS($A$75:A85))</f>
        <v>9099</v>
      </c>
      <c r="B85" s="57" t="str">
        <f t="array" aca="1" ref="B85" ca="1">IFERROR(INDEX(follower_list.screen_name,SMALL(IF(A85=column_to_sort,ROW(column_to_sort)-ROW('Follower List'!$A$1),""),COUNTIF($A$75:A85,A85)),1),"")</f>
        <v>ScottIrwinUI</v>
      </c>
      <c r="C85" s="4" t="str">
        <f t="shared" ca="1" si="1"/>
        <v>Scott Irwin</v>
      </c>
      <c r="D85" s="124">
        <f t="shared" ca="1" si="2"/>
        <v>9099</v>
      </c>
      <c r="E85" s="124">
        <f t="shared" ca="1" si="3"/>
        <v>8899</v>
      </c>
      <c r="F85" s="178">
        <f t="shared" ca="1" si="4"/>
        <v>1.0224744353298123</v>
      </c>
      <c r="G85" s="124">
        <f t="shared" ca="1" si="5"/>
        <v>5050</v>
      </c>
      <c r="H85" s="124">
        <f t="shared" ca="1" si="6"/>
        <v>147</v>
      </c>
      <c r="I85" s="125">
        <f t="shared" ca="1" si="7"/>
        <v>52.696300000000001</v>
      </c>
      <c r="J85" s="114" t="str">
        <f t="shared" ca="1" si="8"/>
        <v/>
      </c>
    </row>
    <row r="86" spans="1:10" x14ac:dyDescent="0.25">
      <c r="A86" s="89">
        <f ca="1">LARGE(column_to_sort,ROWS($A$75:A86))</f>
        <v>9042</v>
      </c>
      <c r="B86" s="57" t="str">
        <f t="array" aca="1" ref="B86" ca="1">IFERROR(INDEX(follower_list.screen_name,SMALL(IF(A86=column_to_sort,ROW(column_to_sort)-ROW('Follower List'!$A$1),""),COUNTIF($A$75:A86,A86)),1),"")</f>
        <v>jasonlbritt</v>
      </c>
      <c r="C86" s="4" t="str">
        <f t="shared" ca="1" si="1"/>
        <v>Jason Britt</v>
      </c>
      <c r="D86" s="124">
        <f t="shared" ca="1" si="2"/>
        <v>9042</v>
      </c>
      <c r="E86" s="124">
        <f t="shared" ca="1" si="3"/>
        <v>6076</v>
      </c>
      <c r="F86" s="178">
        <f t="shared" ca="1" si="4"/>
        <v>1.4881500987491771</v>
      </c>
      <c r="G86" s="124">
        <f t="shared" ca="1" si="5"/>
        <v>15428</v>
      </c>
      <c r="H86" s="124">
        <f t="shared" ca="1" si="6"/>
        <v>234</v>
      </c>
      <c r="I86" s="125">
        <f t="shared" ca="1" si="7"/>
        <v>49.173299999999998</v>
      </c>
      <c r="J86" s="114" t="str">
        <f t="shared" ca="1" si="8"/>
        <v>agriculture, finance, hedge fund, investing, kansas</v>
      </c>
    </row>
    <row r="87" spans="1:10" x14ac:dyDescent="0.25">
      <c r="A87" s="89">
        <f ca="1">LARGE(column_to_sort,ROWS($A$75:A87))</f>
        <v>8226</v>
      </c>
      <c r="B87" s="57" t="str">
        <f t="array" aca="1" ref="B87" ca="1">IFERROR(INDEX(follower_list.screen_name,SMALL(IF(A87=column_to_sort,ROW(column_to_sort)-ROW('Follower List'!$A$1),""),COUNTIF($A$75:A87,A87)),1),"")</f>
        <v>AgronomyUkraine</v>
      </c>
      <c r="C87" s="4" t="str">
        <f t="shared" ca="1" si="1"/>
        <v>Mike Lee</v>
      </c>
      <c r="D87" s="124">
        <f t="shared" ca="1" si="2"/>
        <v>8226</v>
      </c>
      <c r="E87" s="124">
        <f t="shared" ca="1" si="3"/>
        <v>6957</v>
      </c>
      <c r="F87" s="178">
        <f t="shared" ca="1" si="4"/>
        <v>1.1824062095730918</v>
      </c>
      <c r="G87" s="124">
        <f t="shared" ca="1" si="5"/>
        <v>15651</v>
      </c>
      <c r="H87" s="124">
        <f t="shared" ca="1" si="6"/>
        <v>165</v>
      </c>
      <c r="I87" s="125">
        <f t="shared" ca="1" si="7"/>
        <v>51.1706</v>
      </c>
      <c r="J87" s="114" t="str">
        <f t="shared" ca="1" si="8"/>
        <v>trading, russia, photography, sales, ukraine</v>
      </c>
    </row>
    <row r="88" spans="1:10" x14ac:dyDescent="0.25">
      <c r="A88" s="89">
        <f ca="1">LARGE(column_to_sort,ROWS($A$75:A88))</f>
        <v>6382</v>
      </c>
      <c r="B88" s="57" t="str">
        <f t="array" aca="1" ref="B88" ca="1">IFERROR(INDEX(follower_list.screen_name,SMALL(IF(A88=column_to_sort,ROW(column_to_sort)-ROW('Follower List'!$A$1),""),COUNTIF($A$75:A88,A88)),1),"")</f>
        <v>WFP_Europe</v>
      </c>
      <c r="C88" s="4" t="str">
        <f t="shared" ca="1" si="1"/>
        <v>WFP Europe</v>
      </c>
      <c r="D88" s="124">
        <f t="shared" ca="1" si="2"/>
        <v>6382</v>
      </c>
      <c r="E88" s="124">
        <f t="shared" ca="1" si="3"/>
        <v>2123</v>
      </c>
      <c r="F88" s="178">
        <f t="shared" ca="1" si="4"/>
        <v>3.0061234102684882</v>
      </c>
      <c r="G88" s="124">
        <f t="shared" ca="1" si="5"/>
        <v>9432</v>
      </c>
      <c r="H88" s="124">
        <f t="shared" ca="1" si="6"/>
        <v>280</v>
      </c>
      <c r="I88" s="125">
        <f t="shared" ca="1" si="7"/>
        <v>55.387</v>
      </c>
      <c r="J88" s="114" t="str">
        <f t="shared" ca="1" si="8"/>
        <v>nutrition, facebook, food, moms, cereal</v>
      </c>
    </row>
    <row r="89" spans="1:10" x14ac:dyDescent="0.25">
      <c r="A89" s="89">
        <f ca="1">LARGE(column_to_sort,ROWS($A$75:A89))</f>
        <v>6189</v>
      </c>
      <c r="B89" s="57" t="str">
        <f t="array" aca="1" ref="B89" ca="1">IFERROR(INDEX(follower_list.screen_name,SMALL(IF(A89=column_to_sort,ROW(column_to_sort)-ROW('Follower List'!$A$1),""),COUNTIF($A$75:A89,A89)),1),"")</f>
        <v>Financial_Orbit</v>
      </c>
      <c r="C89" s="4" t="str">
        <f t="shared" ca="1" si="1"/>
        <v>Chris Bailey</v>
      </c>
      <c r="D89" s="124">
        <f t="shared" ca="1" si="2"/>
        <v>6189</v>
      </c>
      <c r="E89" s="124">
        <f t="shared" ca="1" si="3"/>
        <v>4527</v>
      </c>
      <c r="F89" s="178">
        <f t="shared" ca="1" si="4"/>
        <v>1.3671305500331346</v>
      </c>
      <c r="G89" s="124">
        <f t="shared" ca="1" si="5"/>
        <v>27710</v>
      </c>
      <c r="H89" s="124">
        <f t="shared" ca="1" si="6"/>
        <v>322</v>
      </c>
      <c r="I89" s="125">
        <f t="shared" ca="1" si="7"/>
        <v>52.177300000000002</v>
      </c>
      <c r="J89" s="114" t="str">
        <f t="shared" ca="1" si="8"/>
        <v/>
      </c>
    </row>
    <row r="90" spans="1:10" x14ac:dyDescent="0.25">
      <c r="A90" s="89">
        <f ca="1">LARGE(column_to_sort,ROWS($A$75:A90))</f>
        <v>5802</v>
      </c>
      <c r="B90" s="57" t="str">
        <f t="array" aca="1" ref="B90" ca="1">IFERROR(INDEX(follower_list.screen_name,SMALL(IF(A90=column_to_sort,ROW(column_to_sort)-ROW('Follower List'!$A$1),""),COUNTIF($A$75:A90,A90)),1),"")</f>
        <v>ereguly</v>
      </c>
      <c r="C90" s="4" t="str">
        <f t="shared" ca="1" si="1"/>
        <v>Eric Reguly</v>
      </c>
      <c r="D90" s="124">
        <f t="shared" ca="1" si="2"/>
        <v>5802</v>
      </c>
      <c r="E90" s="124">
        <f t="shared" ca="1" si="3"/>
        <v>1917</v>
      </c>
      <c r="F90" s="178">
        <f t="shared" ca="1" si="4"/>
        <v>3.0266040688575901</v>
      </c>
      <c r="G90" s="124">
        <f t="shared" ca="1" si="5"/>
        <v>11309</v>
      </c>
      <c r="H90" s="124">
        <f t="shared" ca="1" si="6"/>
        <v>303</v>
      </c>
      <c r="I90" s="125">
        <f t="shared" ca="1" si="7"/>
        <v>54.294800000000002</v>
      </c>
      <c r="J90" s="114" t="str">
        <f t="shared" ca="1" si="8"/>
        <v>venice, food, rome, florence, russia</v>
      </c>
    </row>
    <row r="91" spans="1:10" x14ac:dyDescent="0.25">
      <c r="A91" s="89">
        <f ca="1">LARGE(column_to_sort,ROWS($A$75:A91))</f>
        <v>5704</v>
      </c>
      <c r="B91" s="57" t="str">
        <f t="array" aca="1" ref="B91" ca="1">IFERROR(INDEX(follower_list.screen_name,SMALL(IF(A91=column_to_sort,ROW(column_to_sort)-ROW('Follower List'!$A$1),""),COUNTIF($A$75:A91,A91)),1),"")</f>
        <v>jfarchy</v>
      </c>
      <c r="C91" s="4" t="str">
        <f t="shared" ca="1" si="1"/>
        <v>Jack Farchy</v>
      </c>
      <c r="D91" s="124">
        <f t="shared" ca="1" si="2"/>
        <v>5704</v>
      </c>
      <c r="E91" s="124">
        <f t="shared" ca="1" si="3"/>
        <v>1907</v>
      </c>
      <c r="F91" s="178">
        <f t="shared" ca="1" si="4"/>
        <v>2.9910854745673832</v>
      </c>
      <c r="G91" s="124">
        <f t="shared" ca="1" si="5"/>
        <v>18406</v>
      </c>
      <c r="H91" s="124">
        <f t="shared" ca="1" si="6"/>
        <v>417</v>
      </c>
      <c r="I91" s="125">
        <f t="shared" ca="1" si="7"/>
        <v>53.690800000000003</v>
      </c>
      <c r="J91" s="114" t="str">
        <f t="shared" ca="1" si="8"/>
        <v/>
      </c>
    </row>
    <row r="92" spans="1:10" x14ac:dyDescent="0.25">
      <c r="A92" s="89">
        <f ca="1">LARGE(column_to_sort,ROWS($A$75:A92))</f>
        <v>5661</v>
      </c>
      <c r="B92" s="57" t="str">
        <f t="array" aca="1" ref="B92" ca="1">IFERROR(INDEX(follower_list.screen_name,SMALL(IF(A92=column_to_sort,ROW(column_to_sort)-ROW('Follower List'!$A$1),""),COUNTIF($A$75:A92,A92)),1),"")</f>
        <v>OECDagriculture</v>
      </c>
      <c r="C92" s="4" t="str">
        <f t="shared" ca="1" si="1"/>
        <v>OECD Agriculture</v>
      </c>
      <c r="D92" s="124">
        <f t="shared" ca="1" si="2"/>
        <v>5661</v>
      </c>
      <c r="E92" s="124">
        <f t="shared" ca="1" si="3"/>
        <v>141</v>
      </c>
      <c r="F92" s="178">
        <f t="shared" ca="1" si="4"/>
        <v>40.148936170212764</v>
      </c>
      <c r="G92" s="124">
        <f t="shared" ca="1" si="5"/>
        <v>836</v>
      </c>
      <c r="H92" s="124">
        <f t="shared" ca="1" si="6"/>
        <v>196</v>
      </c>
      <c r="I92" s="125">
        <f t="shared" ca="1" si="7"/>
        <v>47.219200000000001</v>
      </c>
      <c r="J92" s="114" t="str">
        <f t="shared" ca="1" si="8"/>
        <v>brussels, berlin, food, poverty, environment</v>
      </c>
    </row>
    <row r="93" spans="1:10" x14ac:dyDescent="0.25">
      <c r="A93" s="89">
        <f ca="1">LARGE(column_to_sort,ROWS($A$75:A93))</f>
        <v>5228</v>
      </c>
      <c r="B93" s="57" t="str">
        <f t="array" aca="1" ref="B93" ca="1">IFERROR(INDEX(follower_list.screen_name,SMALL(IF(A93=column_to_sort,ROW(column_to_sort)-ROW('Follower List'!$A$1),""),COUNTIF($A$75:A93,A93)),1),"")</f>
        <v>abueloeconomico</v>
      </c>
      <c r="C93" s="4" t="str">
        <f t="shared" ca="1" si="1"/>
        <v>Abuelo Economico</v>
      </c>
      <c r="D93" s="124">
        <f t="shared" ca="1" si="2"/>
        <v>5228</v>
      </c>
      <c r="E93" s="124">
        <f t="shared" ca="1" si="3"/>
        <v>1179</v>
      </c>
      <c r="F93" s="178">
        <f t="shared" ca="1" si="4"/>
        <v>4.4342663273960987</v>
      </c>
      <c r="G93" s="124">
        <f t="shared" ca="1" si="5"/>
        <v>10257</v>
      </c>
      <c r="H93" s="124">
        <f t="shared" ca="1" si="6"/>
        <v>0</v>
      </c>
      <c r="I93" s="125">
        <f t="shared" ca="1" si="7"/>
        <v>47.798000000000002</v>
      </c>
      <c r="J93" s="114" t="str">
        <f t="shared" ca="1" si="8"/>
        <v>economics, paypal, argentina</v>
      </c>
    </row>
    <row r="94" spans="1:10" x14ac:dyDescent="0.25">
      <c r="A94" s="89">
        <f ca="1">LARGE(column_to_sort,ROWS($A$75:A94))</f>
        <v>5197</v>
      </c>
      <c r="B94" s="95" t="str">
        <f t="array" aca="1" ref="B94" ca="1">IFERROR(INDEX(follower_list.screen_name,SMALL(IF(A94=column_to_sort,ROW(column_to_sort)-ROW('Follower List'!$A$1),""),COUNTIF($A$75:A94,A94)),1),"")</f>
        <v>Steven_Ramage</v>
      </c>
      <c r="C94" s="127" t="str">
        <f t="shared" ca="1" si="1"/>
        <v>Steven Ramage</v>
      </c>
      <c r="D94" s="128">
        <f t="shared" ca="1" si="2"/>
        <v>5197</v>
      </c>
      <c r="E94" s="128">
        <f t="shared" ca="1" si="3"/>
        <v>5678</v>
      </c>
      <c r="F94" s="179">
        <f t="shared" ca="1" si="4"/>
        <v>0.91528707291299749</v>
      </c>
      <c r="G94" s="128">
        <f t="shared" ca="1" si="5"/>
        <v>1471</v>
      </c>
      <c r="H94" s="128">
        <f t="shared" ca="1" si="6"/>
        <v>362</v>
      </c>
      <c r="I94" s="129">
        <f t="shared" ca="1" si="7"/>
        <v>48.0441</v>
      </c>
      <c r="J94" s="120" t="str">
        <f t="shared" ca="1" si="8"/>
        <v>geo, video, olympics, geography, 3d</v>
      </c>
    </row>
    <row r="96" spans="1:10" x14ac:dyDescent="0.25">
      <c r="A96" s="62"/>
      <c r="B96" s="121" t="s">
        <v>396</v>
      </c>
      <c r="C96" s="122" t="s">
        <v>397</v>
      </c>
      <c r="D96" s="122" t="s">
        <v>370</v>
      </c>
      <c r="E96" s="123" t="s">
        <v>369</v>
      </c>
    </row>
    <row r="97" spans="1:9" x14ac:dyDescent="0.25">
      <c r="A97" s="134" t="s">
        <v>4</v>
      </c>
      <c r="B97" s="57">
        <v>1</v>
      </c>
      <c r="C97" s="59">
        <v>5</v>
      </c>
      <c r="D97" s="59">
        <f>COUNT('Follower List'!L:L)</f>
        <v>150</v>
      </c>
      <c r="E97" s="62">
        <v>1</v>
      </c>
    </row>
    <row r="98" spans="1:9" x14ac:dyDescent="0.25">
      <c r="A98" s="135" t="s">
        <v>459</v>
      </c>
      <c r="B98" s="57">
        <v>1</v>
      </c>
      <c r="C98" s="59">
        <v>6</v>
      </c>
      <c r="D98" s="59">
        <f>COUNT('Follower List'!L:L)</f>
        <v>150</v>
      </c>
      <c r="E98" s="62">
        <v>1</v>
      </c>
    </row>
    <row r="99" spans="1:9" x14ac:dyDescent="0.25">
      <c r="A99" s="135" t="s">
        <v>477</v>
      </c>
      <c r="B99" s="57">
        <v>1</v>
      </c>
      <c r="C99" s="59">
        <v>7</v>
      </c>
      <c r="D99" s="59">
        <f>COUNT('Follower List'!L:L)</f>
        <v>150</v>
      </c>
      <c r="E99" s="62">
        <v>1</v>
      </c>
    </row>
    <row r="100" spans="1:9" x14ac:dyDescent="0.25">
      <c r="A100" s="135" t="s">
        <v>111</v>
      </c>
      <c r="B100" s="57">
        <v>1</v>
      </c>
      <c r="C100" s="59">
        <v>9</v>
      </c>
      <c r="D100" s="59">
        <f>COUNT('Follower List'!L:L)</f>
        <v>150</v>
      </c>
      <c r="E100" s="62">
        <v>1</v>
      </c>
    </row>
    <row r="101" spans="1:9" x14ac:dyDescent="0.25">
      <c r="A101" s="135" t="s">
        <v>112</v>
      </c>
      <c r="B101" s="57">
        <v>1</v>
      </c>
      <c r="C101" s="222">
        <v>8</v>
      </c>
      <c r="D101" s="59">
        <f>COUNT('Follower List'!L:L)</f>
        <v>150</v>
      </c>
      <c r="E101" s="62">
        <v>1</v>
      </c>
    </row>
    <row r="102" spans="1:9" x14ac:dyDescent="0.25">
      <c r="A102" s="136" t="s">
        <v>6</v>
      </c>
      <c r="B102" s="95">
        <v>1</v>
      </c>
      <c r="C102" s="127">
        <v>14</v>
      </c>
      <c r="D102" s="96">
        <f>COUNT('Follower List'!L:L)</f>
        <v>150</v>
      </c>
      <c r="E102" s="97">
        <v>1</v>
      </c>
    </row>
    <row r="105" spans="1:9" x14ac:dyDescent="0.25">
      <c r="A105" s="6" t="s">
        <v>422</v>
      </c>
      <c r="B105" s="75"/>
      <c r="C105" s="75"/>
      <c r="D105" s="75"/>
      <c r="E105" s="75"/>
      <c r="F105" s="75"/>
      <c r="G105" s="75"/>
      <c r="H105" s="75"/>
      <c r="I105" s="75"/>
    </row>
    <row r="106" spans="1:9" x14ac:dyDescent="0.25">
      <c r="A106" t="s">
        <v>468</v>
      </c>
      <c r="B106" s="73">
        <f ca="1">C106/$C$115</f>
        <v>0.39416058394160586</v>
      </c>
      <c r="C106" s="155">
        <f ca="1">COUNTIFS(follower_list.last_tweeted,"&gt;"&amp;D107,follower_list.last_tweeted,"&lt;="&amp;D106)</f>
        <v>54</v>
      </c>
      <c r="D106" s="154">
        <f ca="1">MAX(follower_list.last_tweeted)</f>
        <v>42782.272210648145</v>
      </c>
    </row>
    <row r="107" spans="1:9" x14ac:dyDescent="0.25">
      <c r="A107" t="s">
        <v>471</v>
      </c>
      <c r="B107" s="73">
        <f t="shared" ref="B107:B113" ca="1" si="9">C107/$C$115</f>
        <v>0.19708029197080293</v>
      </c>
      <c r="C107" s="155">
        <f t="shared" ref="C107:C112" ca="1" si="10">COUNTIFS(follower_list.last_tweeted,"&gt;="&amp;D108,follower_list.last_tweeted,"&lt;"&amp;D107)</f>
        <v>27</v>
      </c>
      <c r="D107" s="154">
        <f ca="1">D106-1</f>
        <v>42781.272210648145</v>
      </c>
      <c r="E107" s="154"/>
    </row>
    <row r="108" spans="1:9" x14ac:dyDescent="0.25">
      <c r="A108" t="s">
        <v>469</v>
      </c>
      <c r="B108" s="73">
        <f t="shared" ca="1" si="9"/>
        <v>8.0291970802919707E-2</v>
      </c>
      <c r="C108" s="155">
        <f t="shared" ca="1" si="10"/>
        <v>11</v>
      </c>
      <c r="D108" s="154">
        <f ca="1">D107-7</f>
        <v>42774.272210648145</v>
      </c>
    </row>
    <row r="109" spans="1:9" x14ac:dyDescent="0.25">
      <c r="A109" t="s">
        <v>470</v>
      </c>
      <c r="B109" s="73">
        <f t="shared" ca="1" si="9"/>
        <v>6.569343065693431E-2</v>
      </c>
      <c r="C109" s="155">
        <f t="shared" ca="1" si="10"/>
        <v>9</v>
      </c>
      <c r="D109" s="154">
        <f ca="1">D108-14</f>
        <v>42760.272210648145</v>
      </c>
    </row>
    <row r="110" spans="1:9" x14ac:dyDescent="0.25">
      <c r="A110" t="s">
        <v>472</v>
      </c>
      <c r="B110" s="73">
        <f t="shared" ca="1" si="9"/>
        <v>5.8394160583941604E-2</v>
      </c>
      <c r="C110" s="155">
        <f t="shared" ca="1" si="10"/>
        <v>8</v>
      </c>
      <c r="D110" s="154">
        <f ca="1">D109-14</f>
        <v>42746.272210648145</v>
      </c>
    </row>
    <row r="111" spans="1:9" x14ac:dyDescent="0.25">
      <c r="A111" t="s">
        <v>473</v>
      </c>
      <c r="B111" s="73">
        <f t="shared" ca="1" si="9"/>
        <v>2.9197080291970802E-2</v>
      </c>
      <c r="C111" s="155">
        <f t="shared" ca="1" si="10"/>
        <v>4</v>
      </c>
      <c r="D111" s="154">
        <f ca="1">D110-60</f>
        <v>42686.272210648145</v>
      </c>
    </row>
    <row r="112" spans="1:9" x14ac:dyDescent="0.25">
      <c r="A112" t="s">
        <v>474</v>
      </c>
      <c r="B112" s="73">
        <f t="shared" ca="1" si="9"/>
        <v>3.6496350364963501E-2</v>
      </c>
      <c r="C112" s="155">
        <f t="shared" ca="1" si="10"/>
        <v>5</v>
      </c>
      <c r="D112" s="154">
        <f ca="1">D111-90</f>
        <v>42596.272210648145</v>
      </c>
    </row>
    <row r="113" spans="1:9" x14ac:dyDescent="0.25">
      <c r="A113" t="s">
        <v>475</v>
      </c>
      <c r="B113" s="73">
        <f t="shared" ca="1" si="9"/>
        <v>0.13868613138686131</v>
      </c>
      <c r="C113" s="155">
        <f ca="1">COUNTIFS(follower_list.last_tweeted,"&lt;"&amp;D113)</f>
        <v>19</v>
      </c>
      <c r="D113" s="154">
        <f ca="1">D112-180</f>
        <v>42416.272210648145</v>
      </c>
    </row>
    <row r="115" spans="1:9" x14ac:dyDescent="0.25">
      <c r="A115" t="s">
        <v>423</v>
      </c>
      <c r="C115" s="155">
        <f ca="1">SUM(C106:C113)</f>
        <v>137</v>
      </c>
    </row>
    <row r="117" spans="1:9" x14ac:dyDescent="0.25">
      <c r="A117" t="s">
        <v>424</v>
      </c>
    </row>
    <row r="118" spans="1:9" x14ac:dyDescent="0.25">
      <c r="A118" s="2">
        <f ca="1">MAX(follower_list.last_tweeted)</f>
        <v>42782.272210648145</v>
      </c>
      <c r="B118">
        <f ca="1">MONTH(A118)</f>
        <v>2</v>
      </c>
      <c r="C118">
        <f ca="1">DAY(A118)</f>
        <v>16</v>
      </c>
      <c r="D118">
        <f ca="1">YEAR(A118)</f>
        <v>2017</v>
      </c>
    </row>
    <row r="119" spans="1:9" x14ac:dyDescent="0.25">
      <c r="A119" s="2"/>
    </row>
    <row r="120" spans="1:9" x14ac:dyDescent="0.25">
      <c r="A120" s="2"/>
    </row>
    <row r="121" spans="1:9" x14ac:dyDescent="0.25">
      <c r="A121" s="6" t="s">
        <v>426</v>
      </c>
      <c r="B121" s="75"/>
      <c r="C121" s="75"/>
      <c r="D121" s="75"/>
      <c r="E121" s="75"/>
      <c r="F121" s="75"/>
      <c r="G121" s="75"/>
      <c r="H121" s="75"/>
      <c r="I121" s="75"/>
    </row>
    <row r="123" spans="1:9" x14ac:dyDescent="0.25">
      <c r="A123" s="131" t="s">
        <v>331</v>
      </c>
      <c r="B123" s="132" t="s">
        <v>0</v>
      </c>
      <c r="C123" s="133" t="s">
        <v>4</v>
      </c>
    </row>
    <row r="124" spans="1:9" x14ac:dyDescent="0.25">
      <c r="A124" s="3">
        <v>1</v>
      </c>
      <c r="B124" s="4" t="str">
        <f t="array" aca="1" ref="B124" ca="1">INDEX(follower_list.screen_name,SMALL(IF(C124=follower_list.followers,ROW(follower_list.followers)-ROW('Follower List'!$H$1),""),COUNTIF($C$124:C124,C124)),1)</f>
        <v>FAOnews</v>
      </c>
      <c r="C124" s="99">
        <f t="shared" ref="C124:C143" ca="1" si="11">LARGE(follower_list.followers,A124)</f>
        <v>210157</v>
      </c>
    </row>
    <row r="125" spans="1:9" x14ac:dyDescent="0.25">
      <c r="A125" s="3">
        <v>2</v>
      </c>
      <c r="B125" s="4" t="str">
        <f t="array" aca="1" ref="B125" ca="1">INDEX(follower_list.screen_name,SMALL(IF(C125=follower_list.followers,ROW(follower_list.followers)-ROW('Follower List'!$H$1),""),COUNTIF($C$124:C125,C125)),1)</f>
        <v>foodtank</v>
      </c>
      <c r="C125" s="99">
        <f t="shared" ca="1" si="11"/>
        <v>191171</v>
      </c>
    </row>
    <row r="126" spans="1:9" x14ac:dyDescent="0.25">
      <c r="A126" s="3">
        <v>3</v>
      </c>
      <c r="B126" s="4" t="str">
        <f t="array" aca="1" ref="B126" ca="1">INDEX(follower_list.screen_name,SMALL(IF(C126=follower_list.followers,ROW(follower_list.followers)-ROW('Follower List'!$H$1),""),COUNTIF($C$124:C126,C126)),1)</f>
        <v>FAOKnowledge</v>
      </c>
      <c r="C126" s="99">
        <f t="shared" ca="1" si="11"/>
        <v>85182</v>
      </c>
    </row>
    <row r="127" spans="1:9" x14ac:dyDescent="0.25">
      <c r="A127" s="3">
        <v>4</v>
      </c>
      <c r="B127" s="4" t="str">
        <f t="array" aca="1" ref="B127" ca="1">INDEX(follower_list.screen_name,SMALL(IF(C127=follower_list.followers,ROW(follower_list.followers)-ROW('Follower List'!$H$1),""),COUNTIF($C$124:C127,C127)),1)</f>
        <v>FarmsNews</v>
      </c>
      <c r="C127" s="99">
        <f t="shared" ca="1" si="11"/>
        <v>66494</v>
      </c>
    </row>
    <row r="128" spans="1:9" x14ac:dyDescent="0.25">
      <c r="A128" s="3">
        <v>5</v>
      </c>
      <c r="B128" s="4" t="str">
        <f t="array" aca="1" ref="B128" ca="1">INDEX(follower_list.screen_name,SMALL(IF(C128=follower_list.followers,ROW(follower_list.followers)-ROW('Follower List'!$H$1),""),COUNTIF($C$124:C128,C128)),1)</f>
        <v>mediamails</v>
      </c>
      <c r="C128" s="99">
        <f t="shared" ca="1" si="11"/>
        <v>53127</v>
      </c>
    </row>
    <row r="129" spans="1:3" x14ac:dyDescent="0.25">
      <c r="A129" s="3">
        <v>6</v>
      </c>
      <c r="B129" s="4" t="str">
        <f t="array" aca="1" ref="B129" ca="1">INDEX(follower_list.screen_name,SMALL(IF(C129=follower_list.followers,ROW(follower_list.followers)-ROW('Follower List'!$H$1),""),COUNTIF($C$124:C129,C129)),1)</f>
        <v>FAOstatistics</v>
      </c>
      <c r="C129" s="99">
        <f t="shared" ca="1" si="11"/>
        <v>46295</v>
      </c>
    </row>
    <row r="130" spans="1:3" x14ac:dyDescent="0.25">
      <c r="A130" s="3">
        <v>7</v>
      </c>
      <c r="B130" s="4" t="str">
        <f t="array" aca="1" ref="B130" ca="1">INDEX(follower_list.screen_name,SMALL(IF(C130=follower_list.followers,ROW(follower_list.followers)-ROW('Follower List'!$H$1),""),COUNTIF($C$124:C130,C130)),1)</f>
        <v>MirelaXhota</v>
      </c>
      <c r="C130" s="99">
        <f t="shared" ca="1" si="11"/>
        <v>32669</v>
      </c>
    </row>
    <row r="131" spans="1:3" x14ac:dyDescent="0.25">
      <c r="A131" s="3">
        <v>8</v>
      </c>
      <c r="B131" s="4" t="str">
        <f t="array" aca="1" ref="B131" ca="1">INDEX(follower_list.screen_name,SMALL(IF(C131=follower_list.followers,ROW(follower_list.followers)-ROW('Follower List'!$H$1),""),COUNTIF($C$124:C131,C131)),1)</f>
        <v>JavierBlas2</v>
      </c>
      <c r="C131" s="99">
        <f t="shared" ca="1" si="11"/>
        <v>28466</v>
      </c>
    </row>
    <row r="132" spans="1:3" x14ac:dyDescent="0.25">
      <c r="A132" s="3">
        <v>9</v>
      </c>
      <c r="B132" s="4" t="str">
        <f t="array" aca="1" ref="B132" ca="1">INDEX(follower_list.screen_name,SMALL(IF(C132=follower_list.followers,ROW(follower_list.followers)-ROW('Follower List'!$H$1),""),COUNTIF($C$124:C132,C132)),1)</f>
        <v>uswheatassoc</v>
      </c>
      <c r="C132" s="99">
        <f t="shared" ca="1" si="11"/>
        <v>10460</v>
      </c>
    </row>
    <row r="133" spans="1:3" x14ac:dyDescent="0.25">
      <c r="A133" s="3">
        <v>10</v>
      </c>
      <c r="B133" s="4" t="str">
        <f t="array" aca="1" ref="B133" ca="1">INDEX(follower_list.screen_name,SMALL(IF(C133=follower_list.followers,ROW(follower_list.followers)-ROW('Follower List'!$H$1),""),COUNTIF($C$124:C133,C133)),1)</f>
        <v>Agronegocios_Uy</v>
      </c>
      <c r="C133" s="99">
        <f t="shared" ca="1" si="11"/>
        <v>9159</v>
      </c>
    </row>
    <row r="134" spans="1:3" x14ac:dyDescent="0.25">
      <c r="A134" s="3">
        <v>11</v>
      </c>
      <c r="B134" s="4" t="str">
        <f t="array" aca="1" ref="B134" ca="1">INDEX(follower_list.screen_name,SMALL(IF(C134=follower_list.followers,ROW(follower_list.followers)-ROW('Follower List'!$H$1),""),COUNTIF($C$124:C134,C134)),1)</f>
        <v>ScottIrwinUI</v>
      </c>
      <c r="C134" s="99">
        <f t="shared" ca="1" si="11"/>
        <v>9099</v>
      </c>
    </row>
    <row r="135" spans="1:3" x14ac:dyDescent="0.25">
      <c r="A135" s="3">
        <v>12</v>
      </c>
      <c r="B135" s="4" t="str">
        <f t="array" aca="1" ref="B135" ca="1">INDEX(follower_list.screen_name,SMALL(IF(C135=follower_list.followers,ROW(follower_list.followers)-ROW('Follower List'!$H$1),""),COUNTIF($C$124:C135,C135)),1)</f>
        <v>jasonlbritt</v>
      </c>
      <c r="C135" s="99">
        <f t="shared" ca="1" si="11"/>
        <v>9042</v>
      </c>
    </row>
    <row r="136" spans="1:3" x14ac:dyDescent="0.25">
      <c r="A136" s="3">
        <v>13</v>
      </c>
      <c r="B136" s="4" t="str">
        <f t="array" aca="1" ref="B136" ca="1">INDEX(follower_list.screen_name,SMALL(IF(C136=follower_list.followers,ROW(follower_list.followers)-ROW('Follower List'!$H$1),""),COUNTIF($C$124:C136,C136)),1)</f>
        <v>AgronomyUkraine</v>
      </c>
      <c r="C136" s="99">
        <f t="shared" ca="1" si="11"/>
        <v>8226</v>
      </c>
    </row>
    <row r="137" spans="1:3" x14ac:dyDescent="0.25">
      <c r="A137" s="3">
        <v>14</v>
      </c>
      <c r="B137" s="4" t="str">
        <f t="array" aca="1" ref="B137" ca="1">INDEX(follower_list.screen_name,SMALL(IF(C137=follower_list.followers,ROW(follower_list.followers)-ROW('Follower List'!$H$1),""),COUNTIF($C$124:C137,C137)),1)</f>
        <v>WFP_Europe</v>
      </c>
      <c r="C137" s="99">
        <f t="shared" ca="1" si="11"/>
        <v>6382</v>
      </c>
    </row>
    <row r="138" spans="1:3" x14ac:dyDescent="0.25">
      <c r="A138" s="3">
        <v>15</v>
      </c>
      <c r="B138" s="4" t="str">
        <f t="array" aca="1" ref="B138" ca="1">INDEX(follower_list.screen_name,SMALL(IF(C138=follower_list.followers,ROW(follower_list.followers)-ROW('Follower List'!$H$1),""),COUNTIF($C$124:C138,C138)),1)</f>
        <v>Financial_Orbit</v>
      </c>
      <c r="C138" s="99">
        <f t="shared" ca="1" si="11"/>
        <v>6189</v>
      </c>
    </row>
    <row r="139" spans="1:3" x14ac:dyDescent="0.25">
      <c r="A139" s="3">
        <v>16</v>
      </c>
      <c r="B139" s="4" t="str">
        <f t="array" aca="1" ref="B139" ca="1">INDEX(follower_list.screen_name,SMALL(IF(C139=follower_list.followers,ROW(follower_list.followers)-ROW('Follower List'!$H$1),""),COUNTIF($C$124:C139,C139)),1)</f>
        <v>ereguly</v>
      </c>
      <c r="C139" s="99">
        <f t="shared" ca="1" si="11"/>
        <v>5802</v>
      </c>
    </row>
    <row r="140" spans="1:3" x14ac:dyDescent="0.25">
      <c r="A140" s="3">
        <v>17</v>
      </c>
      <c r="B140" s="4" t="str">
        <f t="array" aca="1" ref="B140" ca="1">INDEX(follower_list.screen_name,SMALL(IF(C140=follower_list.followers,ROW(follower_list.followers)-ROW('Follower List'!$H$1),""),COUNTIF($C$124:C140,C140)),1)</f>
        <v>jfarchy</v>
      </c>
      <c r="C140" s="99">
        <f t="shared" ca="1" si="11"/>
        <v>5704</v>
      </c>
    </row>
    <row r="141" spans="1:3" x14ac:dyDescent="0.25">
      <c r="A141" s="3">
        <v>18</v>
      </c>
      <c r="B141" s="4" t="str">
        <f t="array" aca="1" ref="B141" ca="1">INDEX(follower_list.screen_name,SMALL(IF(C141=follower_list.followers,ROW(follower_list.followers)-ROW('Follower List'!$H$1),""),COUNTIF($C$124:C141,C141)),1)</f>
        <v>OECDagriculture</v>
      </c>
      <c r="C141" s="99">
        <f t="shared" ca="1" si="11"/>
        <v>5661</v>
      </c>
    </row>
    <row r="142" spans="1:3" x14ac:dyDescent="0.25">
      <c r="A142" s="3">
        <v>19</v>
      </c>
      <c r="B142" s="4" t="str">
        <f t="array" aca="1" ref="B142" ca="1">INDEX(follower_list.screen_name,SMALL(IF(C142=follower_list.followers,ROW(follower_list.followers)-ROW('Follower List'!$H$1),""),COUNTIF($C$124:C142,C142)),1)</f>
        <v>abueloeconomico</v>
      </c>
      <c r="C142" s="99">
        <f t="shared" ca="1" si="11"/>
        <v>5228</v>
      </c>
    </row>
    <row r="143" spans="1:3" x14ac:dyDescent="0.25">
      <c r="A143" s="119">
        <v>20</v>
      </c>
      <c r="B143" s="127" t="str">
        <f t="array" aca="1" ref="B143" ca="1">INDEX(follower_list.screen_name,SMALL(IF(C143=follower_list.followers,ROW(follower_list.followers)-ROW('Follower List'!$H$1),""),COUNTIF($C$124:C143,C143)),1)</f>
        <v>Steven_Ramage</v>
      </c>
      <c r="C143" s="102">
        <f t="shared" ca="1" si="11"/>
        <v>5197</v>
      </c>
    </row>
    <row r="146" spans="1:9" x14ac:dyDescent="0.25">
      <c r="A146" s="6" t="s">
        <v>425</v>
      </c>
      <c r="B146" s="74"/>
      <c r="C146" s="75"/>
      <c r="D146" s="75"/>
      <c r="E146" s="75"/>
      <c r="F146" s="75"/>
      <c r="G146" s="75"/>
      <c r="H146" s="75"/>
      <c r="I146" s="75"/>
    </row>
    <row r="148" spans="1:9" x14ac:dyDescent="0.25">
      <c r="A148" s="76" t="s">
        <v>410</v>
      </c>
      <c r="B148" s="76" t="s">
        <v>332</v>
      </c>
      <c r="C148" s="76" t="s">
        <v>411</v>
      </c>
      <c r="E148" s="77" t="s">
        <v>412</v>
      </c>
      <c r="F148" s="78">
        <f ca="1">IFERROR(MAX(follower_list.klout_score),"N/A")</f>
        <v>81.977900000000005</v>
      </c>
    </row>
    <row r="149" spans="1:9" x14ac:dyDescent="0.25">
      <c r="A149" s="79">
        <v>10</v>
      </c>
      <c r="B149" s="80">
        <f t="shared" ref="B149:B180" ca="1" si="12">COUNTIFS(follower_list.klout_score,"&gt;="&amp;A149,follower_list.klout_score,"&lt;"&amp;A150)</f>
        <v>4</v>
      </c>
      <c r="C149" s="79" t="e">
        <f t="shared" ref="C149:C178" si="13">0/0</f>
        <v>#DIV/0!</v>
      </c>
      <c r="E149" s="81" t="s">
        <v>413</v>
      </c>
      <c r="F149" s="82">
        <f t="array" aca="1" ref="F149" ca="1">IFERROR(MIN(IF(follower_list.klout_score=0,"",follower_list.klout_score)),"N/A")</f>
        <v>10</v>
      </c>
    </row>
    <row r="150" spans="1:9" x14ac:dyDescent="0.25">
      <c r="A150" s="79">
        <v>11</v>
      </c>
      <c r="B150" s="80">
        <f t="shared" ca="1" si="12"/>
        <v>2</v>
      </c>
      <c r="C150" s="79" t="e">
        <f t="shared" si="13"/>
        <v>#DIV/0!</v>
      </c>
      <c r="E150" s="83" t="s">
        <v>414</v>
      </c>
      <c r="F150" s="84">
        <f ca="1">IFERROR(AVERAGEIFS(follower_list.klout_score,follower_list.klout_score,"&gt;0"),"N/A")</f>
        <v>33.47959527559054</v>
      </c>
    </row>
    <row r="151" spans="1:9" x14ac:dyDescent="0.25">
      <c r="A151" s="79">
        <v>12</v>
      </c>
      <c r="B151" s="80">
        <f t="shared" ca="1" si="12"/>
        <v>7</v>
      </c>
      <c r="C151" s="79" t="e">
        <f t="shared" si="13"/>
        <v>#DIV/0!</v>
      </c>
    </row>
    <row r="152" spans="1:9" x14ac:dyDescent="0.25">
      <c r="A152" s="79">
        <v>13</v>
      </c>
      <c r="B152" s="80">
        <f t="shared" ca="1" si="12"/>
        <v>4</v>
      </c>
      <c r="C152" s="79" t="e">
        <f t="shared" si="13"/>
        <v>#DIV/0!</v>
      </c>
    </row>
    <row r="153" spans="1:9" x14ac:dyDescent="0.25">
      <c r="A153" s="79">
        <v>14</v>
      </c>
      <c r="B153" s="80">
        <f t="shared" ca="1" si="12"/>
        <v>5</v>
      </c>
      <c r="C153" s="79" t="e">
        <f t="shared" si="13"/>
        <v>#DIV/0!</v>
      </c>
    </row>
    <row r="154" spans="1:9" x14ac:dyDescent="0.25">
      <c r="A154" s="79">
        <v>15</v>
      </c>
      <c r="B154" s="80">
        <f t="shared" ca="1" si="12"/>
        <v>3</v>
      </c>
      <c r="C154" s="79" t="e">
        <f t="shared" si="13"/>
        <v>#DIV/0!</v>
      </c>
    </row>
    <row r="155" spans="1:9" x14ac:dyDescent="0.25">
      <c r="A155" s="79">
        <v>16</v>
      </c>
      <c r="B155" s="80">
        <f t="shared" ca="1" si="12"/>
        <v>2</v>
      </c>
      <c r="C155" s="79" t="e">
        <f t="shared" si="13"/>
        <v>#DIV/0!</v>
      </c>
    </row>
    <row r="156" spans="1:9" x14ac:dyDescent="0.25">
      <c r="A156" s="79">
        <v>17</v>
      </c>
      <c r="B156" s="80">
        <f t="shared" ca="1" si="12"/>
        <v>1</v>
      </c>
      <c r="C156" s="79" t="e">
        <f t="shared" si="13"/>
        <v>#DIV/0!</v>
      </c>
    </row>
    <row r="157" spans="1:9" x14ac:dyDescent="0.25">
      <c r="A157" s="79">
        <v>18</v>
      </c>
      <c r="B157" s="80">
        <f t="shared" ca="1" si="12"/>
        <v>5</v>
      </c>
      <c r="C157" s="79" t="e">
        <f t="shared" si="13"/>
        <v>#DIV/0!</v>
      </c>
    </row>
    <row r="158" spans="1:9" x14ac:dyDescent="0.25">
      <c r="A158" s="79">
        <v>19</v>
      </c>
      <c r="B158" s="80">
        <f t="shared" ca="1" si="12"/>
        <v>3</v>
      </c>
      <c r="C158" s="79" t="e">
        <f t="shared" si="13"/>
        <v>#DIV/0!</v>
      </c>
    </row>
    <row r="159" spans="1:9" x14ac:dyDescent="0.25">
      <c r="A159" s="79">
        <v>20</v>
      </c>
      <c r="B159" s="80">
        <f t="shared" ca="1" si="12"/>
        <v>1</v>
      </c>
      <c r="C159" s="79" t="e">
        <f t="shared" si="13"/>
        <v>#DIV/0!</v>
      </c>
    </row>
    <row r="160" spans="1:9" x14ac:dyDescent="0.25">
      <c r="A160" s="79">
        <v>21</v>
      </c>
      <c r="B160" s="80">
        <f t="shared" ca="1" si="12"/>
        <v>1</v>
      </c>
      <c r="C160" s="79" t="e">
        <f t="shared" si="13"/>
        <v>#DIV/0!</v>
      </c>
    </row>
    <row r="161" spans="1:3" x14ac:dyDescent="0.25">
      <c r="A161" s="79">
        <v>22</v>
      </c>
      <c r="B161" s="80">
        <f t="shared" ca="1" si="12"/>
        <v>3</v>
      </c>
      <c r="C161" s="79" t="e">
        <f t="shared" si="13"/>
        <v>#DIV/0!</v>
      </c>
    </row>
    <row r="162" spans="1:3" x14ac:dyDescent="0.25">
      <c r="A162" s="79">
        <v>23</v>
      </c>
      <c r="B162" s="80">
        <f t="shared" ca="1" si="12"/>
        <v>3</v>
      </c>
      <c r="C162" s="79" t="e">
        <f t="shared" si="13"/>
        <v>#DIV/0!</v>
      </c>
    </row>
    <row r="163" spans="1:3" x14ac:dyDescent="0.25">
      <c r="A163" s="79">
        <v>24</v>
      </c>
      <c r="B163" s="80">
        <f t="shared" ca="1" si="12"/>
        <v>2</v>
      </c>
      <c r="C163" s="79" t="e">
        <f t="shared" si="13"/>
        <v>#DIV/0!</v>
      </c>
    </row>
    <row r="164" spans="1:3" x14ac:dyDescent="0.25">
      <c r="A164" s="79">
        <v>25</v>
      </c>
      <c r="B164" s="80">
        <f t="shared" ca="1" si="12"/>
        <v>3</v>
      </c>
      <c r="C164" s="79" t="e">
        <f t="shared" si="13"/>
        <v>#DIV/0!</v>
      </c>
    </row>
    <row r="165" spans="1:3" x14ac:dyDescent="0.25">
      <c r="A165" s="79">
        <v>26</v>
      </c>
      <c r="B165" s="80">
        <f t="shared" ca="1" si="12"/>
        <v>6</v>
      </c>
      <c r="C165" s="79" t="e">
        <f t="shared" si="13"/>
        <v>#DIV/0!</v>
      </c>
    </row>
    <row r="166" spans="1:3" x14ac:dyDescent="0.25">
      <c r="A166" s="79">
        <v>27</v>
      </c>
      <c r="B166" s="80">
        <f t="shared" ca="1" si="12"/>
        <v>4</v>
      </c>
      <c r="C166" s="79" t="e">
        <f t="shared" si="13"/>
        <v>#DIV/0!</v>
      </c>
    </row>
    <row r="167" spans="1:3" x14ac:dyDescent="0.25">
      <c r="A167" s="79">
        <v>28</v>
      </c>
      <c r="B167" s="80">
        <f t="shared" ca="1" si="12"/>
        <v>0</v>
      </c>
      <c r="C167" s="79" t="e">
        <f t="shared" si="13"/>
        <v>#DIV/0!</v>
      </c>
    </row>
    <row r="168" spans="1:3" x14ac:dyDescent="0.25">
      <c r="A168" s="79">
        <v>29</v>
      </c>
      <c r="B168" s="80">
        <f t="shared" ca="1" si="12"/>
        <v>1</v>
      </c>
      <c r="C168" s="79" t="e">
        <f t="shared" si="13"/>
        <v>#DIV/0!</v>
      </c>
    </row>
    <row r="169" spans="1:3" x14ac:dyDescent="0.25">
      <c r="A169" s="79">
        <v>30</v>
      </c>
      <c r="B169" s="80">
        <f t="shared" ca="1" si="12"/>
        <v>2</v>
      </c>
      <c r="C169" s="79" t="e">
        <f t="shared" si="13"/>
        <v>#DIV/0!</v>
      </c>
    </row>
    <row r="170" spans="1:3" x14ac:dyDescent="0.25">
      <c r="A170" s="79">
        <v>31</v>
      </c>
      <c r="B170" s="80">
        <f t="shared" ca="1" si="12"/>
        <v>0</v>
      </c>
      <c r="C170" s="79" t="e">
        <f t="shared" si="13"/>
        <v>#DIV/0!</v>
      </c>
    </row>
    <row r="171" spans="1:3" x14ac:dyDescent="0.25">
      <c r="A171" s="79">
        <v>32</v>
      </c>
      <c r="B171" s="80">
        <f t="shared" ca="1" si="12"/>
        <v>2</v>
      </c>
      <c r="C171" s="79" t="e">
        <f t="shared" si="13"/>
        <v>#DIV/0!</v>
      </c>
    </row>
    <row r="172" spans="1:3" x14ac:dyDescent="0.25">
      <c r="A172" s="79">
        <v>33</v>
      </c>
      <c r="B172" s="80">
        <f t="shared" ca="1" si="12"/>
        <v>1</v>
      </c>
      <c r="C172" s="79" t="e">
        <f t="shared" si="13"/>
        <v>#DIV/0!</v>
      </c>
    </row>
    <row r="173" spans="1:3" x14ac:dyDescent="0.25">
      <c r="A173" s="79">
        <v>34</v>
      </c>
      <c r="B173" s="80">
        <f t="shared" ca="1" si="12"/>
        <v>1</v>
      </c>
      <c r="C173" s="79" t="e">
        <f t="shared" si="13"/>
        <v>#DIV/0!</v>
      </c>
    </row>
    <row r="174" spans="1:3" x14ac:dyDescent="0.25">
      <c r="A174" s="79">
        <v>35</v>
      </c>
      <c r="B174" s="80">
        <f t="shared" ca="1" si="12"/>
        <v>0</v>
      </c>
      <c r="C174" s="79" t="e">
        <f t="shared" si="13"/>
        <v>#DIV/0!</v>
      </c>
    </row>
    <row r="175" spans="1:3" x14ac:dyDescent="0.25">
      <c r="A175" s="79">
        <v>36</v>
      </c>
      <c r="B175" s="80">
        <f t="shared" ca="1" si="12"/>
        <v>2</v>
      </c>
      <c r="C175" s="79" t="e">
        <f t="shared" si="13"/>
        <v>#DIV/0!</v>
      </c>
    </row>
    <row r="176" spans="1:3" x14ac:dyDescent="0.25">
      <c r="A176" s="79">
        <v>37</v>
      </c>
      <c r="B176" s="80">
        <f t="shared" ca="1" si="12"/>
        <v>3</v>
      </c>
      <c r="C176" s="79" t="e">
        <f t="shared" si="13"/>
        <v>#DIV/0!</v>
      </c>
    </row>
    <row r="177" spans="1:3" x14ac:dyDescent="0.25">
      <c r="A177" s="79">
        <v>38</v>
      </c>
      <c r="B177" s="80">
        <f t="shared" ca="1" si="12"/>
        <v>4</v>
      </c>
      <c r="C177" s="79" t="e">
        <f t="shared" si="13"/>
        <v>#DIV/0!</v>
      </c>
    </row>
    <row r="178" spans="1:3" x14ac:dyDescent="0.25">
      <c r="A178" s="79">
        <v>39</v>
      </c>
      <c r="B178" s="80">
        <f t="shared" ca="1" si="12"/>
        <v>0</v>
      </c>
      <c r="C178" s="79" t="e">
        <f t="shared" si="13"/>
        <v>#DIV/0!</v>
      </c>
    </row>
    <row r="179" spans="1:3" x14ac:dyDescent="0.25">
      <c r="A179" s="214">
        <v>40</v>
      </c>
      <c r="B179" s="80">
        <f t="shared" ca="1" si="12"/>
        <v>4</v>
      </c>
      <c r="C179" s="85">
        <v>1</v>
      </c>
    </row>
    <row r="180" spans="1:3" x14ac:dyDescent="0.25">
      <c r="A180" s="79">
        <v>41</v>
      </c>
      <c r="B180" s="80">
        <f t="shared" ca="1" si="12"/>
        <v>2</v>
      </c>
      <c r="C180" s="79" t="e">
        <f t="shared" ref="C180:C211" si="14">0/0</f>
        <v>#DIV/0!</v>
      </c>
    </row>
    <row r="181" spans="1:3" x14ac:dyDescent="0.25">
      <c r="A181" s="79">
        <v>42</v>
      </c>
      <c r="B181" s="80">
        <f t="shared" ref="B181:B212" ca="1" si="15">COUNTIFS(follower_list.klout_score,"&gt;="&amp;A181,follower_list.klout_score,"&lt;"&amp;A182)</f>
        <v>3</v>
      </c>
      <c r="C181" s="79" t="e">
        <f t="shared" si="14"/>
        <v>#DIV/0!</v>
      </c>
    </row>
    <row r="182" spans="1:3" x14ac:dyDescent="0.25">
      <c r="A182" s="79">
        <v>43</v>
      </c>
      <c r="B182" s="80">
        <f t="shared" ca="1" si="15"/>
        <v>1</v>
      </c>
      <c r="C182" s="79" t="e">
        <f t="shared" si="14"/>
        <v>#DIV/0!</v>
      </c>
    </row>
    <row r="183" spans="1:3" x14ac:dyDescent="0.25">
      <c r="A183" s="79">
        <v>44</v>
      </c>
      <c r="B183" s="80">
        <f t="shared" ca="1" si="15"/>
        <v>2</v>
      </c>
      <c r="C183" s="79" t="e">
        <f t="shared" si="14"/>
        <v>#DIV/0!</v>
      </c>
    </row>
    <row r="184" spans="1:3" x14ac:dyDescent="0.25">
      <c r="A184" s="79">
        <v>45</v>
      </c>
      <c r="B184" s="80">
        <f t="shared" ca="1" si="15"/>
        <v>2</v>
      </c>
      <c r="C184" s="79" t="e">
        <f t="shared" si="14"/>
        <v>#DIV/0!</v>
      </c>
    </row>
    <row r="185" spans="1:3" x14ac:dyDescent="0.25">
      <c r="A185" s="79">
        <v>46</v>
      </c>
      <c r="B185" s="80">
        <f t="shared" ca="1" si="15"/>
        <v>5</v>
      </c>
      <c r="C185" s="79" t="e">
        <f t="shared" si="14"/>
        <v>#DIV/0!</v>
      </c>
    </row>
    <row r="186" spans="1:3" x14ac:dyDescent="0.25">
      <c r="A186" s="79">
        <v>47</v>
      </c>
      <c r="B186" s="80">
        <f t="shared" ca="1" si="15"/>
        <v>9</v>
      </c>
      <c r="C186" s="79" t="e">
        <f t="shared" si="14"/>
        <v>#DIV/0!</v>
      </c>
    </row>
    <row r="187" spans="1:3" x14ac:dyDescent="0.25">
      <c r="A187" s="79">
        <v>48</v>
      </c>
      <c r="B187" s="80">
        <f t="shared" ca="1" si="15"/>
        <v>6</v>
      </c>
      <c r="C187" s="79" t="e">
        <f t="shared" si="14"/>
        <v>#DIV/0!</v>
      </c>
    </row>
    <row r="188" spans="1:3" x14ac:dyDescent="0.25">
      <c r="A188" s="79">
        <v>49</v>
      </c>
      <c r="B188" s="80">
        <f t="shared" ca="1" si="15"/>
        <v>3</v>
      </c>
      <c r="C188" s="79" t="e">
        <f t="shared" si="14"/>
        <v>#DIV/0!</v>
      </c>
    </row>
    <row r="189" spans="1:3" x14ac:dyDescent="0.25">
      <c r="A189" s="79">
        <v>50</v>
      </c>
      <c r="B189" s="80">
        <f t="shared" ca="1" si="15"/>
        <v>0</v>
      </c>
      <c r="C189" s="79" t="e">
        <f t="shared" si="14"/>
        <v>#DIV/0!</v>
      </c>
    </row>
    <row r="190" spans="1:3" x14ac:dyDescent="0.25">
      <c r="A190" s="79">
        <v>51</v>
      </c>
      <c r="B190" s="80">
        <f t="shared" ca="1" si="15"/>
        <v>2</v>
      </c>
      <c r="C190" s="79" t="e">
        <f t="shared" si="14"/>
        <v>#DIV/0!</v>
      </c>
    </row>
    <row r="191" spans="1:3" x14ac:dyDescent="0.25">
      <c r="A191" s="79">
        <v>52</v>
      </c>
      <c r="B191" s="80">
        <f t="shared" ca="1" si="15"/>
        <v>2</v>
      </c>
      <c r="C191" s="79" t="e">
        <f t="shared" si="14"/>
        <v>#DIV/0!</v>
      </c>
    </row>
    <row r="192" spans="1:3" x14ac:dyDescent="0.25">
      <c r="A192" s="79">
        <v>53</v>
      </c>
      <c r="B192" s="80">
        <f t="shared" ca="1" si="15"/>
        <v>1</v>
      </c>
      <c r="C192" s="79" t="e">
        <f t="shared" si="14"/>
        <v>#DIV/0!</v>
      </c>
    </row>
    <row r="193" spans="1:3" x14ac:dyDescent="0.25">
      <c r="A193" s="79">
        <v>54</v>
      </c>
      <c r="B193" s="80">
        <f t="shared" ca="1" si="15"/>
        <v>2</v>
      </c>
      <c r="C193" s="79" t="e">
        <f t="shared" si="14"/>
        <v>#DIV/0!</v>
      </c>
    </row>
    <row r="194" spans="1:3" x14ac:dyDescent="0.25">
      <c r="A194" s="79">
        <v>55</v>
      </c>
      <c r="B194" s="80">
        <f t="shared" ca="1" si="15"/>
        <v>2</v>
      </c>
      <c r="C194" s="79" t="e">
        <f t="shared" si="14"/>
        <v>#DIV/0!</v>
      </c>
    </row>
    <row r="195" spans="1:3" x14ac:dyDescent="0.25">
      <c r="A195" s="79">
        <v>56</v>
      </c>
      <c r="B195" s="80">
        <f t="shared" ca="1" si="15"/>
        <v>0</v>
      </c>
      <c r="C195" s="79" t="e">
        <f t="shared" si="14"/>
        <v>#DIV/0!</v>
      </c>
    </row>
    <row r="196" spans="1:3" x14ac:dyDescent="0.25">
      <c r="A196" s="79">
        <v>57</v>
      </c>
      <c r="B196" s="80">
        <f t="shared" ca="1" si="15"/>
        <v>0</v>
      </c>
      <c r="C196" s="79" t="e">
        <f t="shared" si="14"/>
        <v>#DIV/0!</v>
      </c>
    </row>
    <row r="197" spans="1:3" x14ac:dyDescent="0.25">
      <c r="A197" s="79">
        <v>58</v>
      </c>
      <c r="B197" s="80">
        <f t="shared" ca="1" si="15"/>
        <v>0</v>
      </c>
      <c r="C197" s="79" t="e">
        <f t="shared" si="14"/>
        <v>#DIV/0!</v>
      </c>
    </row>
    <row r="198" spans="1:3" x14ac:dyDescent="0.25">
      <c r="A198" s="79">
        <v>59</v>
      </c>
      <c r="B198" s="80">
        <f t="shared" ca="1" si="15"/>
        <v>0</v>
      </c>
      <c r="C198" s="79" t="e">
        <f t="shared" si="14"/>
        <v>#DIV/0!</v>
      </c>
    </row>
    <row r="199" spans="1:3" x14ac:dyDescent="0.25">
      <c r="A199" s="79">
        <v>60</v>
      </c>
      <c r="B199" s="80">
        <f t="shared" ca="1" si="15"/>
        <v>1</v>
      </c>
      <c r="C199" s="79" t="e">
        <f t="shared" si="14"/>
        <v>#DIV/0!</v>
      </c>
    </row>
    <row r="200" spans="1:3" x14ac:dyDescent="0.25">
      <c r="A200" s="79">
        <v>61</v>
      </c>
      <c r="B200" s="80">
        <f t="shared" ca="1" si="15"/>
        <v>1</v>
      </c>
      <c r="C200" s="79" t="e">
        <f t="shared" si="14"/>
        <v>#DIV/0!</v>
      </c>
    </row>
    <row r="201" spans="1:3" x14ac:dyDescent="0.25">
      <c r="A201" s="79">
        <v>62</v>
      </c>
      <c r="B201" s="80">
        <f t="shared" ca="1" si="15"/>
        <v>0</v>
      </c>
      <c r="C201" s="79" t="e">
        <f t="shared" si="14"/>
        <v>#DIV/0!</v>
      </c>
    </row>
    <row r="202" spans="1:3" x14ac:dyDescent="0.25">
      <c r="A202" s="79">
        <v>63</v>
      </c>
      <c r="B202" s="80">
        <f t="shared" ca="1" si="15"/>
        <v>0</v>
      </c>
      <c r="C202" s="79" t="e">
        <f t="shared" si="14"/>
        <v>#DIV/0!</v>
      </c>
    </row>
    <row r="203" spans="1:3" x14ac:dyDescent="0.25">
      <c r="A203" s="79">
        <v>64</v>
      </c>
      <c r="B203" s="80">
        <f t="shared" ca="1" si="15"/>
        <v>0</v>
      </c>
      <c r="C203" s="79" t="e">
        <f t="shared" si="14"/>
        <v>#DIV/0!</v>
      </c>
    </row>
    <row r="204" spans="1:3" x14ac:dyDescent="0.25">
      <c r="A204" s="79">
        <v>65</v>
      </c>
      <c r="B204" s="80">
        <f t="shared" ca="1" si="15"/>
        <v>0</v>
      </c>
      <c r="C204" s="79" t="e">
        <f t="shared" si="14"/>
        <v>#DIV/0!</v>
      </c>
    </row>
    <row r="205" spans="1:3" x14ac:dyDescent="0.25">
      <c r="A205" s="79">
        <v>66</v>
      </c>
      <c r="B205" s="80">
        <f t="shared" ca="1" si="15"/>
        <v>1</v>
      </c>
      <c r="C205" s="79" t="e">
        <f t="shared" si="14"/>
        <v>#DIV/0!</v>
      </c>
    </row>
    <row r="206" spans="1:3" x14ac:dyDescent="0.25">
      <c r="A206" s="79">
        <v>67</v>
      </c>
      <c r="B206" s="80">
        <f t="shared" ca="1" si="15"/>
        <v>0</v>
      </c>
      <c r="C206" s="79" t="e">
        <f t="shared" si="14"/>
        <v>#DIV/0!</v>
      </c>
    </row>
    <row r="207" spans="1:3" x14ac:dyDescent="0.25">
      <c r="A207" s="79">
        <v>68</v>
      </c>
      <c r="B207" s="80">
        <f t="shared" ca="1" si="15"/>
        <v>0</v>
      </c>
      <c r="C207" s="79" t="e">
        <f t="shared" si="14"/>
        <v>#DIV/0!</v>
      </c>
    </row>
    <row r="208" spans="1:3" x14ac:dyDescent="0.25">
      <c r="A208" s="79">
        <v>69</v>
      </c>
      <c r="B208" s="80">
        <f t="shared" ca="1" si="15"/>
        <v>0</v>
      </c>
      <c r="C208" s="79" t="e">
        <f t="shared" si="14"/>
        <v>#DIV/0!</v>
      </c>
    </row>
    <row r="209" spans="1:3" x14ac:dyDescent="0.25">
      <c r="A209" s="79">
        <v>70</v>
      </c>
      <c r="B209" s="80">
        <f t="shared" ca="1" si="15"/>
        <v>2</v>
      </c>
      <c r="C209" s="79" t="e">
        <f t="shared" si="14"/>
        <v>#DIV/0!</v>
      </c>
    </row>
    <row r="210" spans="1:3" x14ac:dyDescent="0.25">
      <c r="A210" s="79">
        <v>71</v>
      </c>
      <c r="B210" s="80">
        <f t="shared" ca="1" si="15"/>
        <v>0</v>
      </c>
      <c r="C210" s="79" t="e">
        <f t="shared" si="14"/>
        <v>#DIV/0!</v>
      </c>
    </row>
    <row r="211" spans="1:3" x14ac:dyDescent="0.25">
      <c r="A211" s="79">
        <v>72</v>
      </c>
      <c r="B211" s="80">
        <f t="shared" ca="1" si="15"/>
        <v>0</v>
      </c>
      <c r="C211" s="79" t="e">
        <f t="shared" si="14"/>
        <v>#DIV/0!</v>
      </c>
    </row>
    <row r="212" spans="1:3" x14ac:dyDescent="0.25">
      <c r="A212" s="79">
        <v>73</v>
      </c>
      <c r="B212" s="80">
        <f t="shared" ca="1" si="15"/>
        <v>0</v>
      </c>
      <c r="C212" s="79" t="e">
        <f t="shared" ref="C212:C239" si="16">0/0</f>
        <v>#DIV/0!</v>
      </c>
    </row>
    <row r="213" spans="1:3" x14ac:dyDescent="0.25">
      <c r="A213" s="79">
        <v>74</v>
      </c>
      <c r="B213" s="80">
        <f t="shared" ref="B213:B238" ca="1" si="17">COUNTIFS(follower_list.klout_score,"&gt;="&amp;A213,follower_list.klout_score,"&lt;"&amp;A214)</f>
        <v>0</v>
      </c>
      <c r="C213" s="79" t="e">
        <f t="shared" si="16"/>
        <v>#DIV/0!</v>
      </c>
    </row>
    <row r="214" spans="1:3" x14ac:dyDescent="0.25">
      <c r="A214" s="79">
        <v>75</v>
      </c>
      <c r="B214" s="80">
        <f t="shared" ca="1" si="17"/>
        <v>0</v>
      </c>
      <c r="C214" s="79" t="e">
        <f t="shared" si="16"/>
        <v>#DIV/0!</v>
      </c>
    </row>
    <row r="215" spans="1:3" x14ac:dyDescent="0.25">
      <c r="A215" s="79">
        <v>76</v>
      </c>
      <c r="B215" s="80">
        <f t="shared" ca="1" si="17"/>
        <v>0</v>
      </c>
      <c r="C215" s="79" t="e">
        <f t="shared" si="16"/>
        <v>#DIV/0!</v>
      </c>
    </row>
    <row r="216" spans="1:3" x14ac:dyDescent="0.25">
      <c r="A216" s="79">
        <v>77</v>
      </c>
      <c r="B216" s="80">
        <f t="shared" ca="1" si="17"/>
        <v>0</v>
      </c>
      <c r="C216" s="79" t="e">
        <f t="shared" si="16"/>
        <v>#DIV/0!</v>
      </c>
    </row>
    <row r="217" spans="1:3" x14ac:dyDescent="0.25">
      <c r="A217" s="79">
        <v>78</v>
      </c>
      <c r="B217" s="80">
        <f t="shared" ca="1" si="17"/>
        <v>0</v>
      </c>
      <c r="C217" s="79" t="e">
        <f t="shared" si="16"/>
        <v>#DIV/0!</v>
      </c>
    </row>
    <row r="218" spans="1:3" x14ac:dyDescent="0.25">
      <c r="A218" s="79">
        <v>79</v>
      </c>
      <c r="B218" s="80">
        <f t="shared" ca="1" si="17"/>
        <v>0</v>
      </c>
      <c r="C218" s="79" t="e">
        <f t="shared" si="16"/>
        <v>#DIV/0!</v>
      </c>
    </row>
    <row r="219" spans="1:3" x14ac:dyDescent="0.25">
      <c r="A219" s="79">
        <v>80</v>
      </c>
      <c r="B219" s="80">
        <f t="shared" ca="1" si="17"/>
        <v>0</v>
      </c>
      <c r="C219" s="79" t="e">
        <f t="shared" si="16"/>
        <v>#DIV/0!</v>
      </c>
    </row>
    <row r="220" spans="1:3" x14ac:dyDescent="0.25">
      <c r="A220" s="79">
        <v>81</v>
      </c>
      <c r="B220" s="80">
        <f t="shared" ca="1" si="17"/>
        <v>1</v>
      </c>
      <c r="C220" s="79" t="e">
        <f t="shared" si="16"/>
        <v>#DIV/0!</v>
      </c>
    </row>
    <row r="221" spans="1:3" x14ac:dyDescent="0.25">
      <c r="A221" s="79">
        <v>82</v>
      </c>
      <c r="B221" s="80">
        <f t="shared" ca="1" si="17"/>
        <v>0</v>
      </c>
      <c r="C221" s="79" t="e">
        <f t="shared" si="16"/>
        <v>#DIV/0!</v>
      </c>
    </row>
    <row r="222" spans="1:3" x14ac:dyDescent="0.25">
      <c r="A222" s="79">
        <v>83</v>
      </c>
      <c r="B222" s="80">
        <f t="shared" ca="1" si="17"/>
        <v>0</v>
      </c>
      <c r="C222" s="79" t="e">
        <f t="shared" si="16"/>
        <v>#DIV/0!</v>
      </c>
    </row>
    <row r="223" spans="1:3" x14ac:dyDescent="0.25">
      <c r="A223" s="79">
        <v>84</v>
      </c>
      <c r="B223" s="80">
        <f t="shared" ca="1" si="17"/>
        <v>0</v>
      </c>
      <c r="C223" s="79" t="e">
        <f t="shared" si="16"/>
        <v>#DIV/0!</v>
      </c>
    </row>
    <row r="224" spans="1:3" x14ac:dyDescent="0.25">
      <c r="A224" s="79">
        <v>85</v>
      </c>
      <c r="B224" s="80">
        <f t="shared" ca="1" si="17"/>
        <v>0</v>
      </c>
      <c r="C224" s="79" t="e">
        <f t="shared" si="16"/>
        <v>#DIV/0!</v>
      </c>
    </row>
    <row r="225" spans="1:3" x14ac:dyDescent="0.25">
      <c r="A225" s="79">
        <v>86</v>
      </c>
      <c r="B225" s="80">
        <f t="shared" ca="1" si="17"/>
        <v>0</v>
      </c>
      <c r="C225" s="79" t="e">
        <f t="shared" si="16"/>
        <v>#DIV/0!</v>
      </c>
    </row>
    <row r="226" spans="1:3" x14ac:dyDescent="0.25">
      <c r="A226" s="79">
        <v>87</v>
      </c>
      <c r="B226" s="80">
        <f t="shared" ca="1" si="17"/>
        <v>0</v>
      </c>
      <c r="C226" s="79" t="e">
        <f t="shared" si="16"/>
        <v>#DIV/0!</v>
      </c>
    </row>
    <row r="227" spans="1:3" x14ac:dyDescent="0.25">
      <c r="A227" s="79">
        <v>88</v>
      </c>
      <c r="B227" s="80">
        <f t="shared" ca="1" si="17"/>
        <v>0</v>
      </c>
      <c r="C227" s="79" t="e">
        <f t="shared" si="16"/>
        <v>#DIV/0!</v>
      </c>
    </row>
    <row r="228" spans="1:3" x14ac:dyDescent="0.25">
      <c r="A228" s="79">
        <v>89</v>
      </c>
      <c r="B228" s="80">
        <f t="shared" ca="1" si="17"/>
        <v>0</v>
      </c>
      <c r="C228" s="79" t="e">
        <f t="shared" si="16"/>
        <v>#DIV/0!</v>
      </c>
    </row>
    <row r="229" spans="1:3" x14ac:dyDescent="0.25">
      <c r="A229" s="79">
        <v>90</v>
      </c>
      <c r="B229" s="80">
        <f t="shared" ca="1" si="17"/>
        <v>0</v>
      </c>
      <c r="C229" s="79" t="e">
        <f t="shared" si="16"/>
        <v>#DIV/0!</v>
      </c>
    </row>
    <row r="230" spans="1:3" x14ac:dyDescent="0.25">
      <c r="A230" s="79">
        <v>91</v>
      </c>
      <c r="B230" s="80">
        <f t="shared" ca="1" si="17"/>
        <v>0</v>
      </c>
      <c r="C230" s="79" t="e">
        <f t="shared" si="16"/>
        <v>#DIV/0!</v>
      </c>
    </row>
    <row r="231" spans="1:3" x14ac:dyDescent="0.25">
      <c r="A231" s="79">
        <v>92</v>
      </c>
      <c r="B231" s="80">
        <f t="shared" ca="1" si="17"/>
        <v>0</v>
      </c>
      <c r="C231" s="79" t="e">
        <f t="shared" si="16"/>
        <v>#DIV/0!</v>
      </c>
    </row>
    <row r="232" spans="1:3" x14ac:dyDescent="0.25">
      <c r="A232" s="79">
        <v>93</v>
      </c>
      <c r="B232" s="80">
        <f t="shared" ca="1" si="17"/>
        <v>0</v>
      </c>
      <c r="C232" s="79" t="e">
        <f t="shared" si="16"/>
        <v>#DIV/0!</v>
      </c>
    </row>
    <row r="233" spans="1:3" x14ac:dyDescent="0.25">
      <c r="A233" s="79">
        <v>94</v>
      </c>
      <c r="B233" s="80">
        <f t="shared" ca="1" si="17"/>
        <v>0</v>
      </c>
      <c r="C233" s="79" t="e">
        <f t="shared" si="16"/>
        <v>#DIV/0!</v>
      </c>
    </row>
    <row r="234" spans="1:3" x14ac:dyDescent="0.25">
      <c r="A234" s="79">
        <v>95</v>
      </c>
      <c r="B234" s="80">
        <f t="shared" ca="1" si="17"/>
        <v>0</v>
      </c>
      <c r="C234" s="79" t="e">
        <f t="shared" si="16"/>
        <v>#DIV/0!</v>
      </c>
    </row>
    <row r="235" spans="1:3" x14ac:dyDescent="0.25">
      <c r="A235" s="79">
        <v>96</v>
      </c>
      <c r="B235" s="80">
        <f t="shared" ca="1" si="17"/>
        <v>0</v>
      </c>
      <c r="C235" s="79" t="e">
        <f t="shared" si="16"/>
        <v>#DIV/0!</v>
      </c>
    </row>
    <row r="236" spans="1:3" x14ac:dyDescent="0.25">
      <c r="A236" s="79">
        <v>97</v>
      </c>
      <c r="B236" s="80">
        <f t="shared" ca="1" si="17"/>
        <v>0</v>
      </c>
      <c r="C236" s="79" t="e">
        <f t="shared" si="16"/>
        <v>#DIV/0!</v>
      </c>
    </row>
    <row r="237" spans="1:3" x14ac:dyDescent="0.25">
      <c r="A237" s="79">
        <v>98</v>
      </c>
      <c r="B237" s="80">
        <f t="shared" ca="1" si="17"/>
        <v>0</v>
      </c>
      <c r="C237" s="79" t="e">
        <f t="shared" si="16"/>
        <v>#DIV/0!</v>
      </c>
    </row>
    <row r="238" spans="1:3" x14ac:dyDescent="0.25">
      <c r="A238" s="79">
        <v>99</v>
      </c>
      <c r="B238" s="80">
        <f t="shared" ca="1" si="17"/>
        <v>0</v>
      </c>
      <c r="C238" s="79" t="e">
        <f t="shared" si="16"/>
        <v>#DIV/0!</v>
      </c>
    </row>
    <row r="239" spans="1:3" x14ac:dyDescent="0.25">
      <c r="A239" s="86">
        <v>100</v>
      </c>
      <c r="B239" s="87">
        <f ca="1">COUNTIFS(follower_list.klout_score,"="&amp;A239)</f>
        <v>0</v>
      </c>
      <c r="C239" s="224" t="e">
        <f t="shared" si="16"/>
        <v>#DIV/0!</v>
      </c>
    </row>
    <row r="242" spans="1:9" x14ac:dyDescent="0.25">
      <c r="A242" s="6" t="s">
        <v>453</v>
      </c>
      <c r="B242" s="75"/>
      <c r="C242" s="75"/>
      <c r="D242" s="75"/>
      <c r="E242" s="75"/>
      <c r="F242" s="75"/>
      <c r="G242" s="75"/>
      <c r="H242" s="75"/>
      <c r="I242" s="75"/>
    </row>
    <row r="244" spans="1:9" x14ac:dyDescent="0.25">
      <c r="B244" s="131" t="s">
        <v>340</v>
      </c>
      <c r="C244" s="132" t="s">
        <v>406</v>
      </c>
      <c r="D244" s="133" t="s">
        <v>333</v>
      </c>
    </row>
    <row r="245" spans="1:9" x14ac:dyDescent="0.25">
      <c r="A245" s="152">
        <f ca="1">LARGE(column_to_sort2,ROWS(A245:$A$264))</f>
        <v>1</v>
      </c>
      <c r="B245" s="151" t="str">
        <f t="array" aca="1" ref="B245" ca="1">IFERROR(INDEX(topics.topic,SMALL(IF(A245=column_to_sort2,ROW(column_to_sort2)-ROW(Topics!$A$1),""),COUNTIF($A$245:A245,A245)),1),"")</f>
        <v>labs</v>
      </c>
      <c r="C245" s="153">
        <f t="shared" ref="C245:C264" ca="1" si="18">IFERROR(INDEX(topics.count,MATCH($B245,topics.topic,0),1),"")</f>
        <v>1</v>
      </c>
      <c r="D245" s="157">
        <f t="shared" ref="D245:D264" ca="1" si="19">IFERROR(INDEX(topics.pct_total_matches,MATCH($B245,topics.topic,0),1),"")</f>
        <v>6.6666666666666671E-3</v>
      </c>
      <c r="F245" s="196" t="s">
        <v>450</v>
      </c>
      <c r="G245" t="s">
        <v>332</v>
      </c>
    </row>
    <row r="246" spans="1:9" x14ac:dyDescent="0.25">
      <c r="A246" s="152">
        <f ca="1">LARGE(column_to_sort2,ROWS(A246:$A$264))</f>
        <v>1</v>
      </c>
      <c r="B246" s="3" t="str">
        <f t="array" aca="1" ref="B246" ca="1">IFERROR(INDEX(topics.topic,SMALL(IF(A246=column_to_sort2,ROW(column_to_sort2)-ROW(Topics!$A$1),""),COUNTIF($A$245:A246,A246)),1),"")</f>
        <v>geo</v>
      </c>
      <c r="C246" s="126">
        <f t="shared" ca="1" si="18"/>
        <v>1</v>
      </c>
      <c r="D246" s="158">
        <f t="shared" ca="1" si="19"/>
        <v>6.6666666666666671E-3</v>
      </c>
    </row>
    <row r="247" spans="1:9" x14ac:dyDescent="0.25">
      <c r="A247" s="152">
        <f ca="1">LARGE(column_to_sort2,ROWS(A247:$A$264))</f>
        <v>1</v>
      </c>
      <c r="B247" s="3" t="str">
        <f t="array" aca="1" ref="B247" ca="1">IFERROR(INDEX(topics.topic,SMALL(IF(A247=column_to_sort2,ROW(column_to_sort2)-ROW(Topics!$A$1),""),COUNTIF($A$245:A247,A247)),1),"")</f>
        <v>olympics</v>
      </c>
      <c r="C247" s="126">
        <f t="shared" ca="1" si="18"/>
        <v>1</v>
      </c>
      <c r="D247" s="158">
        <f t="shared" ca="1" si="19"/>
        <v>6.6666666666666671E-3</v>
      </c>
    </row>
    <row r="248" spans="1:9" x14ac:dyDescent="0.25">
      <c r="A248" s="152">
        <f ca="1">LARGE(column_to_sort2,ROWS(A248:$A$264))</f>
        <v>1</v>
      </c>
      <c r="B248" s="3" t="str">
        <f t="array" aca="1" ref="B248" ca="1">IFERROR(INDEX(topics.topic,SMALL(IF(A248=column_to_sort2,ROW(column_to_sort2)-ROW(Topics!$A$1),""),COUNTIF($A$245:A248,A248)),1),"")</f>
        <v>geography</v>
      </c>
      <c r="C248" s="126">
        <f t="shared" ca="1" si="18"/>
        <v>1</v>
      </c>
      <c r="D248" s="158">
        <f t="shared" ca="1" si="19"/>
        <v>6.6666666666666671E-3</v>
      </c>
    </row>
    <row r="249" spans="1:9" x14ac:dyDescent="0.25">
      <c r="A249" s="152">
        <f ca="1">LARGE(column_to_sort2,ROWS(A249:$A$264))</f>
        <v>1</v>
      </c>
      <c r="B249" s="3" t="str">
        <f t="array" aca="1" ref="B249" ca="1">IFERROR(INDEX(topics.topic,SMALL(IF(A249=column_to_sort2,ROW(column_to_sort2)-ROW(Topics!$A$1),""),COUNTIF($A$245:A249,A249)),1),"")</f>
        <v>3d</v>
      </c>
      <c r="C249" s="126">
        <f t="shared" ca="1" si="18"/>
        <v>1</v>
      </c>
      <c r="D249" s="158">
        <f t="shared" ca="1" si="19"/>
        <v>6.6666666666666671E-3</v>
      </c>
    </row>
    <row r="250" spans="1:9" x14ac:dyDescent="0.25">
      <c r="A250" s="152">
        <f ca="1">LARGE(column_to_sort2,ROWS(A250:$A$264))</f>
        <v>1</v>
      </c>
      <c r="B250" s="3" t="str">
        <f t="array" aca="1" ref="B250" ca="1">IFERROR(INDEX(topics.topic,SMALL(IF(A250=column_to_sort2,ROW(column_to_sort2)-ROW(Topics!$A$1),""),COUNTIF($A$245:A250,A250)),1),"")</f>
        <v>france</v>
      </c>
      <c r="C250" s="126">
        <f t="shared" ca="1" si="18"/>
        <v>1</v>
      </c>
      <c r="D250" s="158">
        <f t="shared" ca="1" si="19"/>
        <v>6.6666666666666671E-3</v>
      </c>
    </row>
    <row r="251" spans="1:9" x14ac:dyDescent="0.25">
      <c r="A251" s="152">
        <f ca="1">LARGE(column_to_sort2,ROWS(A251:$A$264))</f>
        <v>2</v>
      </c>
      <c r="B251" s="3" t="str">
        <f t="array" aca="1" ref="B251" ca="1">IFERROR(INDEX(topics.topic,SMALL(IF(A251=column_to_sort2,ROW(column_to_sort2)-ROW(Topics!$A$1),""),COUNTIF($A$245:A251,A251)),1),"")</f>
        <v>academics</v>
      </c>
      <c r="C251" s="126">
        <f t="shared" ca="1" si="18"/>
        <v>2</v>
      </c>
      <c r="D251" s="158">
        <f t="shared" ca="1" si="19"/>
        <v>1.3333333333333334E-2</v>
      </c>
    </row>
    <row r="252" spans="1:9" x14ac:dyDescent="0.25">
      <c r="A252" s="152">
        <f ca="1">LARGE(column_to_sort2,ROWS(A252:$A$264))</f>
        <v>2</v>
      </c>
      <c r="B252" s="3" t="str">
        <f t="array" aca="1" ref="B252" ca="1">IFERROR(INDEX(topics.topic,SMALL(IF(A252=column_to_sort2,ROW(column_to_sort2)-ROW(Topics!$A$1),""),COUNTIF($A$245:A252,A252)),1),"")</f>
        <v>stock market</v>
      </c>
      <c r="C252" s="126">
        <f t="shared" ca="1" si="18"/>
        <v>2</v>
      </c>
      <c r="D252" s="158">
        <f t="shared" ca="1" si="19"/>
        <v>1.3333333333333334E-2</v>
      </c>
    </row>
    <row r="253" spans="1:9" x14ac:dyDescent="0.25">
      <c r="A253" s="152">
        <f ca="1">LARGE(column_to_sort2,ROWS(A253:$A$264))</f>
        <v>2</v>
      </c>
      <c r="B253" s="3" t="str">
        <f t="array" aca="1" ref="B253" ca="1">IFERROR(INDEX(topics.topic,SMALL(IF(A253=column_to_sort2,ROW(column_to_sort2)-ROW(Topics!$A$1),""),COUNTIF($A$245:A253,A253)),1),"")</f>
        <v>yammer</v>
      </c>
      <c r="C253" s="126">
        <f t="shared" ca="1" si="18"/>
        <v>2</v>
      </c>
      <c r="D253" s="158">
        <f t="shared" ca="1" si="19"/>
        <v>1.3333333333333334E-2</v>
      </c>
    </row>
    <row r="254" spans="1:9" x14ac:dyDescent="0.25">
      <c r="A254" s="152">
        <f ca="1">LARGE(column_to_sort2,ROWS(A254:$A$264))</f>
        <v>2</v>
      </c>
      <c r="B254" s="3" t="str">
        <f t="array" aca="1" ref="B254" ca="1">IFERROR(INDEX(topics.topic,SMALL(IF(A254=column_to_sort2,ROW(column_to_sort2)-ROW(Topics!$A$1),""),COUNTIF($A$245:A254,A254)),1),"")</f>
        <v>nutrition</v>
      </c>
      <c r="C254" s="126">
        <f t="shared" ca="1" si="18"/>
        <v>2</v>
      </c>
      <c r="D254" s="158">
        <f t="shared" ca="1" si="19"/>
        <v>1.3333333333333334E-2</v>
      </c>
    </row>
    <row r="255" spans="1:9" x14ac:dyDescent="0.25">
      <c r="A255" s="152">
        <f ca="1">LARGE(column_to_sort2,ROWS(A255:$A$264))</f>
        <v>2</v>
      </c>
      <c r="B255" s="3" t="str">
        <f t="array" aca="1" ref="B255" ca="1">IFERROR(INDEX(topics.topic,SMALL(IF(A255=column_to_sort2,ROW(column_to_sort2)-ROW(Topics!$A$1),""),COUNTIF($A$245:A255,A255)),1),"")</f>
        <v>facebook</v>
      </c>
      <c r="C255" s="126">
        <f t="shared" ca="1" si="18"/>
        <v>2</v>
      </c>
      <c r="D255" s="158">
        <f t="shared" ca="1" si="19"/>
        <v>1.3333333333333334E-2</v>
      </c>
    </row>
    <row r="256" spans="1:9" x14ac:dyDescent="0.25">
      <c r="A256" s="152">
        <f ca="1">LARGE(column_to_sort2,ROWS(A256:$A$264))</f>
        <v>2</v>
      </c>
      <c r="B256" s="3" t="str">
        <f t="array" aca="1" ref="B256" ca="1">IFERROR(INDEX(topics.topic,SMALL(IF(A256=column_to_sort2,ROW(column_to_sort2)-ROW(Topics!$A$1),""),COUNTIF($A$245:A256,A256)),1),"")</f>
        <v>russia</v>
      </c>
      <c r="C256" s="126">
        <f t="shared" ca="1" si="18"/>
        <v>2</v>
      </c>
      <c r="D256" s="158">
        <f t="shared" ca="1" si="19"/>
        <v>1.3333333333333334E-2</v>
      </c>
    </row>
    <row r="257" spans="1:9" x14ac:dyDescent="0.25">
      <c r="A257" s="152">
        <f ca="1">LARGE(column_to_sort2,ROWS(A257:$A$264))</f>
        <v>2</v>
      </c>
      <c r="B257" s="3" t="str">
        <f t="array" aca="1" ref="B257" ca="1">IFERROR(INDEX(topics.topic,SMALL(IF(A257=column_to_sort2,ROW(column_to_sort2)-ROW(Topics!$A$1),""),COUNTIF($A$245:A257,A257)),1),"")</f>
        <v>investing</v>
      </c>
      <c r="C257" s="126">
        <f t="shared" ca="1" si="18"/>
        <v>2</v>
      </c>
      <c r="D257" s="158">
        <f t="shared" ca="1" si="19"/>
        <v>1.3333333333333334E-2</v>
      </c>
    </row>
    <row r="258" spans="1:9" x14ac:dyDescent="0.25">
      <c r="A258" s="152">
        <f ca="1">LARGE(column_to_sort2,ROWS(A258:$A$264))</f>
        <v>2</v>
      </c>
      <c r="B258" s="3" t="str">
        <f t="array" aca="1" ref="B258" ca="1">IFERROR(INDEX(topics.topic,SMALL(IF(A258=column_to_sort2,ROW(column_to_sort2)-ROW(Topics!$A$1),""),COUNTIF($A$245:A258,A258)),1),"")</f>
        <v>photography</v>
      </c>
      <c r="C258" s="126">
        <f t="shared" ca="1" si="18"/>
        <v>2</v>
      </c>
      <c r="D258" s="158">
        <f t="shared" ca="1" si="19"/>
        <v>1.3333333333333334E-2</v>
      </c>
    </row>
    <row r="259" spans="1:9" x14ac:dyDescent="0.25">
      <c r="A259" s="152">
        <f ca="1">LARGE(column_to_sort2,ROWS(A259:$A$264))</f>
        <v>2</v>
      </c>
      <c r="B259" s="3" t="str">
        <f t="array" aca="1" ref="B259" ca="1">IFERROR(INDEX(topics.topic,SMALL(IF(A259=column_to_sort2,ROW(column_to_sort2)-ROW(Topics!$A$1),""),COUNTIF($A$245:A259,A259)),1),"")</f>
        <v>united nations</v>
      </c>
      <c r="C259" s="126">
        <f t="shared" ca="1" si="18"/>
        <v>2</v>
      </c>
      <c r="D259" s="158">
        <f t="shared" ca="1" si="19"/>
        <v>1.3333333333333334E-2</v>
      </c>
    </row>
    <row r="260" spans="1:9" x14ac:dyDescent="0.25">
      <c r="A260" s="152">
        <f ca="1">LARGE(column_to_sort2,ROWS(A260:$A$264))</f>
        <v>2</v>
      </c>
      <c r="B260" s="3" t="str">
        <f t="array" aca="1" ref="B260" ca="1">IFERROR(INDEX(topics.topic,SMALL(IF(A260=column_to_sort2,ROW(column_to_sort2)-ROW(Topics!$A$1),""),COUNTIF($A$245:A260,A260)),1),"")</f>
        <v>advertising</v>
      </c>
      <c r="C260" s="126">
        <f t="shared" ca="1" si="18"/>
        <v>2</v>
      </c>
      <c r="D260" s="158">
        <f t="shared" ca="1" si="19"/>
        <v>1.3333333333333334E-2</v>
      </c>
    </row>
    <row r="261" spans="1:9" x14ac:dyDescent="0.25">
      <c r="A261" s="152">
        <f ca="1">LARGE(column_to_sort2,ROWS(A261:$A$264))</f>
        <v>3</v>
      </c>
      <c r="B261" s="3" t="str">
        <f t="array" aca="1" ref="B261" ca="1">IFERROR(INDEX(topics.topic,SMALL(IF(A261=column_to_sort2,ROW(column_to_sort2)-ROW(Topics!$A$1),""),COUNTIF($A$245:A261,A261)),1),"")</f>
        <v>video</v>
      </c>
      <c r="C261" s="126">
        <f t="shared" ca="1" si="18"/>
        <v>3</v>
      </c>
      <c r="D261" s="158">
        <f t="shared" ca="1" si="19"/>
        <v>0.02</v>
      </c>
    </row>
    <row r="262" spans="1:9" x14ac:dyDescent="0.25">
      <c r="A262" s="152">
        <f ca="1">LARGE(column_to_sort2,ROWS(A262:$A$264))</f>
        <v>3</v>
      </c>
      <c r="B262" s="3" t="str">
        <f t="array" aca="1" ref="B262" ca="1">IFERROR(INDEX(topics.topic,SMALL(IF(A262=column_to_sort2,ROW(column_to_sort2)-ROW(Topics!$A$1),""),COUNTIF($A$245:A262,A262)),1),"")</f>
        <v>economics</v>
      </c>
      <c r="C262" s="126">
        <f t="shared" ca="1" si="18"/>
        <v>3</v>
      </c>
      <c r="D262" s="158">
        <f t="shared" ca="1" si="19"/>
        <v>0.02</v>
      </c>
    </row>
    <row r="263" spans="1:9" x14ac:dyDescent="0.25">
      <c r="A263" s="152">
        <f ca="1">LARGE(column_to_sort2,ROWS(A263:$A$264))</f>
        <v>4</v>
      </c>
      <c r="B263" s="3" t="str">
        <f t="array" aca="1" ref="B263" ca="1">IFERROR(INDEX(topics.topic,SMALL(IF(A263=column_to_sort2,ROW(column_to_sort2)-ROW(Topics!$A$1),""),COUNTIF($A$245:A263,A263)),1),"")</f>
        <v>agriculture</v>
      </c>
      <c r="C263" s="126">
        <f t="shared" ca="1" si="18"/>
        <v>4</v>
      </c>
      <c r="D263" s="158">
        <f t="shared" ca="1" si="19"/>
        <v>2.6666666666666668E-2</v>
      </c>
    </row>
    <row r="264" spans="1:9" x14ac:dyDescent="0.25">
      <c r="A264" s="152">
        <f ca="1">LARGE(column_to_sort2,ROWS(A264:$A$264))</f>
        <v>11</v>
      </c>
      <c r="B264" s="119" t="str">
        <f t="array" aca="1" ref="B264" ca="1">IFERROR(INDEX(topics.topic,SMALL(IF(A264=column_to_sort2,ROW(column_to_sort2)-ROW(Topics!$A$1),""),COUNTIF($A$245:A264,A264)),1),"")</f>
        <v>food</v>
      </c>
      <c r="C264" s="130">
        <f t="shared" ca="1" si="18"/>
        <v>11</v>
      </c>
      <c r="D264" s="159">
        <f t="shared" ca="1" si="19"/>
        <v>7.3333333333333334E-2</v>
      </c>
    </row>
    <row r="266" spans="1:9" x14ac:dyDescent="0.25">
      <c r="A266" s="134"/>
      <c r="B266" s="121" t="s">
        <v>396</v>
      </c>
      <c r="C266" s="122" t="s">
        <v>397</v>
      </c>
      <c r="D266" s="122" t="s">
        <v>370</v>
      </c>
      <c r="E266" s="123" t="s">
        <v>369</v>
      </c>
    </row>
    <row r="267" spans="1:9" x14ac:dyDescent="0.25">
      <c r="A267" s="134" t="s">
        <v>332</v>
      </c>
      <c r="B267" s="57">
        <v>1</v>
      </c>
      <c r="C267" s="59">
        <v>1</v>
      </c>
      <c r="D267" s="59">
        <f ca="1">COUNT(follower_list.created_at)</f>
        <v>150</v>
      </c>
      <c r="E267" s="62">
        <v>1</v>
      </c>
    </row>
    <row r="268" spans="1:9" x14ac:dyDescent="0.25">
      <c r="A268" s="136" t="s">
        <v>6</v>
      </c>
      <c r="B268" s="95">
        <v>1</v>
      </c>
      <c r="C268" s="96">
        <v>3</v>
      </c>
      <c r="D268" s="96">
        <f ca="1">COUNT(follower_list.created_at)</f>
        <v>150</v>
      </c>
      <c r="E268" s="97">
        <v>1</v>
      </c>
    </row>
    <row r="271" spans="1:9" x14ac:dyDescent="0.25">
      <c r="A271" s="6" t="s">
        <v>483</v>
      </c>
      <c r="B271" s="75"/>
      <c r="C271" s="75"/>
      <c r="D271" s="75"/>
      <c r="E271" s="75"/>
      <c r="F271" s="75"/>
      <c r="G271" s="75"/>
      <c r="H271" s="75"/>
      <c r="I271" s="75"/>
    </row>
    <row r="272" spans="1:9" x14ac:dyDescent="0.25">
      <c r="A272" s="151" t="s">
        <v>479</v>
      </c>
      <c r="B272" s="234">
        <f ca="1">IF(MAX(user.followers)=0,"N/A",MAX(user.followers))</f>
        <v>150</v>
      </c>
      <c r="C272" s="212">
        <f ca="1">INDEX(user.date,MATCH(B272,user.followers,0))</f>
        <v>42782</v>
      </c>
    </row>
    <row r="273" spans="1:9" x14ac:dyDescent="0.25">
      <c r="A273" s="119" t="s">
        <v>480</v>
      </c>
      <c r="B273" s="235">
        <f ca="1">IF(MAX(user.followers)=0,"N/A",MIN(user.followers))</f>
        <v>150</v>
      </c>
      <c r="C273" s="213">
        <f ca="1">INDEX(user.date,MATCH(B273,user.followers,0))</f>
        <v>42782</v>
      </c>
    </row>
    <row r="274" spans="1:9" x14ac:dyDescent="0.25">
      <c r="A274" s="225" t="s">
        <v>481</v>
      </c>
      <c r="B274" s="236">
        <f t="array" aca="1" ref="B274" ca="1">MAX(IF(ISNUMBER(tables.highestfollowerschange),tables.highestfollowerschange))</f>
        <v>0</v>
      </c>
      <c r="C274" s="226" t="e">
        <f ca="1">INDEX(tables.day,MATCH(B274,tables.highestfollowerschange,0))</f>
        <v>#N/A</v>
      </c>
    </row>
    <row r="275" spans="1:9" x14ac:dyDescent="0.25">
      <c r="A275" s="3" t="s">
        <v>484</v>
      </c>
      <c r="B275" s="234">
        <f ca="1">IFERROR(INDEX(user.followers,MATCH(MIN(user.date),user.date,0),1),0)</f>
        <v>150</v>
      </c>
    </row>
    <row r="276" spans="1:9" x14ac:dyDescent="0.25">
      <c r="A276" s="3" t="s">
        <v>485</v>
      </c>
      <c r="B276" s="235">
        <f ca="1">IFERROR(INDEX(user.followers,MATCH(MAX(user.date),user.date,0),1),0)</f>
        <v>150</v>
      </c>
    </row>
    <row r="277" spans="1:9" x14ac:dyDescent="0.25">
      <c r="A277" s="151"/>
      <c r="B277" s="197"/>
      <c r="C277" s="210" t="str">
        <f ca="1">IF(C278&lt;&gt;"","↑","")</f>
        <v/>
      </c>
      <c r="D277" s="211"/>
      <c r="E277" s="206" t="str">
        <f ca="1">IF(E278&lt;&gt;"","↓","")</f>
        <v/>
      </c>
    </row>
    <row r="278" spans="1:9" x14ac:dyDescent="0.25">
      <c r="A278" s="119" t="s">
        <v>486</v>
      </c>
      <c r="B278" s="235">
        <f ca="1">B276-B275</f>
        <v>0</v>
      </c>
      <c r="C278" s="236" t="str">
        <f ca="1">IF(B278&gt;0,ABS(B278),"")</f>
        <v/>
      </c>
      <c r="D278" s="207">
        <f ca="1">IF(B278=0,B278,"")</f>
        <v>0</v>
      </c>
      <c r="E278" s="208" t="str">
        <f ca="1">IF(B278&lt;0,ABS(B278),"")</f>
        <v/>
      </c>
    </row>
    <row r="279" spans="1:9" x14ac:dyDescent="0.25">
      <c r="A279" s="3" t="s">
        <v>487</v>
      </c>
      <c r="B279" s="199" t="str">
        <f ca="1">IF(B276&gt;B275,"has increased",IF(B276&lt;B275,"has decreased",IF(B276=B275,"is unchanged")))</f>
        <v>is unchanged</v>
      </c>
    </row>
    <row r="280" spans="1:9" x14ac:dyDescent="0.25">
      <c r="A280" s="119"/>
      <c r="B280" s="200" t="str">
        <f>"since "&amp;TEXT(Controls!E32,"m/d/yyyy")</f>
        <v>since 2/9/2017</v>
      </c>
    </row>
    <row r="283" spans="1:9" x14ac:dyDescent="0.25">
      <c r="A283" s="6" t="s">
        <v>454</v>
      </c>
      <c r="B283" s="75"/>
      <c r="C283" s="75"/>
      <c r="D283" s="75"/>
      <c r="E283" s="75"/>
      <c r="F283" s="75"/>
      <c r="G283" s="75"/>
      <c r="H283" s="75"/>
      <c r="I283" s="75"/>
    </row>
    <row r="284" spans="1:9" x14ac:dyDescent="0.25">
      <c r="A284" s="151" t="s">
        <v>412</v>
      </c>
      <c r="B284" s="197">
        <f ca="1">IF(MAX(klout.klout_score)=0,"N/A",MAX(klout.klout_score))</f>
        <v>27.489000000000001</v>
      </c>
      <c r="C284" s="212">
        <f ca="1">INDEX(klout.date,MATCH(B284,klout.klout_score,0))</f>
        <v>42782</v>
      </c>
    </row>
    <row r="285" spans="1:9" x14ac:dyDescent="0.25">
      <c r="A285" s="119" t="s">
        <v>413</v>
      </c>
      <c r="B285" s="209">
        <f ca="1">IF(MAX(klout.klout_score)=0,"N/A",MIN(klout.klout_score))</f>
        <v>27.489000000000001</v>
      </c>
      <c r="C285" s="213">
        <f ca="1">INDEX(klout.date,MATCH(B285,klout.klout_score,0))</f>
        <v>42782</v>
      </c>
    </row>
    <row r="286" spans="1:9" x14ac:dyDescent="0.25">
      <c r="A286" s="225" t="s">
        <v>482</v>
      </c>
      <c r="B286" s="227">
        <f t="array" aca="1" ref="B286" ca="1">MAX(IF(ISNUMBER(tables.highestkloutchange),tables.highestkloutchange))</f>
        <v>0</v>
      </c>
      <c r="C286" s="226" t="e">
        <f ca="1">INDEX(tables.day,MATCH(B286,tables.highestkloutchange,0))</f>
        <v>#N/A</v>
      </c>
    </row>
    <row r="287" spans="1:9" x14ac:dyDescent="0.25">
      <c r="A287" s="3" t="s">
        <v>455</v>
      </c>
      <c r="B287" s="198">
        <f ca="1">IFERROR(INDEX(klout.klout_score,MATCH(MIN(klout.date),klout.date,0),1),0)</f>
        <v>27.489000000000001</v>
      </c>
    </row>
    <row r="288" spans="1:9" x14ac:dyDescent="0.25">
      <c r="A288" s="3" t="s">
        <v>456</v>
      </c>
      <c r="B288" s="198">
        <f ca="1">IFERROR(INDEX(klout.klout_score,MATCH(MAX(klout.date),klout.date,0),1),0)</f>
        <v>27.489000000000001</v>
      </c>
    </row>
    <row r="289" spans="1:14" x14ac:dyDescent="0.25">
      <c r="A289" s="151"/>
      <c r="B289" s="197"/>
      <c r="C289" s="210" t="str">
        <f ca="1">IF(C290&lt;&gt;"","↑","")</f>
        <v/>
      </c>
      <c r="D289" s="211"/>
      <c r="E289" s="206" t="str">
        <f ca="1">IF(E290&lt;&gt;"","↓","")</f>
        <v/>
      </c>
    </row>
    <row r="290" spans="1:14" x14ac:dyDescent="0.25">
      <c r="A290" s="119" t="s">
        <v>458</v>
      </c>
      <c r="B290" s="209">
        <f ca="1">B288-B287</f>
        <v>0</v>
      </c>
      <c r="C290" s="207" t="str">
        <f ca="1">IF(B290&gt;0,ABS(B290),"")</f>
        <v/>
      </c>
      <c r="D290" s="207">
        <f ca="1">IF(B290=0,B290,"")</f>
        <v>0</v>
      </c>
      <c r="E290" s="208" t="str">
        <f ca="1">IF(B290&lt;0,ABS(B290),"")</f>
        <v/>
      </c>
    </row>
    <row r="291" spans="1:14" x14ac:dyDescent="0.25">
      <c r="A291" s="3" t="s">
        <v>457</v>
      </c>
      <c r="B291" s="199" t="str">
        <f ca="1">IF(B288&gt;B287,"has increased",IF(B288&lt;B287,"has decreased",IF(B288=B287,"is unchanged")))</f>
        <v>is unchanged</v>
      </c>
    </row>
    <row r="292" spans="1:14" x14ac:dyDescent="0.25">
      <c r="A292" s="119"/>
      <c r="B292" s="200" t="str">
        <f>"since "&amp;TEXT(Controls!E32,"m/d/yyyy")</f>
        <v>since 2/9/2017</v>
      </c>
    </row>
    <row r="295" spans="1:14" s="4" customFormat="1" x14ac:dyDescent="0.25">
      <c r="A295" s="6" t="s">
        <v>421</v>
      </c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137"/>
    </row>
    <row r="296" spans="1:14" s="4" customFormat="1" x14ac:dyDescent="0.25">
      <c r="A296" s="98"/>
      <c r="B296" s="61"/>
      <c r="C296" s="59"/>
      <c r="D296" s="59"/>
      <c r="E296" s="59"/>
      <c r="F296" s="63"/>
      <c r="G296" s="63"/>
      <c r="H296" s="63"/>
      <c r="I296" s="63"/>
      <c r="J296" s="66"/>
      <c r="K296" s="59"/>
      <c r="L296" s="65"/>
      <c r="M296" s="59"/>
    </row>
    <row r="297" spans="1:14" s="4" customFormat="1" x14ac:dyDescent="0.25">
      <c r="A297" s="98"/>
      <c r="B297" s="61"/>
      <c r="C297" s="59"/>
      <c r="D297" s="59"/>
      <c r="E297" s="59"/>
      <c r="F297" s="63"/>
      <c r="G297" s="63"/>
      <c r="H297" s="63"/>
      <c r="I297" s="63"/>
      <c r="J297" s="66"/>
      <c r="K297" s="304" t="s">
        <v>419</v>
      </c>
      <c r="L297" s="305"/>
      <c r="M297" s="305"/>
      <c r="N297" s="306"/>
    </row>
    <row r="298" spans="1:14" x14ac:dyDescent="0.25">
      <c r="A298" s="143" t="s">
        <v>337</v>
      </c>
      <c r="B298" s="144" t="s">
        <v>336</v>
      </c>
      <c r="C298" s="144" t="s">
        <v>335</v>
      </c>
      <c r="D298" s="145" t="s">
        <v>433</v>
      </c>
      <c r="E298" s="146" t="s">
        <v>461</v>
      </c>
      <c r="F298" s="147" t="s">
        <v>334</v>
      </c>
      <c r="G298" s="148" t="s">
        <v>333</v>
      </c>
      <c r="H298" s="148" t="s">
        <v>332</v>
      </c>
      <c r="I298" s="148" t="s">
        <v>333</v>
      </c>
      <c r="J298" s="149" t="s">
        <v>332</v>
      </c>
      <c r="K298" s="147" t="s">
        <v>331</v>
      </c>
      <c r="L298" s="145" t="s">
        <v>110</v>
      </c>
      <c r="M298" s="150" t="s">
        <v>333</v>
      </c>
      <c r="N298" s="146" t="s">
        <v>332</v>
      </c>
    </row>
    <row r="299" spans="1:14" x14ac:dyDescent="0.25">
      <c r="A299" s="98" t="s">
        <v>44</v>
      </c>
      <c r="B299" s="59" t="s">
        <v>330</v>
      </c>
      <c r="C299" s="59" t="s">
        <v>328</v>
      </c>
      <c r="D299" s="93">
        <f t="shared" ref="D299:D330" ca="1" si="20">COUNTIF(follower_list.time_zone,A299)</f>
        <v>0</v>
      </c>
      <c r="E299" s="99">
        <f ca="1">COUNTIFS(follower_list.time_zone,A299,follower_list.klout_score,"&gt;="&amp;Calculations!$B$441)</f>
        <v>0</v>
      </c>
      <c r="F299" s="108" t="s">
        <v>315</v>
      </c>
      <c r="G299" s="106">
        <f t="shared" ref="G299:G331" ca="1" si="21">H299/SUM($H$299:$H$331)</f>
        <v>0</v>
      </c>
      <c r="H299" s="104">
        <f t="shared" ref="H299:H331" ca="1" si="22">SUMIFS(calculations.zone_followers,$C$299:$C$439,$F299)</f>
        <v>0</v>
      </c>
      <c r="I299" s="106">
        <f t="shared" ref="I299:I331" ca="1" si="23">J299/SUM($J$299:$J$331)</f>
        <v>0</v>
      </c>
      <c r="J299" s="109">
        <f t="shared" ref="J299:J331" ca="1" si="24">SUMIFS(calculations.influencers,$C$299:$C$439,$F299)</f>
        <v>0</v>
      </c>
      <c r="K299" s="64">
        <v>1</v>
      </c>
      <c r="L299" s="59" t="str">
        <f t="array" aca="1" ref="L299" ca="1">INDEX($F$299:$F$331,SMALL(IF(N299=$H$299:$H$331,ROW($H$299:$H$331)-ROW($H$299)+1,""),COUNTIF($N$299:N299,N299)),1)</f>
        <v>GMT+01:00</v>
      </c>
      <c r="M299" s="107">
        <f ca="1">IF(N299/SUM($H$299:$H$331)=0,NA(),N299/SUM($H$299:$H$331))</f>
        <v>0.31868131868131866</v>
      </c>
      <c r="N299" s="115">
        <f t="shared" ref="N299:N322" ca="1" si="25">IF(LARGE($H$299:$H$331,K299)=0,NA(),LARGE($H$299:$H$331,K299))</f>
        <v>29</v>
      </c>
    </row>
    <row r="300" spans="1:14" x14ac:dyDescent="0.25">
      <c r="A300" s="98" t="s">
        <v>51</v>
      </c>
      <c r="B300" s="59" t="s">
        <v>329</v>
      </c>
      <c r="C300" s="59" t="s">
        <v>326</v>
      </c>
      <c r="D300" s="93">
        <f t="shared" ca="1" si="20"/>
        <v>0</v>
      </c>
      <c r="E300" s="99">
        <f ca="1">COUNTIFS(follower_list.time_zone,A300,follower_list.klout_score,"&gt;="&amp;Calculations!$B$441)</f>
        <v>0</v>
      </c>
      <c r="F300" s="108" t="s">
        <v>328</v>
      </c>
      <c r="G300" s="106">
        <f t="shared" ca="1" si="21"/>
        <v>0</v>
      </c>
      <c r="H300" s="104">
        <f t="shared" ca="1" si="22"/>
        <v>0</v>
      </c>
      <c r="I300" s="106">
        <f t="shared" ca="1" si="23"/>
        <v>0</v>
      </c>
      <c r="J300" s="109">
        <f t="shared" ca="1" si="24"/>
        <v>0</v>
      </c>
      <c r="K300" s="64">
        <v>2</v>
      </c>
      <c r="L300" s="59" t="str">
        <f t="array" aca="1" ref="L300" ca="1">INDEX($F$299:$F$331,SMALL(IF(N300=$H$299:$H$331,ROW($H$299:$H$331)-ROW($H$299)+1,""),COUNTIF($N$299:N300,N300)),1)</f>
        <v>GMT-08:00</v>
      </c>
      <c r="M300" s="107">
        <f t="shared" ref="M300:M323" ca="1" si="26">IF(N300/SUM($H$299:$H$331)=0,NA(),N300/SUM($H$299:$H$331))</f>
        <v>0.15384615384615385</v>
      </c>
      <c r="N300" s="115">
        <f t="shared" ca="1" si="25"/>
        <v>14</v>
      </c>
    </row>
    <row r="301" spans="1:14" x14ac:dyDescent="0.25">
      <c r="A301" s="98" t="s">
        <v>48</v>
      </c>
      <c r="B301" s="59" t="s">
        <v>327</v>
      </c>
      <c r="C301" s="59" t="s">
        <v>313</v>
      </c>
      <c r="D301" s="93">
        <f t="shared" ca="1" si="20"/>
        <v>14</v>
      </c>
      <c r="E301" s="99">
        <f ca="1">COUNTIFS(follower_list.time_zone,A301,follower_list.klout_score,"&gt;="&amp;Calculations!$B$441)</f>
        <v>3</v>
      </c>
      <c r="F301" s="108" t="s">
        <v>326</v>
      </c>
      <c r="G301" s="106">
        <f t="shared" ca="1" si="21"/>
        <v>0</v>
      </c>
      <c r="H301" s="104">
        <f t="shared" ca="1" si="22"/>
        <v>0</v>
      </c>
      <c r="I301" s="106">
        <f t="shared" ca="1" si="23"/>
        <v>0</v>
      </c>
      <c r="J301" s="109">
        <f t="shared" ca="1" si="24"/>
        <v>0</v>
      </c>
      <c r="K301" s="64">
        <v>3</v>
      </c>
      <c r="L301" s="59" t="str">
        <f t="array" aca="1" ref="L301" ca="1">INDEX($F$299:$F$331,SMALL(IF(N301=$H$299:$H$331,ROW($H$299:$H$331)-ROW($H$299)+1,""),COUNTIF($N$299:N301,N301)),1)</f>
        <v>GMT</v>
      </c>
      <c r="M301" s="107">
        <f t="shared" ca="1" si="26"/>
        <v>0.12087912087912088</v>
      </c>
      <c r="N301" s="115">
        <f t="shared" ca="1" si="25"/>
        <v>11</v>
      </c>
    </row>
    <row r="302" spans="1:14" x14ac:dyDescent="0.25">
      <c r="A302" s="98" t="s">
        <v>16</v>
      </c>
      <c r="B302" s="59" t="s">
        <v>325</v>
      </c>
      <c r="C302" s="59" t="s">
        <v>309</v>
      </c>
      <c r="D302" s="93">
        <f t="shared" ca="1" si="20"/>
        <v>0</v>
      </c>
      <c r="E302" s="99">
        <f ca="1">COUNTIFS(follower_list.time_zone,A302,follower_list.klout_score,"&gt;="&amp;Calculations!$B$441)</f>
        <v>0</v>
      </c>
      <c r="F302" s="108" t="s">
        <v>313</v>
      </c>
      <c r="G302" s="106">
        <f t="shared" ca="1" si="21"/>
        <v>0.15384615384615385</v>
      </c>
      <c r="H302" s="104">
        <f t="shared" ca="1" si="22"/>
        <v>14</v>
      </c>
      <c r="I302" s="106">
        <f t="shared" ca="1" si="23"/>
        <v>6.8181818181818177E-2</v>
      </c>
      <c r="J302" s="109">
        <f t="shared" ca="1" si="24"/>
        <v>3</v>
      </c>
      <c r="K302" s="64">
        <v>4</v>
      </c>
      <c r="L302" s="59" t="str">
        <f t="array" aca="1" ref="L302" ca="1">INDEX($F$299:$F$331,SMALL(IF(N302=$H$299:$H$331,ROW($H$299:$H$331)-ROW($H$299)+1,""),COUNTIF($N$299:N302,N302)),1)</f>
        <v>GMT+02:00</v>
      </c>
      <c r="M302" s="107">
        <f t="shared" ca="1" si="26"/>
        <v>9.8901098901098897E-2</v>
      </c>
      <c r="N302" s="115">
        <f t="shared" ca="1" si="25"/>
        <v>9</v>
      </c>
    </row>
    <row r="303" spans="1:14" x14ac:dyDescent="0.25">
      <c r="A303" s="98" t="s">
        <v>50</v>
      </c>
      <c r="B303" s="59" t="s">
        <v>324</v>
      </c>
      <c r="C303" s="59" t="s">
        <v>309</v>
      </c>
      <c r="D303" s="93">
        <f t="shared" ca="1" si="20"/>
        <v>1</v>
      </c>
      <c r="E303" s="99">
        <f ca="1">COUNTIFS(follower_list.time_zone,A303,follower_list.klout_score,"&gt;="&amp;Calculations!$B$441)</f>
        <v>0</v>
      </c>
      <c r="F303" s="108" t="s">
        <v>309</v>
      </c>
      <c r="G303" s="106">
        <f t="shared" ca="1" si="21"/>
        <v>1.098901098901099E-2</v>
      </c>
      <c r="H303" s="104">
        <f t="shared" ca="1" si="22"/>
        <v>1</v>
      </c>
      <c r="I303" s="106">
        <f t="shared" ca="1" si="23"/>
        <v>0</v>
      </c>
      <c r="J303" s="109">
        <f t="shared" ca="1" si="24"/>
        <v>0</v>
      </c>
      <c r="K303" s="64">
        <v>5</v>
      </c>
      <c r="L303" s="59" t="str">
        <f t="array" aca="1" ref="L303" ca="1">INDEX($F$299:$F$331,SMALL(IF(N303=$H$299:$H$331,ROW($H$299:$H$331)-ROW($H$299)+1,""),COUNTIF($N$299:N303,N303)),1)</f>
        <v>GMT-05:00</v>
      </c>
      <c r="M303" s="107">
        <f t="shared" ca="1" si="26"/>
        <v>8.7912087912087919E-2</v>
      </c>
      <c r="N303" s="115">
        <f t="shared" ca="1" si="25"/>
        <v>8</v>
      </c>
    </row>
    <row r="304" spans="1:14" x14ac:dyDescent="0.25">
      <c r="A304" s="98" t="s">
        <v>49</v>
      </c>
      <c r="B304" s="59" t="s">
        <v>323</v>
      </c>
      <c r="C304" s="59" t="s">
        <v>300</v>
      </c>
      <c r="D304" s="93">
        <f t="shared" ca="1" si="20"/>
        <v>6</v>
      </c>
      <c r="E304" s="99">
        <f ca="1">COUNTIFS(follower_list.time_zone,A304,follower_list.klout_score,"&gt;="&amp;Calculations!$B$441)</f>
        <v>1</v>
      </c>
      <c r="F304" s="108" t="s">
        <v>300</v>
      </c>
      <c r="G304" s="106">
        <f t="shared" ca="1" si="21"/>
        <v>7.6923076923076927E-2</v>
      </c>
      <c r="H304" s="104">
        <f t="shared" ca="1" si="22"/>
        <v>7</v>
      </c>
      <c r="I304" s="106">
        <f t="shared" ca="1" si="23"/>
        <v>4.5454545454545456E-2</v>
      </c>
      <c r="J304" s="109">
        <f t="shared" ca="1" si="24"/>
        <v>2</v>
      </c>
      <c r="K304" s="64">
        <v>6</v>
      </c>
      <c r="L304" s="59" t="str">
        <f t="array" aca="1" ref="L304" ca="1">INDEX($F$299:$F$331,SMALL(IF(N304=$H$299:$H$331,ROW($H$299:$H$331)-ROW($H$299)+1,""),COUNTIF($N$299:N304,N304)),1)</f>
        <v>GMT-06:00</v>
      </c>
      <c r="M304" s="107">
        <f t="shared" ca="1" si="26"/>
        <v>7.6923076923076927E-2</v>
      </c>
      <c r="N304" s="115">
        <f t="shared" ca="1" si="25"/>
        <v>7</v>
      </c>
    </row>
    <row r="305" spans="1:14" x14ac:dyDescent="0.25">
      <c r="A305" s="98" t="s">
        <v>45</v>
      </c>
      <c r="B305" s="59" t="s">
        <v>322</v>
      </c>
      <c r="C305" s="59" t="s">
        <v>296</v>
      </c>
      <c r="D305" s="93">
        <f t="shared" ca="1" si="20"/>
        <v>7</v>
      </c>
      <c r="E305" s="99">
        <f ca="1">COUNTIFS(follower_list.time_zone,A305,follower_list.klout_score,"&gt;="&amp;Calculations!$B$441)</f>
        <v>6</v>
      </c>
      <c r="F305" s="108" t="s">
        <v>296</v>
      </c>
      <c r="G305" s="106">
        <f t="shared" ca="1" si="21"/>
        <v>8.7912087912087919E-2</v>
      </c>
      <c r="H305" s="104">
        <f t="shared" ca="1" si="22"/>
        <v>8</v>
      </c>
      <c r="I305" s="106">
        <f t="shared" ca="1" si="23"/>
        <v>0.15909090909090909</v>
      </c>
      <c r="J305" s="109">
        <f t="shared" ca="1" si="24"/>
        <v>7</v>
      </c>
      <c r="K305" s="64">
        <v>7</v>
      </c>
      <c r="L305" s="59" t="str">
        <f t="array" aca="1" ref="L305" ca="1">INDEX($F$299:$F$331,SMALL(IF(N305=$H$299:$H$331,ROW($H$299:$H$331)-ROW($H$299)+1,""),COUNTIF($N$299:N305,N305)),1)</f>
        <v>GMT-03:00</v>
      </c>
      <c r="M305" s="107">
        <f t="shared" ca="1" si="26"/>
        <v>4.3956043956043959E-2</v>
      </c>
      <c r="N305" s="115">
        <f t="shared" ca="1" si="25"/>
        <v>4</v>
      </c>
    </row>
    <row r="306" spans="1:14" x14ac:dyDescent="0.25">
      <c r="A306" s="98" t="s">
        <v>57</v>
      </c>
      <c r="B306" s="59" t="s">
        <v>321</v>
      </c>
      <c r="C306" s="59" t="s">
        <v>296</v>
      </c>
      <c r="D306" s="93">
        <f t="shared" ca="1" si="20"/>
        <v>0</v>
      </c>
      <c r="E306" s="99">
        <f ca="1">COUNTIFS(follower_list.time_zone,A306,follower_list.klout_score,"&gt;="&amp;Calculations!$B$441)</f>
        <v>0</v>
      </c>
      <c r="F306" s="108" t="s">
        <v>294</v>
      </c>
      <c r="G306" s="106">
        <f t="shared" ca="1" si="21"/>
        <v>0</v>
      </c>
      <c r="H306" s="104">
        <f t="shared" ca="1" si="22"/>
        <v>0</v>
      </c>
      <c r="I306" s="106">
        <f t="shared" ca="1" si="23"/>
        <v>0</v>
      </c>
      <c r="J306" s="109">
        <f t="shared" ca="1" si="24"/>
        <v>0</v>
      </c>
      <c r="K306" s="64">
        <v>8</v>
      </c>
      <c r="L306" s="59" t="str">
        <f t="array" aca="1" ref="L306" ca="1">INDEX($F$299:$F$331,SMALL(IF(N306=$H$299:$H$331,ROW($H$299:$H$331)-ROW($H$299)+1,""),COUNTIF($N$299:N306,N306)),1)</f>
        <v>GMT-04:00</v>
      </c>
      <c r="M306" s="107">
        <f t="shared" ca="1" si="26"/>
        <v>2.197802197802198E-2</v>
      </c>
      <c r="N306" s="115">
        <f t="shared" ca="1" si="25"/>
        <v>2</v>
      </c>
    </row>
    <row r="307" spans="1:14" x14ac:dyDescent="0.25">
      <c r="A307" s="98" t="s">
        <v>93</v>
      </c>
      <c r="B307" s="59" t="s">
        <v>320</v>
      </c>
      <c r="C307" s="59" t="s">
        <v>315</v>
      </c>
      <c r="D307" s="93">
        <f t="shared" ca="1" si="20"/>
        <v>0</v>
      </c>
      <c r="E307" s="99">
        <f ca="1">COUNTIFS(follower_list.time_zone,A307,follower_list.klout_score,"&gt;="&amp;Calculations!$B$441)</f>
        <v>0</v>
      </c>
      <c r="F307" s="108" t="s">
        <v>290</v>
      </c>
      <c r="G307" s="106">
        <f t="shared" ca="1" si="21"/>
        <v>2.197802197802198E-2</v>
      </c>
      <c r="H307" s="104">
        <f t="shared" ca="1" si="22"/>
        <v>2</v>
      </c>
      <c r="I307" s="106">
        <f t="shared" ca="1" si="23"/>
        <v>2.2727272727272728E-2</v>
      </c>
      <c r="J307" s="109">
        <f t="shared" ca="1" si="24"/>
        <v>1</v>
      </c>
      <c r="K307" s="64">
        <v>9</v>
      </c>
      <c r="L307" s="59" t="str">
        <f t="array" aca="1" ref="L307" ca="1">INDEX($F$299:$F$331,SMALL(IF(N307=$H$299:$H$331,ROW($H$299:$H$331)-ROW($H$299)+1,""),COUNTIF($N$299:N307,N307)),1)</f>
        <v>GMT+03:30</v>
      </c>
      <c r="M307" s="107">
        <f t="shared" ca="1" si="26"/>
        <v>2.197802197802198E-2</v>
      </c>
      <c r="N307" s="115">
        <f t="shared" ca="1" si="25"/>
        <v>2</v>
      </c>
    </row>
    <row r="308" spans="1:14" x14ac:dyDescent="0.25">
      <c r="A308" s="98" t="s">
        <v>319</v>
      </c>
      <c r="B308" s="59" t="s">
        <v>318</v>
      </c>
      <c r="C308" s="59" t="s">
        <v>315</v>
      </c>
      <c r="D308" s="93">
        <f t="shared" ca="1" si="20"/>
        <v>0</v>
      </c>
      <c r="E308" s="99">
        <f ca="1">COUNTIFS(follower_list.time_zone,A308,follower_list.klout_score,"&gt;="&amp;Calculations!$B$441)</f>
        <v>0</v>
      </c>
      <c r="F308" s="108" t="s">
        <v>287</v>
      </c>
      <c r="G308" s="106">
        <f t="shared" ca="1" si="21"/>
        <v>0</v>
      </c>
      <c r="H308" s="104">
        <f t="shared" ca="1" si="22"/>
        <v>0</v>
      </c>
      <c r="I308" s="106">
        <f t="shared" ca="1" si="23"/>
        <v>0</v>
      </c>
      <c r="J308" s="109">
        <f t="shared" ca="1" si="24"/>
        <v>0</v>
      </c>
      <c r="K308" s="64">
        <v>10</v>
      </c>
      <c r="L308" s="59" t="str">
        <f t="array" aca="1" ref="L308" ca="1">INDEX($F$299:$F$331,SMALL(IF(N308=$H$299:$H$331,ROW($H$299:$H$331)-ROW($H$299)+1,""),COUNTIF($N$299:N308,N308)),1)</f>
        <v>GMT+05:30</v>
      </c>
      <c r="M308" s="107">
        <f t="shared" ca="1" si="26"/>
        <v>2.197802197802198E-2</v>
      </c>
      <c r="N308" s="115">
        <f t="shared" ca="1" si="25"/>
        <v>2</v>
      </c>
    </row>
    <row r="309" spans="1:14" x14ac:dyDescent="0.25">
      <c r="A309" s="98" t="s">
        <v>317</v>
      </c>
      <c r="B309" s="59" t="s">
        <v>316</v>
      </c>
      <c r="C309" s="59" t="s">
        <v>315</v>
      </c>
      <c r="D309" s="93">
        <f t="shared" ca="1" si="20"/>
        <v>0</v>
      </c>
      <c r="E309" s="99">
        <f ca="1">COUNTIFS(follower_list.time_zone,A309,follower_list.klout_score,"&gt;="&amp;Calculations!$B$441)</f>
        <v>0</v>
      </c>
      <c r="F309" s="108" t="s">
        <v>281</v>
      </c>
      <c r="G309" s="106">
        <f t="shared" ca="1" si="21"/>
        <v>4.3956043956043959E-2</v>
      </c>
      <c r="H309" s="104">
        <f t="shared" ca="1" si="22"/>
        <v>4</v>
      </c>
      <c r="I309" s="106">
        <f t="shared" ca="1" si="23"/>
        <v>4.5454545454545456E-2</v>
      </c>
      <c r="J309" s="109">
        <f t="shared" ca="1" si="24"/>
        <v>2</v>
      </c>
      <c r="K309" s="64">
        <v>11</v>
      </c>
      <c r="L309" s="59" t="str">
        <f t="array" aca="1" ref="L309" ca="1">INDEX($F$299:$F$331,SMALL(IF(N309=$H$299:$H$331,ROW($H$299:$H$331)-ROW($H$299)+1,""),COUNTIF($N$299:N309,N309)),1)</f>
        <v>GMT-07:00</v>
      </c>
      <c r="M309" s="107">
        <f t="shared" ca="1" si="26"/>
        <v>1.098901098901099E-2</v>
      </c>
      <c r="N309" s="115">
        <f t="shared" ca="1" si="25"/>
        <v>1</v>
      </c>
    </row>
    <row r="310" spans="1:14" x14ac:dyDescent="0.25">
      <c r="A310" s="98" t="s">
        <v>77</v>
      </c>
      <c r="B310" s="59" t="s">
        <v>314</v>
      </c>
      <c r="C310" s="59" t="s">
        <v>313</v>
      </c>
      <c r="D310" s="93">
        <f t="shared" ca="1" si="20"/>
        <v>0</v>
      </c>
      <c r="E310" s="99">
        <f ca="1">COUNTIFS(follower_list.time_zone,A310,follower_list.klout_score,"&gt;="&amp;Calculations!$B$441)</f>
        <v>0</v>
      </c>
      <c r="F310" s="108" t="s">
        <v>279</v>
      </c>
      <c r="G310" s="106">
        <f t="shared" ca="1" si="21"/>
        <v>0</v>
      </c>
      <c r="H310" s="104">
        <f t="shared" ca="1" si="22"/>
        <v>0</v>
      </c>
      <c r="I310" s="106">
        <f t="shared" ca="1" si="23"/>
        <v>0</v>
      </c>
      <c r="J310" s="109">
        <f t="shared" ca="1" si="24"/>
        <v>0</v>
      </c>
      <c r="K310" s="64">
        <v>12</v>
      </c>
      <c r="L310" s="59" t="str">
        <f t="array" aca="1" ref="L310" ca="1">INDEX($F$299:$F$331,SMALL(IF(N310=$H$299:$H$331,ROW($H$299:$H$331)-ROW($H$299)+1,""),COUNTIF($N$299:N310,N310)),1)</f>
        <v>GMT+03:00</v>
      </c>
      <c r="M310" s="107">
        <f t="shared" ca="1" si="26"/>
        <v>1.098901098901099E-2</v>
      </c>
      <c r="N310" s="115">
        <f t="shared" ca="1" si="25"/>
        <v>1</v>
      </c>
    </row>
    <row r="311" spans="1:14" x14ac:dyDescent="0.25">
      <c r="A311" s="98" t="s">
        <v>106</v>
      </c>
      <c r="B311" s="59" t="s">
        <v>312</v>
      </c>
      <c r="C311" s="59" t="s">
        <v>309</v>
      </c>
      <c r="D311" s="93">
        <f t="shared" ca="1" si="20"/>
        <v>0</v>
      </c>
      <c r="E311" s="99">
        <f ca="1">COUNTIFS(follower_list.time_zone,A311,follower_list.klout_score,"&gt;="&amp;Calculations!$B$441)</f>
        <v>0</v>
      </c>
      <c r="F311" s="108" t="s">
        <v>275</v>
      </c>
      <c r="G311" s="106">
        <f t="shared" ca="1" si="21"/>
        <v>0</v>
      </c>
      <c r="H311" s="104">
        <f t="shared" ca="1" si="22"/>
        <v>0</v>
      </c>
      <c r="I311" s="106">
        <f t="shared" ca="1" si="23"/>
        <v>0</v>
      </c>
      <c r="J311" s="109">
        <f t="shared" ca="1" si="24"/>
        <v>0</v>
      </c>
      <c r="K311" s="64">
        <v>13</v>
      </c>
      <c r="L311" s="59" t="str">
        <f t="array" aca="1" ref="L311" ca="1">INDEX($F$299:$F$331,SMALL(IF(N311=$H$299:$H$331,ROW($H$299:$H$331)-ROW($H$299)+1,""),COUNTIF($N$299:N311,N311)),1)</f>
        <v>GMT+10:00</v>
      </c>
      <c r="M311" s="107">
        <f t="shared" ca="1" si="26"/>
        <v>1.098901098901099E-2</v>
      </c>
      <c r="N311" s="115">
        <f t="shared" ca="1" si="25"/>
        <v>1</v>
      </c>
    </row>
    <row r="312" spans="1:14" x14ac:dyDescent="0.25">
      <c r="A312" s="98" t="s">
        <v>311</v>
      </c>
      <c r="B312" s="59" t="s">
        <v>310</v>
      </c>
      <c r="C312" s="59" t="s">
        <v>309</v>
      </c>
      <c r="D312" s="93">
        <f t="shared" ca="1" si="20"/>
        <v>0</v>
      </c>
      <c r="E312" s="99">
        <f ca="1">COUNTIFS(follower_list.time_zone,A312,follower_list.klout_score,"&gt;="&amp;Calculations!$B$441)</f>
        <v>0</v>
      </c>
      <c r="F312" s="108" t="s">
        <v>267</v>
      </c>
      <c r="G312" s="106">
        <f t="shared" ca="1" si="21"/>
        <v>0.12087912087912088</v>
      </c>
      <c r="H312" s="104">
        <f t="shared" ca="1" si="22"/>
        <v>11</v>
      </c>
      <c r="I312" s="106">
        <f t="shared" ca="1" si="23"/>
        <v>0.13636363636363635</v>
      </c>
      <c r="J312" s="109">
        <f t="shared" ca="1" si="24"/>
        <v>6</v>
      </c>
      <c r="K312" s="64">
        <v>14</v>
      </c>
      <c r="L312" s="59" t="e">
        <f t="array" aca="1" ref="L312" ca="1">INDEX($F$299:$F$331,SMALL(IF(N312=$H$299:$H$331,ROW($H$299:$H$331)-ROW($H$299)+1,""),COUNTIF($N$299:N312,N312)),1)</f>
        <v>#N/A</v>
      </c>
      <c r="M312" s="107" t="e">
        <f t="shared" ca="1" si="26"/>
        <v>#N/A</v>
      </c>
      <c r="N312" s="115" t="e">
        <f t="shared" ca="1" si="25"/>
        <v>#N/A</v>
      </c>
    </row>
    <row r="313" spans="1:14" x14ac:dyDescent="0.25">
      <c r="A313" s="98" t="s">
        <v>70</v>
      </c>
      <c r="B313" s="59" t="s">
        <v>308</v>
      </c>
      <c r="C313" s="59" t="s">
        <v>300</v>
      </c>
      <c r="D313" s="93">
        <f t="shared" ca="1" si="20"/>
        <v>0</v>
      </c>
      <c r="E313" s="99">
        <f ca="1">COUNTIFS(follower_list.time_zone,A313,follower_list.klout_score,"&gt;="&amp;Calculations!$B$441)</f>
        <v>0</v>
      </c>
      <c r="F313" s="108" t="s">
        <v>245</v>
      </c>
      <c r="G313" s="106">
        <f t="shared" ca="1" si="21"/>
        <v>0.31868131868131866</v>
      </c>
      <c r="H313" s="104">
        <f t="shared" ca="1" si="22"/>
        <v>29</v>
      </c>
      <c r="I313" s="106">
        <f t="shared" ca="1" si="23"/>
        <v>0.38636363636363635</v>
      </c>
      <c r="J313" s="109">
        <f t="shared" ca="1" si="24"/>
        <v>17</v>
      </c>
      <c r="K313" s="64">
        <v>15</v>
      </c>
      <c r="L313" s="59" t="e">
        <f t="array" aca="1" ref="L313" ca="1">INDEX($F$299:$F$331,SMALL(IF(N313=$H$299:$H$331,ROW($H$299:$H$331)-ROW($H$299)+1,""),COUNTIF($N$299:N313,N313)),1)</f>
        <v>#N/A</v>
      </c>
      <c r="M313" s="107" t="e">
        <f t="shared" ca="1" si="26"/>
        <v>#N/A</v>
      </c>
      <c r="N313" s="115" t="e">
        <f t="shared" ca="1" si="25"/>
        <v>#N/A</v>
      </c>
    </row>
    <row r="314" spans="1:14" x14ac:dyDescent="0.25">
      <c r="A314" s="98" t="s">
        <v>307</v>
      </c>
      <c r="B314" s="59" t="s">
        <v>306</v>
      </c>
      <c r="C314" s="59" t="s">
        <v>300</v>
      </c>
      <c r="D314" s="93">
        <f t="shared" ca="1" si="20"/>
        <v>0</v>
      </c>
      <c r="E314" s="99">
        <f ca="1">COUNTIFS(follower_list.time_zone,A314,follower_list.klout_score,"&gt;="&amp;Calculations!$B$441)</f>
        <v>0</v>
      </c>
      <c r="F314" s="108" t="s">
        <v>228</v>
      </c>
      <c r="G314" s="106">
        <f t="shared" ca="1" si="21"/>
        <v>9.8901098901098897E-2</v>
      </c>
      <c r="H314" s="104">
        <f t="shared" ca="1" si="22"/>
        <v>9</v>
      </c>
      <c r="I314" s="106">
        <f t="shared" ca="1" si="23"/>
        <v>9.0909090909090912E-2</v>
      </c>
      <c r="J314" s="109">
        <f t="shared" ca="1" si="24"/>
        <v>4</v>
      </c>
      <c r="K314" s="64">
        <v>16</v>
      </c>
      <c r="L314" s="59" t="e">
        <f t="array" aca="1" ref="L314" ca="1">INDEX($F$299:$F$331,SMALL(IF(N314=$H$299:$H$331,ROW($H$299:$H$331)-ROW($H$299)+1,""),COUNTIF($N$299:N314,N314)),1)</f>
        <v>#N/A</v>
      </c>
      <c r="M314" s="107" t="e">
        <f t="shared" ca="1" si="26"/>
        <v>#N/A</v>
      </c>
      <c r="N314" s="115" t="e">
        <f t="shared" ca="1" si="25"/>
        <v>#N/A</v>
      </c>
    </row>
    <row r="315" spans="1:14" x14ac:dyDescent="0.25">
      <c r="A315" s="98" t="s">
        <v>25</v>
      </c>
      <c r="B315" s="59" t="s">
        <v>305</v>
      </c>
      <c r="C315" s="59" t="s">
        <v>300</v>
      </c>
      <c r="D315" s="93">
        <f t="shared" ca="1" si="20"/>
        <v>1</v>
      </c>
      <c r="E315" s="99">
        <f ca="1">COUNTIFS(follower_list.time_zone,A315,follower_list.klout_score,"&gt;="&amp;Calculations!$B$441)</f>
        <v>1</v>
      </c>
      <c r="F315" s="108" t="s">
        <v>218</v>
      </c>
      <c r="G315" s="106">
        <f t="shared" ca="1" si="21"/>
        <v>1.098901098901099E-2</v>
      </c>
      <c r="H315" s="104">
        <f t="shared" ca="1" si="22"/>
        <v>1</v>
      </c>
      <c r="I315" s="106">
        <f t="shared" ca="1" si="23"/>
        <v>2.2727272727272728E-2</v>
      </c>
      <c r="J315" s="109">
        <f t="shared" ca="1" si="24"/>
        <v>1</v>
      </c>
      <c r="K315" s="64">
        <v>17</v>
      </c>
      <c r="L315" s="59" t="e">
        <f t="array" aca="1" ref="L315" ca="1">INDEX($F$299:$F$331,SMALL(IF(N315=$H$299:$H$331,ROW($H$299:$H$331)-ROW($H$299)+1,""),COUNTIF($N$299:N315,N315)),1)</f>
        <v>#N/A</v>
      </c>
      <c r="M315" s="107" t="e">
        <f t="shared" ca="1" si="26"/>
        <v>#N/A</v>
      </c>
      <c r="N315" s="115" t="e">
        <f t="shared" ca="1" si="25"/>
        <v>#N/A</v>
      </c>
    </row>
    <row r="316" spans="1:14" x14ac:dyDescent="0.25">
      <c r="A316" s="98" t="s">
        <v>304</v>
      </c>
      <c r="B316" s="59" t="s">
        <v>303</v>
      </c>
      <c r="C316" s="59" t="s">
        <v>300</v>
      </c>
      <c r="D316" s="93">
        <f t="shared" ca="1" si="20"/>
        <v>0</v>
      </c>
      <c r="E316" s="99">
        <f ca="1">COUNTIFS(follower_list.time_zone,A316,follower_list.klout_score,"&gt;="&amp;Calculations!$B$441)</f>
        <v>0</v>
      </c>
      <c r="F316" s="108" t="s">
        <v>216</v>
      </c>
      <c r="G316" s="106">
        <f t="shared" ca="1" si="21"/>
        <v>2.197802197802198E-2</v>
      </c>
      <c r="H316" s="104">
        <f t="shared" ca="1" si="22"/>
        <v>2</v>
      </c>
      <c r="I316" s="106">
        <f t="shared" ca="1" si="23"/>
        <v>0</v>
      </c>
      <c r="J316" s="109">
        <f t="shared" ca="1" si="24"/>
        <v>0</v>
      </c>
      <c r="K316" s="64">
        <v>18</v>
      </c>
      <c r="L316" s="59" t="e">
        <f t="array" aca="1" ref="L316" ca="1">INDEX($F$299:$F$331,SMALL(IF(N316=$H$299:$H$331,ROW($H$299:$H$331)-ROW($H$299)+1,""),COUNTIF($N$299:N316,N316)),1)</f>
        <v>#N/A</v>
      </c>
      <c r="M316" s="107" t="e">
        <f t="shared" ca="1" si="26"/>
        <v>#N/A</v>
      </c>
      <c r="N316" s="115" t="e">
        <f t="shared" ca="1" si="25"/>
        <v>#N/A</v>
      </c>
    </row>
    <row r="317" spans="1:14" x14ac:dyDescent="0.25">
      <c r="A317" s="98" t="s">
        <v>302</v>
      </c>
      <c r="B317" s="59" t="s">
        <v>301</v>
      </c>
      <c r="C317" s="59" t="s">
        <v>300</v>
      </c>
      <c r="D317" s="93">
        <f t="shared" ca="1" si="20"/>
        <v>0</v>
      </c>
      <c r="E317" s="99">
        <f ca="1">COUNTIFS(follower_list.time_zone,A317,follower_list.klout_score,"&gt;="&amp;Calculations!$B$441)</f>
        <v>0</v>
      </c>
      <c r="F317" s="108" t="s">
        <v>207</v>
      </c>
      <c r="G317" s="106">
        <f t="shared" ca="1" si="21"/>
        <v>0</v>
      </c>
      <c r="H317" s="104">
        <f t="shared" ca="1" si="22"/>
        <v>0</v>
      </c>
      <c r="I317" s="106">
        <f t="shared" ca="1" si="23"/>
        <v>0</v>
      </c>
      <c r="J317" s="109">
        <f t="shared" ca="1" si="24"/>
        <v>0</v>
      </c>
      <c r="K317" s="64">
        <v>19</v>
      </c>
      <c r="L317" s="59" t="e">
        <f t="array" aca="1" ref="L317" ca="1">INDEX($F$299:$F$331,SMALL(IF(N317=$H$299:$H$331,ROW($H$299:$H$331)-ROW($H$299)+1,""),COUNTIF($N$299:N317,N317)),1)</f>
        <v>#N/A</v>
      </c>
      <c r="M317" s="107" t="e">
        <f t="shared" ca="1" si="26"/>
        <v>#N/A</v>
      </c>
      <c r="N317" s="115" t="e">
        <f t="shared" ca="1" si="25"/>
        <v>#N/A</v>
      </c>
    </row>
    <row r="318" spans="1:14" x14ac:dyDescent="0.25">
      <c r="A318" s="98" t="s">
        <v>36</v>
      </c>
      <c r="B318" s="59" t="s">
        <v>299</v>
      </c>
      <c r="C318" s="59" t="s">
        <v>296</v>
      </c>
      <c r="D318" s="93">
        <f t="shared" ca="1" si="20"/>
        <v>0</v>
      </c>
      <c r="E318" s="99">
        <f ca="1">COUNTIFS(follower_list.time_zone,A318,follower_list.klout_score,"&gt;="&amp;Calculations!$B$441)</f>
        <v>0</v>
      </c>
      <c r="F318" s="108" t="s">
        <v>204</v>
      </c>
      <c r="G318" s="106">
        <f t="shared" ca="1" si="21"/>
        <v>0</v>
      </c>
      <c r="H318" s="104">
        <f t="shared" ca="1" si="22"/>
        <v>0</v>
      </c>
      <c r="I318" s="106">
        <f t="shared" ca="1" si="23"/>
        <v>0</v>
      </c>
      <c r="J318" s="109">
        <f t="shared" ca="1" si="24"/>
        <v>0</v>
      </c>
      <c r="K318" s="64">
        <v>20</v>
      </c>
      <c r="L318" s="59" t="e">
        <f t="array" aca="1" ref="L318" ca="1">INDEX($F$299:$F$331,SMALL(IF(N318=$H$299:$H$331,ROW($H$299:$H$331)-ROW($H$299)+1,""),COUNTIF($N$299:N318,N318)),1)</f>
        <v>#N/A</v>
      </c>
      <c r="M318" s="107" t="e">
        <f t="shared" ca="1" si="26"/>
        <v>#N/A</v>
      </c>
      <c r="N318" s="115" t="e">
        <f t="shared" ca="1" si="25"/>
        <v>#N/A</v>
      </c>
    </row>
    <row r="319" spans="1:14" x14ac:dyDescent="0.25">
      <c r="A319" s="98" t="s">
        <v>88</v>
      </c>
      <c r="B319" s="59" t="s">
        <v>298</v>
      </c>
      <c r="C319" s="59" t="s">
        <v>296</v>
      </c>
      <c r="D319" s="93">
        <f t="shared" ca="1" si="20"/>
        <v>0</v>
      </c>
      <c r="E319" s="99">
        <f ca="1">COUNTIFS(follower_list.time_zone,A319,follower_list.klout_score,"&gt;="&amp;Calculations!$B$441)</f>
        <v>0</v>
      </c>
      <c r="F319" s="108" t="s">
        <v>197</v>
      </c>
      <c r="G319" s="106">
        <f t="shared" ca="1" si="21"/>
        <v>0</v>
      </c>
      <c r="H319" s="104">
        <f t="shared" ca="1" si="22"/>
        <v>0</v>
      </c>
      <c r="I319" s="106">
        <f t="shared" ca="1" si="23"/>
        <v>0</v>
      </c>
      <c r="J319" s="109">
        <f t="shared" ca="1" si="24"/>
        <v>0</v>
      </c>
      <c r="K319" s="64">
        <v>21</v>
      </c>
      <c r="L319" s="59" t="e">
        <f t="array" aca="1" ref="L319" ca="1">INDEX($F$299:$F$331,SMALL(IF(N319=$H$299:$H$331,ROW($H$299:$H$331)-ROW($H$299)+1,""),COUNTIF($N$299:N319,N319)),1)</f>
        <v>#N/A</v>
      </c>
      <c r="M319" s="107" t="e">
        <f t="shared" ca="1" si="26"/>
        <v>#N/A</v>
      </c>
      <c r="N319" s="115" t="e">
        <f t="shared" ca="1" si="25"/>
        <v>#N/A</v>
      </c>
    </row>
    <row r="320" spans="1:14" x14ac:dyDescent="0.25">
      <c r="A320" s="98" t="s">
        <v>46</v>
      </c>
      <c r="B320" s="59" t="s">
        <v>297</v>
      </c>
      <c r="C320" s="59" t="s">
        <v>296</v>
      </c>
      <c r="D320" s="93">
        <f t="shared" ca="1" si="20"/>
        <v>1</v>
      </c>
      <c r="E320" s="99">
        <f ca="1">COUNTIFS(follower_list.time_zone,A320,follower_list.klout_score,"&gt;="&amp;Calculations!$B$441)</f>
        <v>1</v>
      </c>
      <c r="F320" s="108" t="s">
        <v>192</v>
      </c>
      <c r="G320" s="106">
        <f t="shared" ca="1" si="21"/>
        <v>2.197802197802198E-2</v>
      </c>
      <c r="H320" s="104">
        <f t="shared" ca="1" si="22"/>
        <v>2</v>
      </c>
      <c r="I320" s="106">
        <f t="shared" ca="1" si="23"/>
        <v>0</v>
      </c>
      <c r="J320" s="109">
        <f t="shared" ca="1" si="24"/>
        <v>0</v>
      </c>
      <c r="K320" s="64">
        <v>22</v>
      </c>
      <c r="L320" s="59" t="e">
        <f t="array" aca="1" ref="L320" ca="1">INDEX($F$299:$F$331,SMALL(IF(N320=$H$299:$H$331,ROW($H$299:$H$331)-ROW($H$299)+1,""),COUNTIF($N$299:N320,N320)),1)</f>
        <v>#N/A</v>
      </c>
      <c r="M320" s="107" t="e">
        <f t="shared" ca="1" si="26"/>
        <v>#N/A</v>
      </c>
      <c r="N320" s="115" t="e">
        <f t="shared" ca="1" si="25"/>
        <v>#N/A</v>
      </c>
    </row>
    <row r="321" spans="1:14" x14ac:dyDescent="0.25">
      <c r="A321" s="98" t="s">
        <v>28</v>
      </c>
      <c r="B321" s="59" t="s">
        <v>295</v>
      </c>
      <c r="C321" s="59" t="s">
        <v>294</v>
      </c>
      <c r="D321" s="93">
        <f t="shared" ca="1" si="20"/>
        <v>0</v>
      </c>
      <c r="E321" s="99">
        <f ca="1">COUNTIFS(follower_list.time_zone,A321,follower_list.klout_score,"&gt;="&amp;Calculations!$B$441)</f>
        <v>0</v>
      </c>
      <c r="F321" s="108" t="s">
        <v>190</v>
      </c>
      <c r="G321" s="106">
        <f t="shared" ca="1" si="21"/>
        <v>0</v>
      </c>
      <c r="H321" s="104">
        <f t="shared" ca="1" si="22"/>
        <v>0</v>
      </c>
      <c r="I321" s="106">
        <f t="shared" ca="1" si="23"/>
        <v>0</v>
      </c>
      <c r="J321" s="109">
        <f t="shared" ca="1" si="24"/>
        <v>0</v>
      </c>
      <c r="K321" s="64">
        <v>23</v>
      </c>
      <c r="L321" s="59" t="e">
        <f t="array" aca="1" ref="L321" ca="1">INDEX($F$299:$F$331,SMALL(IF(N321=$H$299:$H$331,ROW($H$299:$H$331)-ROW($H$299)+1,""),COUNTIF($N$299:N321,N321)),1)</f>
        <v>#N/A</v>
      </c>
      <c r="M321" s="107" t="e">
        <f t="shared" ca="1" si="26"/>
        <v>#N/A</v>
      </c>
      <c r="N321" s="115" t="e">
        <f t="shared" ca="1" si="25"/>
        <v>#N/A</v>
      </c>
    </row>
    <row r="322" spans="1:14" x14ac:dyDescent="0.25">
      <c r="A322" s="98" t="s">
        <v>74</v>
      </c>
      <c r="B322" s="59" t="s">
        <v>293</v>
      </c>
      <c r="C322" s="59" t="s">
        <v>290</v>
      </c>
      <c r="D322" s="93">
        <f t="shared" ca="1" si="20"/>
        <v>2</v>
      </c>
      <c r="E322" s="99">
        <f ca="1">COUNTIFS(follower_list.time_zone,A322,follower_list.klout_score,"&gt;="&amp;Calculations!$B$441)</f>
        <v>1</v>
      </c>
      <c r="F322" s="108" t="s">
        <v>183</v>
      </c>
      <c r="G322" s="106">
        <f t="shared" ca="1" si="21"/>
        <v>0</v>
      </c>
      <c r="H322" s="104">
        <f t="shared" ca="1" si="22"/>
        <v>0</v>
      </c>
      <c r="I322" s="106">
        <f t="shared" ca="1" si="23"/>
        <v>0</v>
      </c>
      <c r="J322" s="109">
        <f t="shared" ca="1" si="24"/>
        <v>0</v>
      </c>
      <c r="K322" s="64">
        <v>24</v>
      </c>
      <c r="L322" s="59" t="e">
        <f t="array" aca="1" ref="L322" ca="1">INDEX($F$299:$F$331,SMALL(IF(N322=$H$299:$H$331,ROW($H$299:$H$331)-ROW($H$299)+1,""),COUNTIF($N$299:N322,N322)),1)</f>
        <v>#N/A</v>
      </c>
      <c r="M322" s="107" t="e">
        <f t="shared" ca="1" si="26"/>
        <v>#N/A</v>
      </c>
      <c r="N322" s="115" t="e">
        <f t="shared" ca="1" si="25"/>
        <v>#N/A</v>
      </c>
    </row>
    <row r="323" spans="1:14" x14ac:dyDescent="0.25">
      <c r="A323" s="98" t="s">
        <v>68</v>
      </c>
      <c r="B323" s="59" t="s">
        <v>292</v>
      </c>
      <c r="C323" s="59" t="s">
        <v>290</v>
      </c>
      <c r="D323" s="93">
        <f t="shared" ca="1" si="20"/>
        <v>0</v>
      </c>
      <c r="E323" s="99">
        <f ca="1">COUNTIFS(follower_list.time_zone,A323,follower_list.klout_score,"&gt;="&amp;Calculations!$B$441)</f>
        <v>0</v>
      </c>
      <c r="F323" s="108" t="s">
        <v>180</v>
      </c>
      <c r="G323" s="106">
        <f t="shared" ca="1" si="21"/>
        <v>0</v>
      </c>
      <c r="H323" s="104">
        <f t="shared" ca="1" si="22"/>
        <v>0</v>
      </c>
      <c r="I323" s="106">
        <f t="shared" ca="1" si="23"/>
        <v>0</v>
      </c>
      <c r="J323" s="109">
        <f t="shared" ca="1" si="24"/>
        <v>0</v>
      </c>
      <c r="K323" s="64">
        <v>25</v>
      </c>
      <c r="L323" s="59" t="e">
        <f t="array" aca="1" ref="L323" ca="1">INDEX($F$299:$F$331,SMALL(IF(N323=$H$299:$H$331,ROW($H$299:$H$331)-ROW($H$299)+1,""),COUNTIF($N$299:N323,N323)),1)</f>
        <v>#N/A</v>
      </c>
      <c r="M323" s="107" t="e">
        <f t="shared" ca="1" si="26"/>
        <v>#N/A</v>
      </c>
      <c r="N323" s="115" t="e">
        <f ca="1">IF(LARGE($H$299:$H$331,K323)=0,NA(),LARGE($H$299:$H$331,K323))</f>
        <v>#N/A</v>
      </c>
    </row>
    <row r="324" spans="1:14" x14ac:dyDescent="0.25">
      <c r="A324" s="98" t="s">
        <v>404</v>
      </c>
      <c r="B324" s="59" t="s">
        <v>291</v>
      </c>
      <c r="C324" s="59" t="s">
        <v>290</v>
      </c>
      <c r="D324" s="93">
        <f t="shared" ca="1" si="20"/>
        <v>0</v>
      </c>
      <c r="E324" s="99">
        <f ca="1">COUNTIFS(follower_list.time_zone,A324,follower_list.klout_score,"&gt;="&amp;Calculations!$B$441)</f>
        <v>0</v>
      </c>
      <c r="F324" s="108" t="s">
        <v>174</v>
      </c>
      <c r="G324" s="106">
        <f t="shared" ca="1" si="21"/>
        <v>0</v>
      </c>
      <c r="H324" s="104">
        <f t="shared" ca="1" si="22"/>
        <v>0</v>
      </c>
      <c r="I324" s="106">
        <f t="shared" ca="1" si="23"/>
        <v>0</v>
      </c>
      <c r="J324" s="109">
        <f t="shared" ca="1" si="24"/>
        <v>0</v>
      </c>
      <c r="K324" s="64"/>
      <c r="L324" s="59"/>
      <c r="M324" s="65"/>
      <c r="N324" s="62"/>
    </row>
    <row r="325" spans="1:14" x14ac:dyDescent="0.25">
      <c r="A325" s="98" t="s">
        <v>289</v>
      </c>
      <c r="B325" s="59" t="s">
        <v>288</v>
      </c>
      <c r="C325" s="59" t="s">
        <v>287</v>
      </c>
      <c r="D325" s="93">
        <f t="shared" ca="1" si="20"/>
        <v>0</v>
      </c>
      <c r="E325" s="99">
        <f ca="1">COUNTIFS(follower_list.time_zone,A325,follower_list.klout_score,"&gt;="&amp;Calculations!$B$441)</f>
        <v>0</v>
      </c>
      <c r="F325" s="108" t="s">
        <v>159</v>
      </c>
      <c r="G325" s="106">
        <f t="shared" ca="1" si="21"/>
        <v>0</v>
      </c>
      <c r="H325" s="104">
        <f t="shared" ca="1" si="22"/>
        <v>0</v>
      </c>
      <c r="I325" s="106">
        <f t="shared" ca="1" si="23"/>
        <v>0</v>
      </c>
      <c r="J325" s="109">
        <f t="shared" ca="1" si="24"/>
        <v>0</v>
      </c>
      <c r="K325" s="64"/>
      <c r="L325" s="59"/>
      <c r="M325" s="65"/>
      <c r="N325" s="62"/>
    </row>
    <row r="326" spans="1:14" x14ac:dyDescent="0.25">
      <c r="A326" s="98" t="s">
        <v>54</v>
      </c>
      <c r="B326" s="59" t="s">
        <v>286</v>
      </c>
      <c r="C326" s="59" t="s">
        <v>281</v>
      </c>
      <c r="D326" s="93">
        <f t="shared" ca="1" si="20"/>
        <v>1</v>
      </c>
      <c r="E326" s="99">
        <f ca="1">COUNTIFS(follower_list.time_zone,A326,follower_list.klout_score,"&gt;="&amp;Calculations!$B$441)</f>
        <v>0</v>
      </c>
      <c r="F326" s="108" t="s">
        <v>151</v>
      </c>
      <c r="G326" s="106">
        <f t="shared" ca="1" si="21"/>
        <v>0</v>
      </c>
      <c r="H326" s="104">
        <f t="shared" ca="1" si="22"/>
        <v>0</v>
      </c>
      <c r="I326" s="106">
        <f t="shared" ca="1" si="23"/>
        <v>0</v>
      </c>
      <c r="J326" s="109">
        <f t="shared" ca="1" si="24"/>
        <v>0</v>
      </c>
      <c r="K326" s="301" t="s">
        <v>420</v>
      </c>
      <c r="L326" s="302"/>
      <c r="M326" s="302"/>
      <c r="N326" s="303"/>
    </row>
    <row r="327" spans="1:14" x14ac:dyDescent="0.25">
      <c r="A327" s="98" t="s">
        <v>11</v>
      </c>
      <c r="B327" s="59" t="s">
        <v>285</v>
      </c>
      <c r="C327" s="59" t="s">
        <v>281</v>
      </c>
      <c r="D327" s="93">
        <f t="shared" ca="1" si="20"/>
        <v>2</v>
      </c>
      <c r="E327" s="99">
        <f ca="1">COUNTIFS(follower_list.time_zone,A327,follower_list.klout_score,"&gt;="&amp;Calculations!$B$441)</f>
        <v>1</v>
      </c>
      <c r="F327" s="108" t="s">
        <v>147</v>
      </c>
      <c r="G327" s="106">
        <f t="shared" ca="1" si="21"/>
        <v>0</v>
      </c>
      <c r="H327" s="104">
        <f t="shared" ca="1" si="22"/>
        <v>0</v>
      </c>
      <c r="I327" s="106">
        <f t="shared" ca="1" si="23"/>
        <v>0</v>
      </c>
      <c r="J327" s="109">
        <f t="shared" ca="1" si="24"/>
        <v>0</v>
      </c>
      <c r="K327" s="147" t="s">
        <v>331</v>
      </c>
      <c r="L327" s="145" t="s">
        <v>110</v>
      </c>
      <c r="M327" s="150" t="s">
        <v>333</v>
      </c>
      <c r="N327" s="146" t="s">
        <v>332</v>
      </c>
    </row>
    <row r="328" spans="1:14" x14ac:dyDescent="0.25">
      <c r="A328" s="98" t="s">
        <v>86</v>
      </c>
      <c r="B328" s="59" t="s">
        <v>283</v>
      </c>
      <c r="C328" s="59" t="s">
        <v>281</v>
      </c>
      <c r="D328" s="93">
        <f t="shared" ca="1" si="20"/>
        <v>0</v>
      </c>
      <c r="E328" s="99">
        <f ca="1">COUNTIFS(follower_list.time_zone,A328,follower_list.klout_score,"&gt;="&amp;Calculations!$B$441)</f>
        <v>0</v>
      </c>
      <c r="F328" s="108" t="s">
        <v>136</v>
      </c>
      <c r="G328" s="106">
        <f t="shared" ca="1" si="21"/>
        <v>1.098901098901099E-2</v>
      </c>
      <c r="H328" s="104">
        <f t="shared" ca="1" si="22"/>
        <v>1</v>
      </c>
      <c r="I328" s="106">
        <f t="shared" ca="1" si="23"/>
        <v>2.2727272727272728E-2</v>
      </c>
      <c r="J328" s="109">
        <f t="shared" ca="1" si="24"/>
        <v>1</v>
      </c>
      <c r="K328" s="64">
        <v>1</v>
      </c>
      <c r="L328" s="59" t="str">
        <f t="array" aca="1" ref="L328" ca="1">INDEX($F$299:$F$331,SMALL(IF(N328=$J$299:$J$331,ROW($J$299:$J$331)-ROW($J$299)+1,""),COUNTIF($N$328:N328,N328)),1)</f>
        <v>GMT+01:00</v>
      </c>
      <c r="M328" s="107">
        <f ca="1">IF(N328/SUM($J$299:$J$331)=0,NA(),N328/SUM($J$299:$J$331))</f>
        <v>0.38636363636363635</v>
      </c>
      <c r="N328" s="115">
        <f t="shared" ref="N328:N351" ca="1" si="27">IF(LARGE($J$299:$J$331,K328)=0,NA(),LARGE($J$299:$J$331,K328))</f>
        <v>17</v>
      </c>
    </row>
    <row r="329" spans="1:14" x14ac:dyDescent="0.25">
      <c r="A329" s="98" t="s">
        <v>52</v>
      </c>
      <c r="B329" s="59" t="s">
        <v>282</v>
      </c>
      <c r="C329" s="59" t="s">
        <v>281</v>
      </c>
      <c r="D329" s="93">
        <f t="shared" ca="1" si="20"/>
        <v>1</v>
      </c>
      <c r="E329" s="99">
        <f ca="1">COUNTIFS(follower_list.time_zone,A329,follower_list.klout_score,"&gt;="&amp;Calculations!$B$441)</f>
        <v>1</v>
      </c>
      <c r="F329" s="108" t="s">
        <v>129</v>
      </c>
      <c r="G329" s="106">
        <f t="shared" ca="1" si="21"/>
        <v>0</v>
      </c>
      <c r="H329" s="104">
        <f t="shared" ca="1" si="22"/>
        <v>0</v>
      </c>
      <c r="I329" s="106">
        <f t="shared" ca="1" si="23"/>
        <v>0</v>
      </c>
      <c r="J329" s="109">
        <f t="shared" ca="1" si="24"/>
        <v>0</v>
      </c>
      <c r="K329" s="64">
        <v>2</v>
      </c>
      <c r="L329" s="59" t="str">
        <f t="array" aca="1" ref="L329" ca="1">INDEX($F$299:$F$331,SMALL(IF(N329=$J$299:$J$331,ROW($J$299:$J$331)-ROW($J$299)+1,""),COUNTIF($N$328:N329,N329)),1)</f>
        <v>GMT-05:00</v>
      </c>
      <c r="M329" s="107">
        <f t="shared" ref="M329:M352" ca="1" si="28">IF(N329/SUM($J$299:$J$331)=0,NA(),N329/SUM($J$299:$J$331))</f>
        <v>0.15909090909090909</v>
      </c>
      <c r="N329" s="115">
        <f t="shared" ca="1" si="27"/>
        <v>7</v>
      </c>
    </row>
    <row r="330" spans="1:14" x14ac:dyDescent="0.25">
      <c r="A330" s="98" t="s">
        <v>22</v>
      </c>
      <c r="B330" s="59" t="s">
        <v>280</v>
      </c>
      <c r="C330" s="59" t="s">
        <v>279</v>
      </c>
      <c r="D330" s="93">
        <f t="shared" ca="1" si="20"/>
        <v>0</v>
      </c>
      <c r="E330" s="99">
        <f ca="1">COUNTIFS(follower_list.time_zone,A330,follower_list.klout_score,"&gt;="&amp;Calculations!$B$441)</f>
        <v>0</v>
      </c>
      <c r="F330" s="108" t="s">
        <v>119</v>
      </c>
      <c r="G330" s="106">
        <f t="shared" ca="1" si="21"/>
        <v>0</v>
      </c>
      <c r="H330" s="104">
        <f t="shared" ca="1" si="22"/>
        <v>0</v>
      </c>
      <c r="I330" s="106">
        <f t="shared" ca="1" si="23"/>
        <v>0</v>
      </c>
      <c r="J330" s="109">
        <f t="shared" ca="1" si="24"/>
        <v>0</v>
      </c>
      <c r="K330" s="64">
        <v>3</v>
      </c>
      <c r="L330" s="59" t="str">
        <f t="array" aca="1" ref="L330" ca="1">INDEX($F$299:$F$331,SMALL(IF(N330=$J$299:$J$331,ROW($J$299:$J$331)-ROW($J$299)+1,""),COUNTIF($N$328:N330,N330)),1)</f>
        <v>GMT</v>
      </c>
      <c r="M330" s="107">
        <f t="shared" ca="1" si="28"/>
        <v>0.13636363636363635</v>
      </c>
      <c r="N330" s="115">
        <f t="shared" ca="1" si="27"/>
        <v>6</v>
      </c>
    </row>
    <row r="331" spans="1:14" x14ac:dyDescent="0.25">
      <c r="A331" s="98" t="s">
        <v>65</v>
      </c>
      <c r="B331" s="59" t="s">
        <v>278</v>
      </c>
      <c r="C331" s="59" t="s">
        <v>275</v>
      </c>
      <c r="D331" s="93">
        <f t="shared" ref="D331:D362" ca="1" si="29">COUNTIF(follower_list.time_zone,A331)</f>
        <v>0</v>
      </c>
      <c r="E331" s="99">
        <f ca="1">COUNTIFS(follower_list.time_zone,A331,follower_list.klout_score,"&gt;="&amp;Calculations!$B$441)</f>
        <v>0</v>
      </c>
      <c r="F331" s="108" t="s">
        <v>116</v>
      </c>
      <c r="G331" s="106">
        <f t="shared" ca="1" si="21"/>
        <v>0</v>
      </c>
      <c r="H331" s="104">
        <f t="shared" ca="1" si="22"/>
        <v>0</v>
      </c>
      <c r="I331" s="106">
        <f t="shared" ca="1" si="23"/>
        <v>0</v>
      </c>
      <c r="J331" s="109">
        <f t="shared" ca="1" si="24"/>
        <v>0</v>
      </c>
      <c r="K331" s="64">
        <v>4</v>
      </c>
      <c r="L331" s="59" t="str">
        <f t="array" aca="1" ref="L331" ca="1">INDEX($F$299:$F$331,SMALL(IF(N331=$J$299:$J$331,ROW($J$299:$J$331)-ROW($J$299)+1,""),COUNTIF($N$328:N331,N331)),1)</f>
        <v>GMT+02:00</v>
      </c>
      <c r="M331" s="107">
        <f t="shared" ca="1" si="28"/>
        <v>9.0909090909090912E-2</v>
      </c>
      <c r="N331" s="115">
        <f t="shared" ca="1" si="27"/>
        <v>4</v>
      </c>
    </row>
    <row r="332" spans="1:14" x14ac:dyDescent="0.25">
      <c r="A332" s="98" t="s">
        <v>277</v>
      </c>
      <c r="B332" s="59" t="s">
        <v>276</v>
      </c>
      <c r="C332" s="59" t="s">
        <v>275</v>
      </c>
      <c r="D332" s="93">
        <f t="shared" ca="1" si="29"/>
        <v>0</v>
      </c>
      <c r="E332" s="99">
        <f ca="1">COUNTIFS(follower_list.time_zone,A332,follower_list.klout_score,"&gt;="&amp;Calculations!$B$441)</f>
        <v>0</v>
      </c>
      <c r="F332" s="57"/>
      <c r="G332" s="63"/>
      <c r="H332" s="105"/>
      <c r="I332" s="63"/>
      <c r="J332" s="110"/>
      <c r="K332" s="64">
        <v>5</v>
      </c>
      <c r="L332" s="59" t="str">
        <f t="array" aca="1" ref="L332" ca="1">INDEX($F$299:$F$331,SMALL(IF(N332=$J$299:$J$331,ROW($J$299:$J$331)-ROW($J$299)+1,""),COUNTIF($N$328:N332,N332)),1)</f>
        <v>GMT-08:00</v>
      </c>
      <c r="M332" s="107">
        <f t="shared" ca="1" si="28"/>
        <v>6.8181818181818177E-2</v>
      </c>
      <c r="N332" s="115">
        <f t="shared" ca="1" si="27"/>
        <v>3</v>
      </c>
    </row>
    <row r="333" spans="1:14" x14ac:dyDescent="0.25">
      <c r="A333" s="98" t="s">
        <v>85</v>
      </c>
      <c r="B333" s="59" t="s">
        <v>274</v>
      </c>
      <c r="C333" s="59" t="s">
        <v>267</v>
      </c>
      <c r="D333" s="93">
        <f t="shared" ca="1" si="29"/>
        <v>0</v>
      </c>
      <c r="E333" s="99">
        <f ca="1">COUNTIFS(follower_list.time_zone,A333,follower_list.klout_score,"&gt;="&amp;Calculations!$B$441)</f>
        <v>0</v>
      </c>
      <c r="F333" s="57"/>
      <c r="G333" s="63"/>
      <c r="H333" s="105"/>
      <c r="I333" s="63"/>
      <c r="J333" s="110"/>
      <c r="K333" s="64">
        <v>6</v>
      </c>
      <c r="L333" s="59" t="str">
        <f t="array" aca="1" ref="L333" ca="1">INDEX($F$299:$F$331,SMALL(IF(N333=$J$299:$J$331,ROW($J$299:$J$331)-ROW($J$299)+1,""),COUNTIF($N$328:N333,N333)),1)</f>
        <v>GMT-06:00</v>
      </c>
      <c r="M333" s="107">
        <f t="shared" ca="1" si="28"/>
        <v>4.5454545454545456E-2</v>
      </c>
      <c r="N333" s="115">
        <f t="shared" ca="1" si="27"/>
        <v>2</v>
      </c>
    </row>
    <row r="334" spans="1:14" x14ac:dyDescent="0.25">
      <c r="A334" s="98" t="s">
        <v>15</v>
      </c>
      <c r="B334" s="59" t="s">
        <v>273</v>
      </c>
      <c r="C334" s="59" t="s">
        <v>267</v>
      </c>
      <c r="D334" s="93">
        <f t="shared" ca="1" si="29"/>
        <v>0</v>
      </c>
      <c r="E334" s="99">
        <f ca="1">COUNTIFS(follower_list.time_zone,A334,follower_list.klout_score,"&gt;="&amp;Calculations!$B$441)</f>
        <v>0</v>
      </c>
      <c r="F334" s="57"/>
      <c r="G334" s="63"/>
      <c r="H334" s="105"/>
      <c r="I334" s="63"/>
      <c r="J334" s="110"/>
      <c r="K334" s="64">
        <v>7</v>
      </c>
      <c r="L334" s="59" t="str">
        <f t="array" aca="1" ref="L334" ca="1">INDEX($F$299:$F$331,SMALL(IF(N334=$J$299:$J$331,ROW($J$299:$J$331)-ROW($J$299)+1,""),COUNTIF($N$328:N334,N334)),1)</f>
        <v>GMT-03:00</v>
      </c>
      <c r="M334" s="107">
        <f t="shared" ca="1" si="28"/>
        <v>4.5454545454545456E-2</v>
      </c>
      <c r="N334" s="115">
        <f t="shared" ca="1" si="27"/>
        <v>2</v>
      </c>
    </row>
    <row r="335" spans="1:14" x14ac:dyDescent="0.25">
      <c r="A335" s="98" t="s">
        <v>33</v>
      </c>
      <c r="B335" s="59" t="s">
        <v>272</v>
      </c>
      <c r="C335" s="59" t="s">
        <v>267</v>
      </c>
      <c r="D335" s="93">
        <f t="shared" ca="1" si="29"/>
        <v>0</v>
      </c>
      <c r="E335" s="99">
        <f ca="1">COUNTIFS(follower_list.time_zone,A335,follower_list.klout_score,"&gt;="&amp;Calculations!$B$441)</f>
        <v>0</v>
      </c>
      <c r="F335" s="57"/>
      <c r="G335" s="63"/>
      <c r="H335" s="105"/>
      <c r="I335" s="63"/>
      <c r="J335" s="110"/>
      <c r="K335" s="64">
        <v>8</v>
      </c>
      <c r="L335" s="59" t="str">
        <f t="array" aca="1" ref="L335" ca="1">INDEX($F$299:$F$331,SMALL(IF(N335=$J$299:$J$331,ROW($J$299:$J$331)-ROW($J$299)+1,""),COUNTIF($N$328:N335,N335)),1)</f>
        <v>GMT-04:00</v>
      </c>
      <c r="M335" s="107">
        <f t="shared" ca="1" si="28"/>
        <v>2.2727272727272728E-2</v>
      </c>
      <c r="N335" s="115">
        <f t="shared" ca="1" si="27"/>
        <v>1</v>
      </c>
    </row>
    <row r="336" spans="1:14" x14ac:dyDescent="0.25">
      <c r="A336" s="98" t="s">
        <v>21</v>
      </c>
      <c r="B336" s="59" t="s">
        <v>271</v>
      </c>
      <c r="C336" s="59" t="s">
        <v>267</v>
      </c>
      <c r="D336" s="93">
        <f t="shared" ca="1" si="29"/>
        <v>0</v>
      </c>
      <c r="E336" s="99">
        <f ca="1">COUNTIFS(follower_list.time_zone,A336,follower_list.klout_score,"&gt;="&amp;Calculations!$B$441)</f>
        <v>0</v>
      </c>
      <c r="F336" s="57"/>
      <c r="G336" s="63"/>
      <c r="H336" s="105"/>
      <c r="I336" s="63"/>
      <c r="J336" s="110"/>
      <c r="K336" s="64">
        <v>9</v>
      </c>
      <c r="L336" s="59" t="str">
        <f t="array" aca="1" ref="L336" ca="1">INDEX($F$299:$F$331,SMALL(IF(N336=$J$299:$J$331,ROW($J$299:$J$331)-ROW($J$299)+1,""),COUNTIF($N$328:N336,N336)),1)</f>
        <v>GMT+03:00</v>
      </c>
      <c r="M336" s="107">
        <f t="shared" ca="1" si="28"/>
        <v>2.2727272727272728E-2</v>
      </c>
      <c r="N336" s="115">
        <f t="shared" ca="1" si="27"/>
        <v>1</v>
      </c>
    </row>
    <row r="337" spans="1:14" x14ac:dyDescent="0.25">
      <c r="A337" s="98" t="s">
        <v>8</v>
      </c>
      <c r="B337" s="59" t="s">
        <v>270</v>
      </c>
      <c r="C337" s="59" t="s">
        <v>267</v>
      </c>
      <c r="D337" s="93">
        <f t="shared" ca="1" si="29"/>
        <v>11</v>
      </c>
      <c r="E337" s="99">
        <f ca="1">COUNTIFS(follower_list.time_zone,A337,follower_list.klout_score,"&gt;="&amp;Calculations!$B$441)</f>
        <v>6</v>
      </c>
      <c r="F337" s="57"/>
      <c r="G337" s="63"/>
      <c r="H337" s="105"/>
      <c r="I337" s="63"/>
      <c r="J337" s="110"/>
      <c r="K337" s="64">
        <v>10</v>
      </c>
      <c r="L337" s="59" t="str">
        <f t="array" aca="1" ref="L337" ca="1">INDEX($F$299:$F$331,SMALL(IF(N337=$J$299:$J$331,ROW($J$299:$J$331)-ROW($J$299)+1,""),COUNTIF($N$328:N337,N337)),1)</f>
        <v>GMT+10:00</v>
      </c>
      <c r="M337" s="107">
        <f t="shared" ca="1" si="28"/>
        <v>2.2727272727272728E-2</v>
      </c>
      <c r="N337" s="115">
        <f t="shared" ca="1" si="27"/>
        <v>1</v>
      </c>
    </row>
    <row r="338" spans="1:14" x14ac:dyDescent="0.25">
      <c r="A338" s="98" t="s">
        <v>269</v>
      </c>
      <c r="B338" s="59" t="s">
        <v>268</v>
      </c>
      <c r="C338" s="59" t="s">
        <v>267</v>
      </c>
      <c r="D338" s="93">
        <f t="shared" ca="1" si="29"/>
        <v>0</v>
      </c>
      <c r="E338" s="99">
        <f ca="1">COUNTIFS(follower_list.time_zone,A338,follower_list.klout_score,"&gt;="&amp;Calculations!$B$441)</f>
        <v>0</v>
      </c>
      <c r="F338" s="57"/>
      <c r="G338" s="63"/>
      <c r="H338" s="105"/>
      <c r="I338" s="63"/>
      <c r="J338" s="110"/>
      <c r="K338" s="64">
        <v>11</v>
      </c>
      <c r="L338" s="59" t="e">
        <f t="array" aca="1" ref="L338" ca="1">INDEX($F$299:$F$331,SMALL(IF(N338=$J$299:$J$331,ROW($J$299:$J$331)-ROW($J$299)+1,""),COUNTIF($N$328:N338,N338)),1)</f>
        <v>#N/A</v>
      </c>
      <c r="M338" s="107" t="e">
        <f t="shared" ca="1" si="28"/>
        <v>#N/A</v>
      </c>
      <c r="N338" s="115" t="e">
        <f t="shared" ca="1" si="27"/>
        <v>#N/A</v>
      </c>
    </row>
    <row r="339" spans="1:14" x14ac:dyDescent="0.25">
      <c r="A339" s="98" t="s">
        <v>17</v>
      </c>
      <c r="B339" s="59" t="s">
        <v>266</v>
      </c>
      <c r="C339" s="59" t="s">
        <v>245</v>
      </c>
      <c r="D339" s="93">
        <f t="shared" ca="1" si="29"/>
        <v>6</v>
      </c>
      <c r="E339" s="99">
        <f ca="1">COUNTIFS(follower_list.time_zone,A339,follower_list.klout_score,"&gt;="&amp;Calculations!$B$441)</f>
        <v>3</v>
      </c>
      <c r="F339" s="57"/>
      <c r="G339" s="63"/>
      <c r="H339" s="105"/>
      <c r="I339" s="63"/>
      <c r="J339" s="110"/>
      <c r="K339" s="64">
        <v>12</v>
      </c>
      <c r="L339" s="59" t="e">
        <f t="array" aca="1" ref="L339" ca="1">INDEX($F$299:$F$331,SMALL(IF(N339=$J$299:$J$331,ROW($J$299:$J$331)-ROW($J$299)+1,""),COUNTIF($N$328:N339,N339)),1)</f>
        <v>#N/A</v>
      </c>
      <c r="M339" s="107" t="e">
        <f t="shared" ca="1" si="28"/>
        <v>#N/A</v>
      </c>
      <c r="N339" s="115" t="e">
        <f t="shared" ca="1" si="27"/>
        <v>#N/A</v>
      </c>
    </row>
    <row r="340" spans="1:14" x14ac:dyDescent="0.25">
      <c r="A340" s="98" t="s">
        <v>41</v>
      </c>
      <c r="B340" s="59" t="s">
        <v>265</v>
      </c>
      <c r="C340" s="59" t="s">
        <v>245</v>
      </c>
      <c r="D340" s="93">
        <f t="shared" ca="1" si="29"/>
        <v>0</v>
      </c>
      <c r="E340" s="99">
        <f ca="1">COUNTIFS(follower_list.time_zone,A340,follower_list.klout_score,"&gt;="&amp;Calculations!$B$441)</f>
        <v>0</v>
      </c>
      <c r="F340" s="57"/>
      <c r="G340" s="63"/>
      <c r="H340" s="105"/>
      <c r="I340" s="63"/>
      <c r="J340" s="110"/>
      <c r="K340" s="64">
        <v>13</v>
      </c>
      <c r="L340" s="59" t="e">
        <f t="array" aca="1" ref="L340" ca="1">INDEX($F$299:$F$331,SMALL(IF(N340=$J$299:$J$331,ROW($J$299:$J$331)-ROW($J$299)+1,""),COUNTIF($N$328:N340,N340)),1)</f>
        <v>#N/A</v>
      </c>
      <c r="M340" s="107" t="e">
        <f t="shared" ca="1" si="28"/>
        <v>#N/A</v>
      </c>
      <c r="N340" s="115" t="e">
        <f t="shared" ca="1" si="27"/>
        <v>#N/A</v>
      </c>
    </row>
    <row r="341" spans="1:14" x14ac:dyDescent="0.25">
      <c r="A341" s="98" t="s">
        <v>26</v>
      </c>
      <c r="B341" s="59" t="s">
        <v>264</v>
      </c>
      <c r="C341" s="59" t="s">
        <v>245</v>
      </c>
      <c r="D341" s="93">
        <f t="shared" ca="1" si="29"/>
        <v>1</v>
      </c>
      <c r="E341" s="99">
        <f ca="1">COUNTIFS(follower_list.time_zone,A341,follower_list.klout_score,"&gt;="&amp;Calculations!$B$441)</f>
        <v>1</v>
      </c>
      <c r="F341" s="57"/>
      <c r="G341" s="63"/>
      <c r="H341" s="105"/>
      <c r="I341" s="63"/>
      <c r="J341" s="110"/>
      <c r="K341" s="64">
        <v>14</v>
      </c>
      <c r="L341" s="59" t="e">
        <f t="array" aca="1" ref="L341" ca="1">INDEX($F$299:$F$331,SMALL(IF(N341=$J$299:$J$331,ROW($J$299:$J$331)-ROW($J$299)+1,""),COUNTIF($N$328:N341,N341)),1)</f>
        <v>#N/A</v>
      </c>
      <c r="M341" s="107" t="e">
        <f t="shared" ca="1" si="28"/>
        <v>#N/A</v>
      </c>
      <c r="N341" s="115" t="e">
        <f t="shared" ca="1" si="27"/>
        <v>#N/A</v>
      </c>
    </row>
    <row r="342" spans="1:14" x14ac:dyDescent="0.25">
      <c r="A342" s="98" t="s">
        <v>61</v>
      </c>
      <c r="B342" s="59" t="s">
        <v>263</v>
      </c>
      <c r="C342" s="59" t="s">
        <v>245</v>
      </c>
      <c r="D342" s="93">
        <f t="shared" ca="1" si="29"/>
        <v>1</v>
      </c>
      <c r="E342" s="99">
        <f ca="1">COUNTIFS(follower_list.time_zone,A342,follower_list.klout_score,"&gt;="&amp;Calculations!$B$441)</f>
        <v>1</v>
      </c>
      <c r="F342" s="57"/>
      <c r="G342" s="63"/>
      <c r="H342" s="105"/>
      <c r="I342" s="63"/>
      <c r="J342" s="110"/>
      <c r="K342" s="64">
        <v>15</v>
      </c>
      <c r="L342" s="59" t="e">
        <f t="array" aca="1" ref="L342" ca="1">INDEX($F$299:$F$331,SMALL(IF(N342=$J$299:$J$331,ROW($J$299:$J$331)-ROW($J$299)+1,""),COUNTIF($N$328:N342,N342)),1)</f>
        <v>#N/A</v>
      </c>
      <c r="M342" s="107" t="e">
        <f t="shared" ca="1" si="28"/>
        <v>#N/A</v>
      </c>
      <c r="N342" s="115" t="e">
        <f t="shared" ca="1" si="27"/>
        <v>#N/A</v>
      </c>
    </row>
    <row r="343" spans="1:14" x14ac:dyDescent="0.25">
      <c r="A343" s="98" t="s">
        <v>75</v>
      </c>
      <c r="B343" s="59" t="s">
        <v>262</v>
      </c>
      <c r="C343" s="59" t="s">
        <v>245</v>
      </c>
      <c r="D343" s="93">
        <f t="shared" ca="1" si="29"/>
        <v>0</v>
      </c>
      <c r="E343" s="99">
        <f ca="1">COUNTIFS(follower_list.time_zone,A343,follower_list.klout_score,"&gt;="&amp;Calculations!$B$441)</f>
        <v>0</v>
      </c>
      <c r="F343" s="57"/>
      <c r="G343" s="63"/>
      <c r="H343" s="105"/>
      <c r="I343" s="63"/>
      <c r="J343" s="110"/>
      <c r="K343" s="64">
        <v>16</v>
      </c>
      <c r="L343" s="59" t="e">
        <f t="array" aca="1" ref="L343" ca="1">INDEX($F$299:$F$331,SMALL(IF(N343=$J$299:$J$331,ROW($J$299:$J$331)-ROW($J$299)+1,""),COUNTIF($N$328:N343,N343)),1)</f>
        <v>#N/A</v>
      </c>
      <c r="M343" s="107" t="e">
        <f t="shared" ca="1" si="28"/>
        <v>#N/A</v>
      </c>
      <c r="N343" s="115" t="e">
        <f t="shared" ca="1" si="27"/>
        <v>#N/A</v>
      </c>
    </row>
    <row r="344" spans="1:14" x14ac:dyDescent="0.25">
      <c r="A344" s="98" t="s">
        <v>39</v>
      </c>
      <c r="B344" s="59" t="s">
        <v>261</v>
      </c>
      <c r="C344" s="59" t="s">
        <v>245</v>
      </c>
      <c r="D344" s="93">
        <f t="shared" ca="1" si="29"/>
        <v>4</v>
      </c>
      <c r="E344" s="99">
        <f ca="1">COUNTIFS(follower_list.time_zone,A344,follower_list.klout_score,"&gt;="&amp;Calculations!$B$441)</f>
        <v>2</v>
      </c>
      <c r="F344" s="57"/>
      <c r="G344" s="63"/>
      <c r="H344" s="105"/>
      <c r="I344" s="63"/>
      <c r="J344" s="110"/>
      <c r="K344" s="64">
        <v>17</v>
      </c>
      <c r="L344" s="59" t="e">
        <f t="array" aca="1" ref="L344" ca="1">INDEX($F$299:$F$331,SMALL(IF(N344=$J$299:$J$331,ROW($J$299:$J$331)-ROW($J$299)+1,""),COUNTIF($N$328:N344,N344)),1)</f>
        <v>#N/A</v>
      </c>
      <c r="M344" s="107" t="e">
        <f t="shared" ca="1" si="28"/>
        <v>#N/A</v>
      </c>
      <c r="N344" s="115" t="e">
        <f t="shared" ca="1" si="27"/>
        <v>#N/A</v>
      </c>
    </row>
    <row r="345" spans="1:14" x14ac:dyDescent="0.25">
      <c r="A345" s="98" t="s">
        <v>20</v>
      </c>
      <c r="B345" s="59" t="s">
        <v>260</v>
      </c>
      <c r="C345" s="59" t="s">
        <v>245</v>
      </c>
      <c r="D345" s="93">
        <f t="shared" ca="1" si="29"/>
        <v>1</v>
      </c>
      <c r="E345" s="99">
        <f ca="1">COUNTIFS(follower_list.time_zone,A345,follower_list.klout_score,"&gt;="&amp;Calculations!$B$441)</f>
        <v>0</v>
      </c>
      <c r="F345" s="57"/>
      <c r="G345" s="63"/>
      <c r="H345" s="105"/>
      <c r="I345" s="63"/>
      <c r="J345" s="110"/>
      <c r="K345" s="64">
        <v>18</v>
      </c>
      <c r="L345" s="59" t="e">
        <f t="array" aca="1" ref="L345" ca="1">INDEX($F$299:$F$331,SMALL(IF(N345=$J$299:$J$331,ROW($J$299:$J$331)-ROW($J$299)+1,""),COUNTIF($N$328:N345,N345)),1)</f>
        <v>#N/A</v>
      </c>
      <c r="M345" s="107" t="e">
        <f t="shared" ca="1" si="28"/>
        <v>#N/A</v>
      </c>
      <c r="N345" s="115" t="e">
        <f t="shared" ca="1" si="27"/>
        <v>#N/A</v>
      </c>
    </row>
    <row r="346" spans="1:14" x14ac:dyDescent="0.25">
      <c r="A346" s="98" t="s">
        <v>59</v>
      </c>
      <c r="B346" s="59" t="s">
        <v>259</v>
      </c>
      <c r="C346" s="59" t="s">
        <v>245</v>
      </c>
      <c r="D346" s="93">
        <f t="shared" ca="1" si="29"/>
        <v>0</v>
      </c>
      <c r="E346" s="99">
        <f ca="1">COUNTIFS(follower_list.time_zone,A346,follower_list.klout_score,"&gt;="&amp;Calculations!$B$441)</f>
        <v>0</v>
      </c>
      <c r="F346" s="57"/>
      <c r="G346" s="63"/>
      <c r="H346" s="105"/>
      <c r="I346" s="63"/>
      <c r="J346" s="110"/>
      <c r="K346" s="64">
        <v>19</v>
      </c>
      <c r="L346" s="59" t="e">
        <f t="array" aca="1" ref="L346" ca="1">INDEX($F$299:$F$331,SMALL(IF(N346=$J$299:$J$331,ROW($J$299:$J$331)-ROW($J$299)+1,""),COUNTIF($N$328:N346,N346)),1)</f>
        <v>#N/A</v>
      </c>
      <c r="M346" s="107" t="e">
        <f t="shared" ca="1" si="28"/>
        <v>#N/A</v>
      </c>
      <c r="N346" s="115" t="e">
        <f t="shared" ca="1" si="27"/>
        <v>#N/A</v>
      </c>
    </row>
    <row r="347" spans="1:14" x14ac:dyDescent="0.25">
      <c r="A347" s="98" t="s">
        <v>105</v>
      </c>
      <c r="B347" s="59" t="s">
        <v>258</v>
      </c>
      <c r="C347" s="59" t="s">
        <v>245</v>
      </c>
      <c r="D347" s="93">
        <f t="shared" ca="1" si="29"/>
        <v>1</v>
      </c>
      <c r="E347" s="99">
        <f ca="1">COUNTIFS(follower_list.time_zone,A347,follower_list.klout_score,"&gt;="&amp;Calculations!$B$441)</f>
        <v>1</v>
      </c>
      <c r="F347" s="57"/>
      <c r="G347" s="63"/>
      <c r="H347" s="105"/>
      <c r="I347" s="63"/>
      <c r="J347" s="110"/>
      <c r="K347" s="64">
        <v>20</v>
      </c>
      <c r="L347" s="59" t="e">
        <f t="array" aca="1" ref="L347" ca="1">INDEX($F$299:$F$331,SMALL(IF(N347=$J$299:$J$331,ROW($J$299:$J$331)-ROW($J$299)+1,""),COUNTIF($N$328:N347,N347)),1)</f>
        <v>#N/A</v>
      </c>
      <c r="M347" s="107" t="e">
        <f t="shared" ca="1" si="28"/>
        <v>#N/A</v>
      </c>
      <c r="N347" s="115" t="e">
        <f t="shared" ca="1" si="27"/>
        <v>#N/A</v>
      </c>
    </row>
    <row r="348" spans="1:14" x14ac:dyDescent="0.25">
      <c r="A348" s="98" t="s">
        <v>7</v>
      </c>
      <c r="B348" s="59" t="s">
        <v>257</v>
      </c>
      <c r="C348" s="59" t="s">
        <v>245</v>
      </c>
      <c r="D348" s="93">
        <f t="shared" ca="1" si="29"/>
        <v>1</v>
      </c>
      <c r="E348" s="99">
        <f ca="1">COUNTIFS(follower_list.time_zone,A348,follower_list.klout_score,"&gt;="&amp;Calculations!$B$441)</f>
        <v>0</v>
      </c>
      <c r="F348" s="57"/>
      <c r="G348" s="63"/>
      <c r="H348" s="105"/>
      <c r="I348" s="63"/>
      <c r="J348" s="110"/>
      <c r="K348" s="64">
        <v>21</v>
      </c>
      <c r="L348" s="59" t="e">
        <f t="array" aca="1" ref="L348" ca="1">INDEX($F$299:$F$331,SMALL(IF(N348=$J$299:$J$331,ROW($J$299:$J$331)-ROW($J$299)+1,""),COUNTIF($N$328:N348,N348)),1)</f>
        <v>#N/A</v>
      </c>
      <c r="M348" s="107" t="e">
        <f t="shared" ca="1" si="28"/>
        <v>#N/A</v>
      </c>
      <c r="N348" s="115" t="e">
        <f t="shared" ca="1" si="27"/>
        <v>#N/A</v>
      </c>
    </row>
    <row r="349" spans="1:14" x14ac:dyDescent="0.25">
      <c r="A349" s="98" t="s">
        <v>10</v>
      </c>
      <c r="B349" s="59" t="s">
        <v>256</v>
      </c>
      <c r="C349" s="59" t="s">
        <v>245</v>
      </c>
      <c r="D349" s="93">
        <f t="shared" ca="1" si="29"/>
        <v>2</v>
      </c>
      <c r="E349" s="99">
        <f ca="1">COUNTIFS(follower_list.time_zone,A349,follower_list.klout_score,"&gt;="&amp;Calculations!$B$441)</f>
        <v>0</v>
      </c>
      <c r="F349" s="57"/>
      <c r="G349" s="63"/>
      <c r="H349" s="105"/>
      <c r="I349" s="63"/>
      <c r="J349" s="110"/>
      <c r="K349" s="64">
        <v>22</v>
      </c>
      <c r="L349" s="59" t="e">
        <f t="array" aca="1" ref="L349" ca="1">INDEX($F$299:$F$331,SMALL(IF(N349=$J$299:$J$331,ROW($J$299:$J$331)-ROW($J$299)+1,""),COUNTIF($N$328:N349,N349)),1)</f>
        <v>#N/A</v>
      </c>
      <c r="M349" s="107" t="e">
        <f t="shared" ca="1" si="28"/>
        <v>#N/A</v>
      </c>
      <c r="N349" s="115" t="e">
        <f t="shared" ca="1" si="27"/>
        <v>#N/A</v>
      </c>
    </row>
    <row r="350" spans="1:14" x14ac:dyDescent="0.25">
      <c r="A350" s="98" t="s">
        <v>58</v>
      </c>
      <c r="B350" s="59" t="s">
        <v>255</v>
      </c>
      <c r="C350" s="59" t="s">
        <v>245</v>
      </c>
      <c r="D350" s="93">
        <f t="shared" ca="1" si="29"/>
        <v>0</v>
      </c>
      <c r="E350" s="99">
        <f ca="1">COUNTIFS(follower_list.time_zone,A350,follower_list.klout_score,"&gt;="&amp;Calculations!$B$441)</f>
        <v>0</v>
      </c>
      <c r="F350" s="57"/>
      <c r="G350" s="63"/>
      <c r="H350" s="105"/>
      <c r="I350" s="63"/>
      <c r="J350" s="110"/>
      <c r="K350" s="64">
        <v>23</v>
      </c>
      <c r="L350" s="59" t="e">
        <f t="array" aca="1" ref="L350" ca="1">INDEX($F$299:$F$331,SMALL(IF(N350=$J$299:$J$331,ROW($J$299:$J$331)-ROW($J$299)+1,""),COUNTIF($N$328:N350,N350)),1)</f>
        <v>#N/A</v>
      </c>
      <c r="M350" s="107" t="e">
        <f t="shared" ca="1" si="28"/>
        <v>#N/A</v>
      </c>
      <c r="N350" s="115" t="e">
        <f t="shared" ca="1" si="27"/>
        <v>#N/A</v>
      </c>
    </row>
    <row r="351" spans="1:14" x14ac:dyDescent="0.25">
      <c r="A351" s="98" t="s">
        <v>60</v>
      </c>
      <c r="B351" s="59" t="s">
        <v>254</v>
      </c>
      <c r="C351" s="59" t="s">
        <v>245</v>
      </c>
      <c r="D351" s="93">
        <f t="shared" ca="1" si="29"/>
        <v>9</v>
      </c>
      <c r="E351" s="99">
        <f ca="1">COUNTIFS(follower_list.time_zone,A351,follower_list.klout_score,"&gt;="&amp;Calculations!$B$441)</f>
        <v>8</v>
      </c>
      <c r="F351" s="57"/>
      <c r="G351" s="63"/>
      <c r="H351" s="105"/>
      <c r="I351" s="63"/>
      <c r="J351" s="110"/>
      <c r="K351" s="64">
        <v>24</v>
      </c>
      <c r="L351" s="59" t="e">
        <f t="array" aca="1" ref="L351" ca="1">INDEX($F$299:$F$331,SMALL(IF(N351=$J$299:$J$331,ROW($J$299:$J$331)-ROW($J$299)+1,""),COUNTIF($N$328:N351,N351)),1)</f>
        <v>#N/A</v>
      </c>
      <c r="M351" s="107" t="e">
        <f t="shared" ca="1" si="28"/>
        <v>#N/A</v>
      </c>
      <c r="N351" s="115" t="e">
        <f t="shared" ca="1" si="27"/>
        <v>#N/A</v>
      </c>
    </row>
    <row r="352" spans="1:14" x14ac:dyDescent="0.25">
      <c r="A352" s="98" t="s">
        <v>92</v>
      </c>
      <c r="B352" s="59" t="s">
        <v>253</v>
      </c>
      <c r="C352" s="59" t="s">
        <v>245</v>
      </c>
      <c r="D352" s="93">
        <f t="shared" ca="1" si="29"/>
        <v>0</v>
      </c>
      <c r="E352" s="99">
        <f ca="1">COUNTIFS(follower_list.time_zone,A352,follower_list.klout_score,"&gt;="&amp;Calculations!$B$441)</f>
        <v>0</v>
      </c>
      <c r="F352" s="57"/>
      <c r="G352" s="63"/>
      <c r="H352" s="105"/>
      <c r="I352" s="63"/>
      <c r="J352" s="110"/>
      <c r="K352" s="64">
        <v>25</v>
      </c>
      <c r="L352" s="59" t="e">
        <f t="array" aca="1" ref="L352" ca="1">INDEX($F$299:$F$331,SMALL(IF(N352=$J$299:$J$331,ROW($J$299:$J$331)-ROW($J$299)+1,""),COUNTIF($N$328:N352,N352)),1)</f>
        <v>#N/A</v>
      </c>
      <c r="M352" s="107" t="e">
        <f t="shared" ca="1" si="28"/>
        <v>#N/A</v>
      </c>
      <c r="N352" s="115" t="e">
        <f ca="1">IF(LARGE($J$299:$J$331,K352)=0,NA(),LARGE($J$299:$J$331,K352))</f>
        <v>#N/A</v>
      </c>
    </row>
    <row r="353" spans="1:14" x14ac:dyDescent="0.25">
      <c r="A353" s="98" t="s">
        <v>252</v>
      </c>
      <c r="B353" s="59" t="s">
        <v>251</v>
      </c>
      <c r="C353" s="59" t="s">
        <v>245</v>
      </c>
      <c r="D353" s="93">
        <f t="shared" ca="1" si="29"/>
        <v>0</v>
      </c>
      <c r="E353" s="99">
        <f ca="1">COUNTIFS(follower_list.time_zone,A353,follower_list.klout_score,"&gt;="&amp;Calculations!$B$441)</f>
        <v>0</v>
      </c>
      <c r="F353" s="57"/>
      <c r="G353" s="63"/>
      <c r="H353" s="105"/>
      <c r="I353" s="63"/>
      <c r="J353" s="110"/>
      <c r="K353" s="64"/>
      <c r="L353" s="59"/>
      <c r="M353" s="65"/>
      <c r="N353" s="62"/>
    </row>
    <row r="354" spans="1:14" x14ac:dyDescent="0.25">
      <c r="A354" s="98" t="s">
        <v>31</v>
      </c>
      <c r="B354" s="59" t="s">
        <v>250</v>
      </c>
      <c r="C354" s="59" t="s">
        <v>245</v>
      </c>
      <c r="D354" s="93">
        <f t="shared" ca="1" si="29"/>
        <v>0</v>
      </c>
      <c r="E354" s="99">
        <f ca="1">COUNTIFS(follower_list.time_zone,A354,follower_list.klout_score,"&gt;="&amp;Calculations!$B$441)</f>
        <v>0</v>
      </c>
      <c r="F354" s="57"/>
      <c r="G354" s="63"/>
      <c r="H354" s="105"/>
      <c r="I354" s="63"/>
      <c r="J354" s="110"/>
      <c r="K354" s="64"/>
      <c r="L354" s="59"/>
      <c r="M354" s="65"/>
      <c r="N354" s="62"/>
    </row>
    <row r="355" spans="1:14" x14ac:dyDescent="0.25">
      <c r="A355" s="98" t="s">
        <v>66</v>
      </c>
      <c r="B355" s="59" t="s">
        <v>249</v>
      </c>
      <c r="C355" s="59" t="s">
        <v>245</v>
      </c>
      <c r="D355" s="93">
        <f t="shared" ca="1" si="29"/>
        <v>0</v>
      </c>
      <c r="E355" s="99">
        <f ca="1">COUNTIFS(follower_list.time_zone,A355,follower_list.klout_score,"&gt;="&amp;Calculations!$B$441)</f>
        <v>0</v>
      </c>
      <c r="F355" s="57"/>
      <c r="G355" s="63"/>
      <c r="H355" s="105"/>
      <c r="I355" s="63"/>
      <c r="J355" s="110"/>
      <c r="K355" s="64"/>
      <c r="L355" s="59"/>
      <c r="M355" s="65"/>
      <c r="N355" s="62"/>
    </row>
    <row r="356" spans="1:14" x14ac:dyDescent="0.25">
      <c r="A356" s="98" t="s">
        <v>94</v>
      </c>
      <c r="B356" s="59" t="s">
        <v>248</v>
      </c>
      <c r="C356" s="59" t="s">
        <v>245</v>
      </c>
      <c r="D356" s="93">
        <f t="shared" ca="1" si="29"/>
        <v>2</v>
      </c>
      <c r="E356" s="99">
        <f ca="1">COUNTIFS(follower_list.time_zone,A356,follower_list.klout_score,"&gt;="&amp;Calculations!$B$441)</f>
        <v>1</v>
      </c>
      <c r="F356" s="57"/>
      <c r="G356" s="63"/>
      <c r="H356" s="105"/>
      <c r="I356" s="63"/>
      <c r="J356" s="110"/>
      <c r="K356" s="64"/>
      <c r="L356" s="59"/>
      <c r="M356" s="65"/>
      <c r="N356" s="62"/>
    </row>
    <row r="357" spans="1:14" x14ac:dyDescent="0.25">
      <c r="A357" s="98" t="s">
        <v>90</v>
      </c>
      <c r="B357" s="59" t="s">
        <v>247</v>
      </c>
      <c r="C357" s="59" t="s">
        <v>245</v>
      </c>
      <c r="D357" s="93">
        <f t="shared" ca="1" si="29"/>
        <v>1</v>
      </c>
      <c r="E357" s="99">
        <f ca="1">COUNTIFS(follower_list.time_zone,A357,follower_list.klout_score,"&gt;="&amp;Calculations!$B$441)</f>
        <v>0</v>
      </c>
      <c r="F357" s="57"/>
      <c r="G357" s="63"/>
      <c r="H357" s="105"/>
      <c r="I357" s="63"/>
      <c r="J357" s="110"/>
      <c r="K357" s="64"/>
      <c r="L357" s="59"/>
      <c r="M357" s="65"/>
      <c r="N357" s="62"/>
    </row>
    <row r="358" spans="1:14" x14ac:dyDescent="0.25">
      <c r="A358" s="98" t="s">
        <v>29</v>
      </c>
      <c r="B358" s="59" t="s">
        <v>246</v>
      </c>
      <c r="C358" s="59" t="s">
        <v>245</v>
      </c>
      <c r="D358" s="93">
        <f t="shared" ca="1" si="29"/>
        <v>0</v>
      </c>
      <c r="E358" s="99">
        <f ca="1">COUNTIFS(follower_list.time_zone,A358,follower_list.klout_score,"&gt;="&amp;Calculations!$B$441)</f>
        <v>0</v>
      </c>
      <c r="F358" s="57"/>
      <c r="G358" s="63"/>
      <c r="H358" s="105"/>
      <c r="I358" s="63"/>
      <c r="J358" s="110"/>
      <c r="K358" s="64"/>
      <c r="L358" s="59"/>
      <c r="M358" s="65"/>
      <c r="N358" s="62"/>
    </row>
    <row r="359" spans="1:14" x14ac:dyDescent="0.25">
      <c r="A359" s="98" t="s">
        <v>35</v>
      </c>
      <c r="B359" s="59" t="s">
        <v>244</v>
      </c>
      <c r="C359" s="59" t="s">
        <v>228</v>
      </c>
      <c r="D359" s="93">
        <f t="shared" ca="1" si="29"/>
        <v>6</v>
      </c>
      <c r="E359" s="99">
        <f ca="1">COUNTIFS(follower_list.time_zone,A359,follower_list.klout_score,"&gt;="&amp;Calculations!$B$441)</f>
        <v>3</v>
      </c>
      <c r="F359" s="57"/>
      <c r="G359" s="63"/>
      <c r="H359" s="105"/>
      <c r="I359" s="63"/>
      <c r="J359" s="110"/>
      <c r="K359" s="64"/>
      <c r="L359" s="59"/>
      <c r="M359" s="65"/>
      <c r="N359" s="62"/>
    </row>
    <row r="360" spans="1:14" x14ac:dyDescent="0.25">
      <c r="A360" s="98" t="s">
        <v>18</v>
      </c>
      <c r="B360" s="59" t="s">
        <v>243</v>
      </c>
      <c r="C360" s="59" t="s">
        <v>228</v>
      </c>
      <c r="D360" s="93">
        <f t="shared" ca="1" si="29"/>
        <v>0</v>
      </c>
      <c r="E360" s="99">
        <f ca="1">COUNTIFS(follower_list.time_zone,A360,follower_list.klout_score,"&gt;="&amp;Calculations!$B$441)</f>
        <v>0</v>
      </c>
      <c r="F360" s="57"/>
      <c r="G360" s="63"/>
      <c r="H360" s="105"/>
      <c r="I360" s="63"/>
      <c r="J360" s="110"/>
      <c r="K360" s="64"/>
      <c r="L360" s="59"/>
      <c r="M360" s="65"/>
      <c r="N360" s="62"/>
    </row>
    <row r="361" spans="1:14" x14ac:dyDescent="0.25">
      <c r="A361" s="98" t="s">
        <v>96</v>
      </c>
      <c r="B361" s="59" t="s">
        <v>242</v>
      </c>
      <c r="C361" s="59" t="s">
        <v>228</v>
      </c>
      <c r="D361" s="93">
        <f t="shared" ca="1" si="29"/>
        <v>0</v>
      </c>
      <c r="E361" s="99">
        <f ca="1">COUNTIFS(follower_list.time_zone,A361,follower_list.klout_score,"&gt;="&amp;Calculations!$B$441)</f>
        <v>0</v>
      </c>
      <c r="F361" s="57"/>
      <c r="G361" s="63"/>
      <c r="H361" s="105"/>
      <c r="I361" s="63"/>
      <c r="J361" s="110"/>
      <c r="K361" s="64"/>
      <c r="L361" s="59"/>
      <c r="M361" s="65"/>
      <c r="N361" s="62"/>
    </row>
    <row r="362" spans="1:14" x14ac:dyDescent="0.25">
      <c r="A362" s="98" t="s">
        <v>241</v>
      </c>
      <c r="B362" s="59" t="s">
        <v>240</v>
      </c>
      <c r="C362" s="59" t="s">
        <v>228</v>
      </c>
      <c r="D362" s="93">
        <f t="shared" ca="1" si="29"/>
        <v>0</v>
      </c>
      <c r="E362" s="99">
        <f ca="1">COUNTIFS(follower_list.time_zone,A362,follower_list.klout_score,"&gt;="&amp;Calculations!$B$441)</f>
        <v>0</v>
      </c>
      <c r="F362" s="57"/>
      <c r="G362" s="63"/>
      <c r="H362" s="105"/>
      <c r="I362" s="63"/>
      <c r="J362" s="110"/>
      <c r="K362" s="64"/>
      <c r="L362" s="59"/>
      <c r="M362" s="65"/>
      <c r="N362" s="62"/>
    </row>
    <row r="363" spans="1:14" x14ac:dyDescent="0.25">
      <c r="A363" s="98" t="s">
        <v>79</v>
      </c>
      <c r="B363" s="59" t="s">
        <v>239</v>
      </c>
      <c r="C363" s="59" t="s">
        <v>228</v>
      </c>
      <c r="D363" s="93">
        <f t="shared" ref="D363:D394" ca="1" si="30">COUNTIF(follower_list.time_zone,A363)</f>
        <v>0</v>
      </c>
      <c r="E363" s="99">
        <f ca="1">COUNTIFS(follower_list.time_zone,A363,follower_list.klout_score,"&gt;="&amp;Calculations!$B$441)</f>
        <v>0</v>
      </c>
      <c r="F363" s="57"/>
      <c r="G363" s="63"/>
      <c r="H363" s="105"/>
      <c r="I363" s="63"/>
      <c r="J363" s="110"/>
      <c r="K363" s="64"/>
      <c r="L363" s="59"/>
      <c r="M363" s="65"/>
      <c r="N363" s="62"/>
    </row>
    <row r="364" spans="1:14" x14ac:dyDescent="0.25">
      <c r="A364" s="98" t="s">
        <v>42</v>
      </c>
      <c r="B364" s="59" t="s">
        <v>238</v>
      </c>
      <c r="C364" s="59" t="s">
        <v>228</v>
      </c>
      <c r="D364" s="93">
        <f t="shared" ca="1" si="30"/>
        <v>1</v>
      </c>
      <c r="E364" s="99">
        <f ca="1">COUNTIFS(follower_list.time_zone,A364,follower_list.klout_score,"&gt;="&amp;Calculations!$B$441)</f>
        <v>0</v>
      </c>
      <c r="F364" s="57"/>
      <c r="G364" s="63"/>
      <c r="H364" s="105"/>
      <c r="I364" s="63"/>
      <c r="J364" s="110"/>
      <c r="K364" s="64"/>
      <c r="L364" s="59"/>
      <c r="M364" s="65"/>
      <c r="N364" s="62"/>
    </row>
    <row r="365" spans="1:14" x14ac:dyDescent="0.25">
      <c r="A365" s="98" t="s">
        <v>81</v>
      </c>
      <c r="B365" s="59" t="s">
        <v>237</v>
      </c>
      <c r="C365" s="59" t="s">
        <v>228</v>
      </c>
      <c r="D365" s="93">
        <f t="shared" ca="1" si="30"/>
        <v>0</v>
      </c>
      <c r="E365" s="99">
        <f ca="1">COUNTIFS(follower_list.time_zone,A365,follower_list.klout_score,"&gt;="&amp;Calculations!$B$441)</f>
        <v>0</v>
      </c>
      <c r="F365" s="57"/>
      <c r="G365" s="63"/>
      <c r="H365" s="105"/>
      <c r="I365" s="63"/>
      <c r="J365" s="110"/>
      <c r="K365" s="64"/>
      <c r="L365" s="59"/>
      <c r="M365" s="65"/>
      <c r="N365" s="62"/>
    </row>
    <row r="366" spans="1:14" x14ac:dyDescent="0.25">
      <c r="A366" s="98" t="s">
        <v>97</v>
      </c>
      <c r="B366" s="59" t="s">
        <v>236</v>
      </c>
      <c r="C366" s="59" t="s">
        <v>228</v>
      </c>
      <c r="D366" s="93">
        <f t="shared" ca="1" si="30"/>
        <v>1</v>
      </c>
      <c r="E366" s="99">
        <f ca="1">COUNTIFS(follower_list.time_zone,A366,follower_list.klout_score,"&gt;="&amp;Calculations!$B$441)</f>
        <v>1</v>
      </c>
      <c r="F366" s="57"/>
      <c r="G366" s="63"/>
      <c r="H366" s="105"/>
      <c r="I366" s="63"/>
      <c r="J366" s="110"/>
      <c r="K366" s="64"/>
      <c r="L366" s="59"/>
      <c r="M366" s="65"/>
      <c r="N366" s="62"/>
    </row>
    <row r="367" spans="1:14" x14ac:dyDescent="0.25">
      <c r="A367" s="98" t="s">
        <v>235</v>
      </c>
      <c r="B367" s="59" t="s">
        <v>234</v>
      </c>
      <c r="C367" s="59" t="s">
        <v>228</v>
      </c>
      <c r="D367" s="93">
        <f t="shared" ca="1" si="30"/>
        <v>0</v>
      </c>
      <c r="E367" s="99">
        <f ca="1">COUNTIFS(follower_list.time_zone,A367,follower_list.klout_score,"&gt;="&amp;Calculations!$B$441)</f>
        <v>0</v>
      </c>
      <c r="F367" s="57"/>
      <c r="G367" s="63"/>
      <c r="H367" s="105"/>
      <c r="I367" s="63"/>
      <c r="J367" s="110"/>
      <c r="K367" s="64"/>
      <c r="L367" s="59"/>
      <c r="M367" s="65"/>
      <c r="N367" s="62"/>
    </row>
    <row r="368" spans="1:14" x14ac:dyDescent="0.25">
      <c r="A368" s="98" t="s">
        <v>62</v>
      </c>
      <c r="B368" s="59" t="s">
        <v>233</v>
      </c>
      <c r="C368" s="59" t="s">
        <v>228</v>
      </c>
      <c r="D368" s="93">
        <f t="shared" ca="1" si="30"/>
        <v>0</v>
      </c>
      <c r="E368" s="99">
        <f ca="1">COUNTIFS(follower_list.time_zone,A368,follower_list.klout_score,"&gt;="&amp;Calculations!$B$441)</f>
        <v>0</v>
      </c>
      <c r="F368" s="57"/>
      <c r="G368" s="63"/>
      <c r="H368" s="105"/>
      <c r="I368" s="63"/>
      <c r="J368" s="110"/>
      <c r="K368" s="64"/>
      <c r="L368" s="59"/>
      <c r="M368" s="65"/>
      <c r="N368" s="62"/>
    </row>
    <row r="369" spans="1:14" x14ac:dyDescent="0.25">
      <c r="A369" s="98" t="s">
        <v>83</v>
      </c>
      <c r="B369" s="59" t="s">
        <v>232</v>
      </c>
      <c r="C369" s="59" t="s">
        <v>228</v>
      </c>
      <c r="D369" s="93">
        <f t="shared" ca="1" si="30"/>
        <v>1</v>
      </c>
      <c r="E369" s="99">
        <f ca="1">COUNTIFS(follower_list.time_zone,A369,follower_list.klout_score,"&gt;="&amp;Calculations!$B$441)</f>
        <v>0</v>
      </c>
      <c r="F369" s="57"/>
      <c r="G369" s="63"/>
      <c r="H369" s="105"/>
      <c r="I369" s="63"/>
      <c r="J369" s="110"/>
      <c r="K369" s="64"/>
      <c r="L369" s="59"/>
      <c r="M369" s="65"/>
      <c r="N369" s="62"/>
    </row>
    <row r="370" spans="1:14" x14ac:dyDescent="0.25">
      <c r="A370" s="98" t="s">
        <v>67</v>
      </c>
      <c r="B370" s="59" t="s">
        <v>231</v>
      </c>
      <c r="C370" s="59" t="s">
        <v>228</v>
      </c>
      <c r="D370" s="93">
        <f t="shared" ca="1" si="30"/>
        <v>0</v>
      </c>
      <c r="E370" s="99">
        <f ca="1">COUNTIFS(follower_list.time_zone,A370,follower_list.klout_score,"&gt;="&amp;Calculations!$B$441)</f>
        <v>0</v>
      </c>
      <c r="F370" s="57"/>
      <c r="G370" s="63"/>
      <c r="H370" s="105"/>
      <c r="I370" s="63"/>
      <c r="J370" s="110"/>
      <c r="K370" s="64"/>
      <c r="L370" s="59"/>
      <c r="M370" s="65"/>
      <c r="N370" s="62"/>
    </row>
    <row r="371" spans="1:14" x14ac:dyDescent="0.25">
      <c r="A371" s="98" t="s">
        <v>99</v>
      </c>
      <c r="B371" s="59" t="s">
        <v>230</v>
      </c>
      <c r="C371" s="59" t="s">
        <v>228</v>
      </c>
      <c r="D371" s="93">
        <f t="shared" ca="1" si="30"/>
        <v>0</v>
      </c>
      <c r="E371" s="99">
        <f ca="1">COUNTIFS(follower_list.time_zone,A371,follower_list.klout_score,"&gt;="&amp;Calculations!$B$441)</f>
        <v>0</v>
      </c>
      <c r="F371" s="57"/>
      <c r="G371" s="63"/>
      <c r="H371" s="105"/>
      <c r="I371" s="63"/>
      <c r="J371" s="110"/>
      <c r="K371" s="64"/>
      <c r="L371" s="59"/>
      <c r="M371" s="65"/>
      <c r="N371" s="62"/>
    </row>
    <row r="372" spans="1:14" x14ac:dyDescent="0.25">
      <c r="A372" s="98" t="s">
        <v>76</v>
      </c>
      <c r="B372" s="59" t="s">
        <v>229</v>
      </c>
      <c r="C372" s="59" t="s">
        <v>228</v>
      </c>
      <c r="D372" s="93">
        <f t="shared" ca="1" si="30"/>
        <v>0</v>
      </c>
      <c r="E372" s="99">
        <f ca="1">COUNTIFS(follower_list.time_zone,A372,follower_list.klout_score,"&gt;="&amp;Calculations!$B$441)</f>
        <v>0</v>
      </c>
      <c r="F372" s="57"/>
      <c r="G372" s="63"/>
      <c r="H372" s="105"/>
      <c r="I372" s="63"/>
      <c r="J372" s="110"/>
      <c r="K372" s="64"/>
      <c r="L372" s="59"/>
      <c r="M372" s="65"/>
      <c r="N372" s="62"/>
    </row>
    <row r="373" spans="1:14" x14ac:dyDescent="0.25">
      <c r="A373" s="98" t="s">
        <v>227</v>
      </c>
      <c r="B373" s="59" t="s">
        <v>226</v>
      </c>
      <c r="C373" s="59" t="s">
        <v>218</v>
      </c>
      <c r="D373" s="93">
        <f t="shared" ca="1" si="30"/>
        <v>0</v>
      </c>
      <c r="E373" s="99">
        <f ca="1">COUNTIFS(follower_list.time_zone,A373,follower_list.klout_score,"&gt;="&amp;Calculations!$B$441)</f>
        <v>0</v>
      </c>
      <c r="F373" s="57"/>
      <c r="G373" s="63"/>
      <c r="H373" s="105"/>
      <c r="I373" s="63"/>
      <c r="J373" s="110"/>
      <c r="K373" s="64"/>
      <c r="L373" s="59"/>
      <c r="M373" s="65"/>
      <c r="N373" s="62"/>
    </row>
    <row r="374" spans="1:14" x14ac:dyDescent="0.25">
      <c r="A374" s="98" t="s">
        <v>91</v>
      </c>
      <c r="B374" s="59" t="s">
        <v>225</v>
      </c>
      <c r="C374" s="59" t="s">
        <v>218</v>
      </c>
      <c r="D374" s="93">
        <f t="shared" ca="1" si="30"/>
        <v>0</v>
      </c>
      <c r="E374" s="99">
        <f ca="1">COUNTIFS(follower_list.time_zone,A374,follower_list.klout_score,"&gt;="&amp;Calculations!$B$441)</f>
        <v>0</v>
      </c>
      <c r="F374" s="57"/>
      <c r="G374" s="63"/>
      <c r="H374" s="105"/>
      <c r="I374" s="63"/>
      <c r="J374" s="110"/>
      <c r="K374" s="64"/>
      <c r="L374" s="59"/>
      <c r="M374" s="65"/>
      <c r="N374" s="62"/>
    </row>
    <row r="375" spans="1:14" x14ac:dyDescent="0.25">
      <c r="A375" s="98" t="s">
        <v>14</v>
      </c>
      <c r="B375" s="59" t="s">
        <v>224</v>
      </c>
      <c r="C375" s="59" t="s">
        <v>218</v>
      </c>
      <c r="D375" s="93">
        <f t="shared" ca="1" si="30"/>
        <v>0</v>
      </c>
      <c r="E375" s="99">
        <f ca="1">COUNTIFS(follower_list.time_zone,A375,follower_list.klout_score,"&gt;="&amp;Calculations!$B$441)</f>
        <v>0</v>
      </c>
      <c r="F375" s="57"/>
      <c r="G375" s="63"/>
      <c r="H375" s="105"/>
      <c r="I375" s="63"/>
      <c r="J375" s="110"/>
      <c r="K375" s="64"/>
      <c r="L375" s="59"/>
      <c r="M375" s="65"/>
      <c r="N375" s="62"/>
    </row>
    <row r="376" spans="1:14" x14ac:dyDescent="0.25">
      <c r="A376" s="98" t="s">
        <v>82</v>
      </c>
      <c r="B376" s="59" t="s">
        <v>223</v>
      </c>
      <c r="C376" s="59" t="s">
        <v>218</v>
      </c>
      <c r="D376" s="93">
        <f t="shared" ca="1" si="30"/>
        <v>1</v>
      </c>
      <c r="E376" s="99">
        <f ca="1">COUNTIFS(follower_list.time_zone,A376,follower_list.klout_score,"&gt;="&amp;Calculations!$B$441)</f>
        <v>1</v>
      </c>
      <c r="F376" s="57"/>
      <c r="G376" s="63"/>
      <c r="H376" s="105"/>
      <c r="I376" s="63"/>
      <c r="J376" s="110"/>
      <c r="K376" s="64"/>
      <c r="L376" s="59"/>
      <c r="M376" s="65"/>
      <c r="N376" s="62"/>
    </row>
    <row r="377" spans="1:14" x14ac:dyDescent="0.25">
      <c r="A377" s="98" t="s">
        <v>63</v>
      </c>
      <c r="B377" s="59" t="s">
        <v>222</v>
      </c>
      <c r="C377" s="59" t="s">
        <v>218</v>
      </c>
      <c r="D377" s="93">
        <f t="shared" ca="1" si="30"/>
        <v>0</v>
      </c>
      <c r="E377" s="99">
        <f ca="1">COUNTIFS(follower_list.time_zone,A377,follower_list.klout_score,"&gt;="&amp;Calculations!$B$441)</f>
        <v>0</v>
      </c>
      <c r="F377" s="57"/>
      <c r="G377" s="63"/>
      <c r="H377" s="105"/>
      <c r="I377" s="63"/>
      <c r="J377" s="110"/>
      <c r="K377" s="64"/>
      <c r="L377" s="59"/>
      <c r="M377" s="65"/>
      <c r="N377" s="62"/>
    </row>
    <row r="378" spans="1:14" x14ac:dyDescent="0.25">
      <c r="A378" s="98" t="s">
        <v>80</v>
      </c>
      <c r="B378" s="59" t="s">
        <v>221</v>
      </c>
      <c r="C378" s="59" t="s">
        <v>218</v>
      </c>
      <c r="D378" s="93">
        <f t="shared" ca="1" si="30"/>
        <v>0</v>
      </c>
      <c r="E378" s="99">
        <f ca="1">COUNTIFS(follower_list.time_zone,A378,follower_list.klout_score,"&gt;="&amp;Calculations!$B$441)</f>
        <v>0</v>
      </c>
      <c r="F378" s="57"/>
      <c r="G378" s="63"/>
      <c r="H378" s="105"/>
      <c r="I378" s="63"/>
      <c r="J378" s="110"/>
      <c r="K378" s="64"/>
      <c r="L378" s="59"/>
      <c r="M378" s="65"/>
      <c r="N378" s="62"/>
    </row>
    <row r="379" spans="1:14" x14ac:dyDescent="0.25">
      <c r="A379" s="98" t="s">
        <v>220</v>
      </c>
      <c r="B379" s="59" t="s">
        <v>219</v>
      </c>
      <c r="C379" s="59" t="s">
        <v>218</v>
      </c>
      <c r="D379" s="93">
        <f t="shared" ca="1" si="30"/>
        <v>0</v>
      </c>
      <c r="E379" s="99">
        <f ca="1">COUNTIFS(follower_list.time_zone,A379,follower_list.klout_score,"&gt;="&amp;Calculations!$B$441)</f>
        <v>0</v>
      </c>
      <c r="F379" s="57"/>
      <c r="G379" s="63"/>
      <c r="H379" s="105"/>
      <c r="I379" s="63"/>
      <c r="J379" s="110"/>
      <c r="K379" s="64"/>
      <c r="L379" s="59"/>
      <c r="M379" s="65"/>
      <c r="N379" s="62"/>
    </row>
    <row r="380" spans="1:14" x14ac:dyDescent="0.25">
      <c r="A380" s="98" t="s">
        <v>64</v>
      </c>
      <c r="B380" s="59" t="s">
        <v>217</v>
      </c>
      <c r="C380" s="59" t="s">
        <v>216</v>
      </c>
      <c r="D380" s="93">
        <f t="shared" ca="1" si="30"/>
        <v>2</v>
      </c>
      <c r="E380" s="99">
        <f ca="1">COUNTIFS(follower_list.time_zone,A380,follower_list.klout_score,"&gt;="&amp;Calculations!$B$441)</f>
        <v>0</v>
      </c>
      <c r="F380" s="57"/>
      <c r="G380" s="63"/>
      <c r="H380" s="105"/>
      <c r="I380" s="63"/>
      <c r="J380" s="110"/>
      <c r="K380" s="64"/>
      <c r="L380" s="59"/>
      <c r="M380" s="65"/>
      <c r="N380" s="62"/>
    </row>
    <row r="381" spans="1:14" x14ac:dyDescent="0.25">
      <c r="A381" s="98" t="s">
        <v>55</v>
      </c>
      <c r="B381" s="59" t="s">
        <v>215</v>
      </c>
      <c r="C381" s="59" t="s">
        <v>207</v>
      </c>
      <c r="D381" s="93">
        <f t="shared" ca="1" si="30"/>
        <v>0</v>
      </c>
      <c r="E381" s="99">
        <f ca="1">COUNTIFS(follower_list.time_zone,A381,follower_list.klout_score,"&gt;="&amp;Calculations!$B$441)</f>
        <v>0</v>
      </c>
      <c r="F381" s="57"/>
      <c r="G381" s="63"/>
      <c r="H381" s="105"/>
      <c r="I381" s="63"/>
      <c r="J381" s="110"/>
      <c r="K381" s="64"/>
      <c r="L381" s="59"/>
      <c r="M381" s="65"/>
      <c r="N381" s="62"/>
    </row>
    <row r="382" spans="1:14" x14ac:dyDescent="0.25">
      <c r="A382" s="98" t="s">
        <v>214</v>
      </c>
      <c r="B382" s="59" t="s">
        <v>213</v>
      </c>
      <c r="C382" s="59" t="s">
        <v>207</v>
      </c>
      <c r="D382" s="93">
        <f t="shared" ca="1" si="30"/>
        <v>0</v>
      </c>
      <c r="E382" s="99">
        <f ca="1">COUNTIFS(follower_list.time_zone,A382,follower_list.klout_score,"&gt;="&amp;Calculations!$B$441)</f>
        <v>0</v>
      </c>
      <c r="F382" s="57"/>
      <c r="G382" s="63"/>
      <c r="H382" s="105"/>
      <c r="I382" s="63"/>
      <c r="J382" s="110"/>
      <c r="K382" s="64"/>
      <c r="L382" s="59"/>
      <c r="M382" s="65"/>
      <c r="N382" s="62"/>
    </row>
    <row r="383" spans="1:14" x14ac:dyDescent="0.25">
      <c r="A383" s="98" t="s">
        <v>101</v>
      </c>
      <c r="B383" s="59" t="s">
        <v>212</v>
      </c>
      <c r="C383" s="59" t="s">
        <v>207</v>
      </c>
      <c r="D383" s="93">
        <f t="shared" ca="1" si="30"/>
        <v>0</v>
      </c>
      <c r="E383" s="99">
        <f ca="1">COUNTIFS(follower_list.time_zone,A383,follower_list.klout_score,"&gt;="&amp;Calculations!$B$441)</f>
        <v>0</v>
      </c>
      <c r="F383" s="57"/>
      <c r="G383" s="63"/>
      <c r="H383" s="105"/>
      <c r="I383" s="63"/>
      <c r="J383" s="110"/>
      <c r="K383" s="64"/>
      <c r="L383" s="59"/>
      <c r="M383" s="65"/>
      <c r="N383" s="62"/>
    </row>
    <row r="384" spans="1:14" x14ac:dyDescent="0.25">
      <c r="A384" s="98" t="s">
        <v>211</v>
      </c>
      <c r="B384" s="59" t="s">
        <v>210</v>
      </c>
      <c r="C384" s="59" t="s">
        <v>207</v>
      </c>
      <c r="D384" s="93">
        <f t="shared" ca="1" si="30"/>
        <v>0</v>
      </c>
      <c r="E384" s="99">
        <f ca="1">COUNTIFS(follower_list.time_zone,A384,follower_list.klout_score,"&gt;="&amp;Calculations!$B$441)</f>
        <v>0</v>
      </c>
      <c r="F384" s="57"/>
      <c r="G384" s="63"/>
      <c r="H384" s="105"/>
      <c r="I384" s="63"/>
      <c r="J384" s="110"/>
      <c r="K384" s="64"/>
      <c r="L384" s="59"/>
      <c r="M384" s="65"/>
      <c r="N384" s="62"/>
    </row>
    <row r="385" spans="1:14" x14ac:dyDescent="0.25">
      <c r="A385" s="98" t="s">
        <v>209</v>
      </c>
      <c r="B385" s="59" t="s">
        <v>208</v>
      </c>
      <c r="C385" s="59" t="s">
        <v>207</v>
      </c>
      <c r="D385" s="93">
        <f t="shared" ca="1" si="30"/>
        <v>0</v>
      </c>
      <c r="E385" s="99">
        <f ca="1">COUNTIFS(follower_list.time_zone,A385,follower_list.klout_score,"&gt;="&amp;Calculations!$B$441)</f>
        <v>0</v>
      </c>
      <c r="F385" s="57"/>
      <c r="G385" s="63"/>
      <c r="H385" s="105"/>
      <c r="I385" s="63"/>
      <c r="J385" s="110"/>
      <c r="K385" s="64"/>
      <c r="L385" s="59"/>
      <c r="M385" s="65"/>
      <c r="N385" s="62"/>
    </row>
    <row r="386" spans="1:14" x14ac:dyDescent="0.25">
      <c r="A386" s="98" t="s">
        <v>206</v>
      </c>
      <c r="B386" s="59" t="s">
        <v>205</v>
      </c>
      <c r="C386" s="59" t="s">
        <v>204</v>
      </c>
      <c r="D386" s="93">
        <f t="shared" ca="1" si="30"/>
        <v>0</v>
      </c>
      <c r="E386" s="99">
        <f ca="1">COUNTIFS(follower_list.time_zone,A386,follower_list.klout_score,"&gt;="&amp;Calculations!$B$441)</f>
        <v>0</v>
      </c>
      <c r="F386" s="57"/>
      <c r="G386" s="63"/>
      <c r="H386" s="105"/>
      <c r="I386" s="63"/>
      <c r="J386" s="110"/>
      <c r="K386" s="64"/>
      <c r="L386" s="59"/>
      <c r="M386" s="65"/>
      <c r="N386" s="62"/>
    </row>
    <row r="387" spans="1:14" x14ac:dyDescent="0.25">
      <c r="A387" s="98" t="s">
        <v>203</v>
      </c>
      <c r="B387" s="59" t="s">
        <v>202</v>
      </c>
      <c r="C387" s="59" t="s">
        <v>197</v>
      </c>
      <c r="D387" s="93">
        <f t="shared" ca="1" si="30"/>
        <v>0</v>
      </c>
      <c r="E387" s="99">
        <f ca="1">COUNTIFS(follower_list.time_zone,A387,follower_list.klout_score,"&gt;="&amp;Calculations!$B$441)</f>
        <v>0</v>
      </c>
      <c r="F387" s="57"/>
      <c r="G387" s="63"/>
      <c r="H387" s="105"/>
      <c r="I387" s="63"/>
      <c r="J387" s="110"/>
      <c r="K387" s="64"/>
      <c r="L387" s="59"/>
      <c r="M387" s="65"/>
      <c r="N387" s="62"/>
    </row>
    <row r="388" spans="1:14" x14ac:dyDescent="0.25">
      <c r="A388" s="98" t="s">
        <v>69</v>
      </c>
      <c r="B388" s="59" t="s">
        <v>201</v>
      </c>
      <c r="C388" s="59" t="s">
        <v>197</v>
      </c>
      <c r="D388" s="93">
        <f t="shared" ca="1" si="30"/>
        <v>0</v>
      </c>
      <c r="E388" s="99">
        <f ca="1">COUNTIFS(follower_list.time_zone,A388,follower_list.klout_score,"&gt;="&amp;Calculations!$B$441)</f>
        <v>0</v>
      </c>
      <c r="F388" s="57"/>
      <c r="G388" s="63"/>
      <c r="H388" s="105"/>
      <c r="I388" s="63"/>
      <c r="J388" s="110"/>
      <c r="K388" s="64"/>
      <c r="L388" s="59"/>
      <c r="M388" s="65"/>
      <c r="N388" s="62"/>
    </row>
    <row r="389" spans="1:14" x14ac:dyDescent="0.25">
      <c r="A389" s="98" t="s">
        <v>56</v>
      </c>
      <c r="B389" s="59" t="s">
        <v>200</v>
      </c>
      <c r="C389" s="59" t="s">
        <v>197</v>
      </c>
      <c r="D389" s="93">
        <f t="shared" ca="1" si="30"/>
        <v>0</v>
      </c>
      <c r="E389" s="99">
        <f ca="1">COUNTIFS(follower_list.time_zone,A389,follower_list.klout_score,"&gt;="&amp;Calculations!$B$441)</f>
        <v>0</v>
      </c>
      <c r="F389" s="57"/>
      <c r="G389" s="63"/>
      <c r="H389" s="105"/>
      <c r="I389" s="63"/>
      <c r="J389" s="110"/>
      <c r="K389" s="64"/>
      <c r="L389" s="59"/>
      <c r="M389" s="65"/>
      <c r="N389" s="62"/>
    </row>
    <row r="390" spans="1:14" x14ac:dyDescent="0.25">
      <c r="A390" s="98" t="s">
        <v>199</v>
      </c>
      <c r="B390" s="59" t="s">
        <v>198</v>
      </c>
      <c r="C390" s="59" t="s">
        <v>197</v>
      </c>
      <c r="D390" s="93">
        <f t="shared" ca="1" si="30"/>
        <v>0</v>
      </c>
      <c r="E390" s="99">
        <f ca="1">COUNTIFS(follower_list.time_zone,A390,follower_list.klout_score,"&gt;="&amp;Calculations!$B$441)</f>
        <v>0</v>
      </c>
      <c r="F390" s="57"/>
      <c r="G390" s="63"/>
      <c r="H390" s="105"/>
      <c r="I390" s="63"/>
      <c r="J390" s="110"/>
      <c r="K390" s="64"/>
      <c r="L390" s="59"/>
      <c r="M390" s="65"/>
      <c r="N390" s="62"/>
    </row>
    <row r="391" spans="1:14" x14ac:dyDescent="0.25">
      <c r="A391" s="98" t="s">
        <v>40</v>
      </c>
      <c r="B391" s="59" t="s">
        <v>196</v>
      </c>
      <c r="C391" s="59" t="s">
        <v>192</v>
      </c>
      <c r="D391" s="93">
        <f t="shared" ca="1" si="30"/>
        <v>2</v>
      </c>
      <c r="E391" s="99">
        <f ca="1">COUNTIFS(follower_list.time_zone,A391,follower_list.klout_score,"&gt;="&amp;Calculations!$B$441)</f>
        <v>0</v>
      </c>
      <c r="F391" s="57"/>
      <c r="G391" s="63"/>
      <c r="H391" s="105"/>
      <c r="I391" s="63"/>
      <c r="J391" s="110"/>
      <c r="K391" s="64"/>
      <c r="L391" s="59"/>
      <c r="M391" s="65"/>
      <c r="N391" s="62"/>
    </row>
    <row r="392" spans="1:14" x14ac:dyDescent="0.25">
      <c r="A392" s="98" t="s">
        <v>23</v>
      </c>
      <c r="B392" s="59" t="s">
        <v>195</v>
      </c>
      <c r="C392" s="59" t="s">
        <v>192</v>
      </c>
      <c r="D392" s="93">
        <f t="shared" ca="1" si="30"/>
        <v>0</v>
      </c>
      <c r="E392" s="99">
        <f ca="1">COUNTIFS(follower_list.time_zone,A392,follower_list.klout_score,"&gt;="&amp;Calculations!$B$441)</f>
        <v>0</v>
      </c>
      <c r="F392" s="57"/>
      <c r="G392" s="63"/>
      <c r="H392" s="105"/>
      <c r="I392" s="63"/>
      <c r="J392" s="110"/>
      <c r="K392" s="64"/>
      <c r="L392" s="59"/>
      <c r="M392" s="65"/>
      <c r="N392" s="62"/>
    </row>
    <row r="393" spans="1:14" x14ac:dyDescent="0.25">
      <c r="A393" s="98" t="s">
        <v>37</v>
      </c>
      <c r="B393" s="59" t="s">
        <v>194</v>
      </c>
      <c r="C393" s="59" t="s">
        <v>192</v>
      </c>
      <c r="D393" s="93">
        <f t="shared" ca="1" si="30"/>
        <v>0</v>
      </c>
      <c r="E393" s="99">
        <f ca="1">COUNTIFS(follower_list.time_zone,A393,follower_list.klout_score,"&gt;="&amp;Calculations!$B$441)</f>
        <v>0</v>
      </c>
      <c r="F393" s="57"/>
      <c r="G393" s="63"/>
      <c r="H393" s="105"/>
      <c r="I393" s="63"/>
      <c r="J393" s="110"/>
      <c r="K393" s="64"/>
      <c r="L393" s="59"/>
      <c r="M393" s="65"/>
      <c r="N393" s="62"/>
    </row>
    <row r="394" spans="1:14" x14ac:dyDescent="0.25">
      <c r="A394" s="98" t="s">
        <v>30</v>
      </c>
      <c r="B394" s="59" t="s">
        <v>193</v>
      </c>
      <c r="C394" s="59" t="s">
        <v>192</v>
      </c>
      <c r="D394" s="93">
        <f t="shared" ca="1" si="30"/>
        <v>0</v>
      </c>
      <c r="E394" s="99">
        <f ca="1">COUNTIFS(follower_list.time_zone,A394,follower_list.klout_score,"&gt;="&amp;Calculations!$B$441)</f>
        <v>0</v>
      </c>
      <c r="F394" s="57"/>
      <c r="G394" s="63"/>
      <c r="H394" s="105"/>
      <c r="I394" s="63"/>
      <c r="J394" s="110"/>
      <c r="K394" s="64"/>
      <c r="L394" s="59"/>
      <c r="M394" s="65"/>
      <c r="N394" s="62"/>
    </row>
    <row r="395" spans="1:14" x14ac:dyDescent="0.25">
      <c r="A395" s="98" t="s">
        <v>104</v>
      </c>
      <c r="B395" s="59" t="s">
        <v>191</v>
      </c>
      <c r="C395" s="59" t="s">
        <v>190</v>
      </c>
      <c r="D395" s="93">
        <f t="shared" ref="D395:D426" ca="1" si="31">COUNTIF(follower_list.time_zone,A395)</f>
        <v>0</v>
      </c>
      <c r="E395" s="99">
        <f ca="1">COUNTIFS(follower_list.time_zone,A395,follower_list.klout_score,"&gt;="&amp;Calculations!$B$441)</f>
        <v>0</v>
      </c>
      <c r="F395" s="57"/>
      <c r="G395" s="63"/>
      <c r="H395" s="105"/>
      <c r="I395" s="63"/>
      <c r="J395" s="110"/>
      <c r="K395" s="64"/>
      <c r="L395" s="59"/>
      <c r="M395" s="65"/>
      <c r="N395" s="62"/>
    </row>
    <row r="396" spans="1:14" x14ac:dyDescent="0.25">
      <c r="A396" s="98" t="s">
        <v>189</v>
      </c>
      <c r="B396" s="59" t="s">
        <v>188</v>
      </c>
      <c r="C396" s="59" t="s">
        <v>183</v>
      </c>
      <c r="D396" s="93">
        <f t="shared" ca="1" si="31"/>
        <v>0</v>
      </c>
      <c r="E396" s="99">
        <f ca="1">COUNTIFS(follower_list.time_zone,A396,follower_list.klout_score,"&gt;="&amp;Calculations!$B$441)</f>
        <v>0</v>
      </c>
      <c r="F396" s="57"/>
      <c r="G396" s="63"/>
      <c r="H396" s="105"/>
      <c r="I396" s="63"/>
      <c r="J396" s="110"/>
      <c r="K396" s="64"/>
      <c r="L396" s="59"/>
      <c r="M396" s="65"/>
      <c r="N396" s="62"/>
    </row>
    <row r="397" spans="1:14" x14ac:dyDescent="0.25">
      <c r="A397" s="98" t="s">
        <v>100</v>
      </c>
      <c r="B397" s="59" t="s">
        <v>187</v>
      </c>
      <c r="C397" s="59" t="s">
        <v>183</v>
      </c>
      <c r="D397" s="93">
        <f t="shared" ca="1" si="31"/>
        <v>0</v>
      </c>
      <c r="E397" s="99">
        <f ca="1">COUNTIFS(follower_list.time_zone,A397,follower_list.klout_score,"&gt;="&amp;Calculations!$B$441)</f>
        <v>0</v>
      </c>
      <c r="F397" s="57"/>
      <c r="G397" s="63"/>
      <c r="H397" s="105"/>
      <c r="I397" s="63"/>
      <c r="J397" s="110"/>
      <c r="K397" s="64"/>
      <c r="L397" s="59"/>
      <c r="M397" s="65"/>
      <c r="N397" s="62"/>
    </row>
    <row r="398" spans="1:14" x14ac:dyDescent="0.25">
      <c r="A398" s="98" t="s">
        <v>53</v>
      </c>
      <c r="B398" s="59" t="s">
        <v>186</v>
      </c>
      <c r="C398" s="59" t="s">
        <v>183</v>
      </c>
      <c r="D398" s="93">
        <f t="shared" ca="1" si="31"/>
        <v>0</v>
      </c>
      <c r="E398" s="99">
        <f ca="1">COUNTIFS(follower_list.time_zone,A398,follower_list.klout_score,"&gt;="&amp;Calculations!$B$441)</f>
        <v>0</v>
      </c>
      <c r="F398" s="57"/>
      <c r="G398" s="63"/>
      <c r="H398" s="105"/>
      <c r="I398" s="63"/>
      <c r="J398" s="110"/>
      <c r="K398" s="64"/>
      <c r="L398" s="59"/>
      <c r="M398" s="65"/>
      <c r="N398" s="62"/>
    </row>
    <row r="399" spans="1:14" x14ac:dyDescent="0.25">
      <c r="A399" s="98" t="s">
        <v>84</v>
      </c>
      <c r="B399" s="59" t="s">
        <v>185</v>
      </c>
      <c r="C399" s="59" t="s">
        <v>183</v>
      </c>
      <c r="D399" s="93">
        <f t="shared" ca="1" si="31"/>
        <v>0</v>
      </c>
      <c r="E399" s="99">
        <f ca="1">COUNTIFS(follower_list.time_zone,A399,follower_list.klout_score,"&gt;="&amp;Calculations!$B$441)</f>
        <v>0</v>
      </c>
      <c r="F399" s="57"/>
      <c r="G399" s="63"/>
      <c r="H399" s="105"/>
      <c r="I399" s="63"/>
      <c r="J399" s="110"/>
      <c r="K399" s="64"/>
      <c r="L399" s="59"/>
      <c r="M399" s="65"/>
      <c r="N399" s="62"/>
    </row>
    <row r="400" spans="1:14" x14ac:dyDescent="0.25">
      <c r="A400" s="98" t="s">
        <v>103</v>
      </c>
      <c r="B400" s="59" t="s">
        <v>184</v>
      </c>
      <c r="C400" s="59" t="s">
        <v>183</v>
      </c>
      <c r="D400" s="93">
        <f t="shared" ca="1" si="31"/>
        <v>0</v>
      </c>
      <c r="E400" s="99">
        <f ca="1">COUNTIFS(follower_list.time_zone,A400,follower_list.klout_score,"&gt;="&amp;Calculations!$B$441)</f>
        <v>0</v>
      </c>
      <c r="F400" s="57"/>
      <c r="G400" s="63"/>
      <c r="H400" s="105"/>
      <c r="I400" s="63"/>
      <c r="J400" s="110"/>
      <c r="K400" s="64"/>
      <c r="L400" s="59"/>
      <c r="M400" s="65"/>
      <c r="N400" s="62"/>
    </row>
    <row r="401" spans="1:14" x14ac:dyDescent="0.25">
      <c r="A401" s="98" t="s">
        <v>182</v>
      </c>
      <c r="B401" s="59" t="s">
        <v>181</v>
      </c>
      <c r="C401" s="59" t="s">
        <v>180</v>
      </c>
      <c r="D401" s="93">
        <f t="shared" ca="1" si="31"/>
        <v>0</v>
      </c>
      <c r="E401" s="99">
        <f ca="1">COUNTIFS(follower_list.time_zone,A401,follower_list.klout_score,"&gt;="&amp;Calculations!$B$441)</f>
        <v>0</v>
      </c>
      <c r="F401" s="57"/>
      <c r="G401" s="63"/>
      <c r="H401" s="105"/>
      <c r="I401" s="63"/>
      <c r="J401" s="110"/>
      <c r="K401" s="64"/>
      <c r="L401" s="59"/>
      <c r="M401" s="65"/>
      <c r="N401" s="62"/>
    </row>
    <row r="402" spans="1:14" x14ac:dyDescent="0.25">
      <c r="A402" s="98" t="s">
        <v>27</v>
      </c>
      <c r="B402" s="59" t="s">
        <v>179</v>
      </c>
      <c r="C402" s="59" t="s">
        <v>174</v>
      </c>
      <c r="D402" s="93">
        <f t="shared" ca="1" si="31"/>
        <v>0</v>
      </c>
      <c r="E402" s="99">
        <f ca="1">COUNTIFS(follower_list.time_zone,A402,follower_list.klout_score,"&gt;="&amp;Calculations!$B$441)</f>
        <v>0</v>
      </c>
      <c r="F402" s="57"/>
      <c r="G402" s="63"/>
      <c r="H402" s="105"/>
      <c r="I402" s="63"/>
      <c r="J402" s="110"/>
      <c r="K402" s="64"/>
      <c r="L402" s="59"/>
      <c r="M402" s="65"/>
      <c r="N402" s="62"/>
    </row>
    <row r="403" spans="1:14" x14ac:dyDescent="0.25">
      <c r="A403" s="98" t="s">
        <v>72</v>
      </c>
      <c r="B403" s="59" t="s">
        <v>178</v>
      </c>
      <c r="C403" s="59" t="s">
        <v>174</v>
      </c>
      <c r="D403" s="93">
        <f t="shared" ca="1" si="31"/>
        <v>0</v>
      </c>
      <c r="E403" s="99">
        <f ca="1">COUNTIFS(follower_list.time_zone,A403,follower_list.klout_score,"&gt;="&amp;Calculations!$B$441)</f>
        <v>0</v>
      </c>
      <c r="F403" s="57"/>
      <c r="G403" s="63"/>
      <c r="H403" s="105"/>
      <c r="I403" s="63"/>
      <c r="J403" s="110"/>
      <c r="K403" s="64"/>
      <c r="L403" s="59"/>
      <c r="M403" s="65"/>
      <c r="N403" s="62"/>
    </row>
    <row r="404" spans="1:14" x14ac:dyDescent="0.25">
      <c r="A404" s="98" t="s">
        <v>38</v>
      </c>
      <c r="B404" s="59" t="s">
        <v>177</v>
      </c>
      <c r="C404" s="59" t="s">
        <v>174</v>
      </c>
      <c r="D404" s="93">
        <f t="shared" ca="1" si="31"/>
        <v>0</v>
      </c>
      <c r="E404" s="99">
        <f ca="1">COUNTIFS(follower_list.time_zone,A404,follower_list.klout_score,"&gt;="&amp;Calculations!$B$441)</f>
        <v>0</v>
      </c>
      <c r="F404" s="57"/>
      <c r="G404" s="63"/>
      <c r="H404" s="105"/>
      <c r="I404" s="63"/>
      <c r="J404" s="110"/>
      <c r="K404" s="64"/>
      <c r="L404" s="59"/>
      <c r="M404" s="65"/>
      <c r="N404" s="62"/>
    </row>
    <row r="405" spans="1:14" x14ac:dyDescent="0.25">
      <c r="A405" s="98" t="s">
        <v>176</v>
      </c>
      <c r="B405" s="59" t="s">
        <v>175</v>
      </c>
      <c r="C405" s="59" t="s">
        <v>174</v>
      </c>
      <c r="D405" s="93">
        <f t="shared" ca="1" si="31"/>
        <v>0</v>
      </c>
      <c r="E405" s="99">
        <f ca="1">COUNTIFS(follower_list.time_zone,A405,follower_list.klout_score,"&gt;="&amp;Calculations!$B$441)</f>
        <v>0</v>
      </c>
      <c r="F405" s="57"/>
      <c r="G405" s="63"/>
      <c r="H405" s="105"/>
      <c r="I405" s="63"/>
      <c r="J405" s="110"/>
      <c r="K405" s="64"/>
      <c r="L405" s="59"/>
      <c r="M405" s="65"/>
      <c r="N405" s="62"/>
    </row>
    <row r="406" spans="1:14" x14ac:dyDescent="0.25">
      <c r="A406" s="98" t="s">
        <v>34</v>
      </c>
      <c r="B406" s="59" t="s">
        <v>173</v>
      </c>
      <c r="C406" s="59" t="s">
        <v>159</v>
      </c>
      <c r="D406" s="93">
        <f t="shared" ca="1" si="31"/>
        <v>0</v>
      </c>
      <c r="E406" s="99">
        <f ca="1">COUNTIFS(follower_list.time_zone,A406,follower_list.klout_score,"&gt;="&amp;Calculations!$B$441)</f>
        <v>0</v>
      </c>
      <c r="F406" s="57"/>
      <c r="G406" s="63"/>
      <c r="H406" s="105"/>
      <c r="I406" s="63"/>
      <c r="J406" s="110"/>
      <c r="K406" s="64"/>
      <c r="L406" s="59"/>
      <c r="M406" s="65"/>
      <c r="N406" s="62"/>
    </row>
    <row r="407" spans="1:14" x14ac:dyDescent="0.25">
      <c r="A407" s="98" t="s">
        <v>172</v>
      </c>
      <c r="B407" s="59" t="s">
        <v>171</v>
      </c>
      <c r="C407" s="59" t="s">
        <v>159</v>
      </c>
      <c r="D407" s="93">
        <f t="shared" ca="1" si="31"/>
        <v>0</v>
      </c>
      <c r="E407" s="99">
        <f ca="1">COUNTIFS(follower_list.time_zone,A407,follower_list.klout_score,"&gt;="&amp;Calculations!$B$441)</f>
        <v>0</v>
      </c>
      <c r="F407" s="57"/>
      <c r="G407" s="63"/>
      <c r="H407" s="105"/>
      <c r="I407" s="63"/>
      <c r="J407" s="110"/>
      <c r="K407" s="64"/>
      <c r="L407" s="59"/>
      <c r="M407" s="65"/>
      <c r="N407" s="62"/>
    </row>
    <row r="408" spans="1:14" x14ac:dyDescent="0.25">
      <c r="A408" s="98" t="s">
        <v>73</v>
      </c>
      <c r="B408" s="59" t="s">
        <v>170</v>
      </c>
      <c r="C408" s="59" t="s">
        <v>159</v>
      </c>
      <c r="D408" s="93">
        <f t="shared" ca="1" si="31"/>
        <v>0</v>
      </c>
      <c r="E408" s="99">
        <f ca="1">COUNTIFS(follower_list.time_zone,A408,follower_list.klout_score,"&gt;="&amp;Calculations!$B$441)</f>
        <v>0</v>
      </c>
      <c r="F408" s="57"/>
      <c r="G408" s="63"/>
      <c r="H408" s="105"/>
      <c r="I408" s="63"/>
      <c r="J408" s="110"/>
      <c r="K408" s="64"/>
      <c r="L408" s="59"/>
      <c r="M408" s="65"/>
      <c r="N408" s="62"/>
    </row>
    <row r="409" spans="1:14" x14ac:dyDescent="0.25">
      <c r="A409" s="98" t="s">
        <v>169</v>
      </c>
      <c r="B409" s="59" t="s">
        <v>168</v>
      </c>
      <c r="C409" s="59" t="s">
        <v>159</v>
      </c>
      <c r="D409" s="93">
        <f t="shared" ca="1" si="31"/>
        <v>0</v>
      </c>
      <c r="E409" s="99">
        <f ca="1">COUNTIFS(follower_list.time_zone,A409,follower_list.klout_score,"&gt;="&amp;Calculations!$B$441)</f>
        <v>0</v>
      </c>
      <c r="F409" s="57"/>
      <c r="G409" s="63"/>
      <c r="H409" s="105"/>
      <c r="I409" s="63"/>
      <c r="J409" s="110"/>
      <c r="K409" s="64"/>
      <c r="L409" s="59"/>
      <c r="M409" s="65"/>
      <c r="N409" s="62"/>
    </row>
    <row r="410" spans="1:14" x14ac:dyDescent="0.25">
      <c r="A410" s="98" t="s">
        <v>71</v>
      </c>
      <c r="B410" s="59" t="s">
        <v>167</v>
      </c>
      <c r="C410" s="59" t="s">
        <v>159</v>
      </c>
      <c r="D410" s="93">
        <f t="shared" ca="1" si="31"/>
        <v>0</v>
      </c>
      <c r="E410" s="99">
        <f ca="1">COUNTIFS(follower_list.time_zone,A410,follower_list.klout_score,"&gt;="&amp;Calculations!$B$441)</f>
        <v>0</v>
      </c>
      <c r="F410" s="57"/>
      <c r="G410" s="63"/>
      <c r="H410" s="105"/>
      <c r="I410" s="63"/>
      <c r="J410" s="110"/>
      <c r="K410" s="64"/>
      <c r="L410" s="59"/>
      <c r="M410" s="65"/>
      <c r="N410" s="62"/>
    </row>
    <row r="411" spans="1:14" x14ac:dyDescent="0.25">
      <c r="A411" s="98" t="s">
        <v>89</v>
      </c>
      <c r="B411" s="59" t="s">
        <v>166</v>
      </c>
      <c r="C411" s="59" t="s">
        <v>159</v>
      </c>
      <c r="D411" s="93">
        <f t="shared" ca="1" si="31"/>
        <v>0</v>
      </c>
      <c r="E411" s="99">
        <f ca="1">COUNTIFS(follower_list.time_zone,A411,follower_list.klout_score,"&gt;="&amp;Calculations!$B$441)</f>
        <v>0</v>
      </c>
      <c r="F411" s="57"/>
      <c r="G411" s="63"/>
      <c r="H411" s="105"/>
      <c r="I411" s="63"/>
      <c r="J411" s="110"/>
      <c r="K411" s="64"/>
      <c r="L411" s="59"/>
      <c r="M411" s="65"/>
      <c r="N411" s="62"/>
    </row>
    <row r="412" spans="1:14" x14ac:dyDescent="0.25">
      <c r="A412" s="98" t="s">
        <v>9</v>
      </c>
      <c r="B412" s="59" t="s">
        <v>165</v>
      </c>
      <c r="C412" s="59" t="s">
        <v>159</v>
      </c>
      <c r="D412" s="93">
        <f t="shared" ca="1" si="31"/>
        <v>0</v>
      </c>
      <c r="E412" s="99">
        <f ca="1">COUNTIFS(follower_list.time_zone,A412,follower_list.klout_score,"&gt;="&amp;Calculations!$B$441)</f>
        <v>0</v>
      </c>
      <c r="F412" s="57"/>
      <c r="G412" s="63"/>
      <c r="H412" s="105"/>
      <c r="I412" s="63"/>
      <c r="J412" s="110"/>
      <c r="K412" s="64"/>
      <c r="L412" s="59"/>
      <c r="M412" s="65"/>
      <c r="N412" s="62"/>
    </row>
    <row r="413" spans="1:14" x14ac:dyDescent="0.25">
      <c r="A413" s="98" t="s">
        <v>78</v>
      </c>
      <c r="B413" s="59" t="s">
        <v>164</v>
      </c>
      <c r="C413" s="59" t="s">
        <v>159</v>
      </c>
      <c r="D413" s="93">
        <f t="shared" ca="1" si="31"/>
        <v>0</v>
      </c>
      <c r="E413" s="99">
        <f ca="1">COUNTIFS(follower_list.time_zone,A413,follower_list.klout_score,"&gt;="&amp;Calculations!$B$441)</f>
        <v>0</v>
      </c>
      <c r="F413" s="57"/>
      <c r="G413" s="63"/>
      <c r="H413" s="105"/>
      <c r="I413" s="63"/>
      <c r="J413" s="110"/>
      <c r="K413" s="64"/>
      <c r="L413" s="59"/>
      <c r="M413" s="65"/>
      <c r="N413" s="62"/>
    </row>
    <row r="414" spans="1:14" x14ac:dyDescent="0.25">
      <c r="A414" s="98" t="s">
        <v>163</v>
      </c>
      <c r="B414" s="59" t="s">
        <v>162</v>
      </c>
      <c r="C414" s="59" t="s">
        <v>159</v>
      </c>
      <c r="D414" s="93">
        <f t="shared" ca="1" si="31"/>
        <v>0</v>
      </c>
      <c r="E414" s="99">
        <f ca="1">COUNTIFS(follower_list.time_zone,A414,follower_list.klout_score,"&gt;="&amp;Calculations!$B$441)</f>
        <v>0</v>
      </c>
      <c r="F414" s="57"/>
      <c r="G414" s="63"/>
      <c r="H414" s="105"/>
      <c r="I414" s="63"/>
      <c r="J414" s="110"/>
      <c r="K414" s="64"/>
      <c r="L414" s="59"/>
      <c r="M414" s="65"/>
      <c r="N414" s="62"/>
    </row>
    <row r="415" spans="1:14" x14ac:dyDescent="0.25">
      <c r="A415" s="98" t="s">
        <v>161</v>
      </c>
      <c r="B415" s="59" t="s">
        <v>160</v>
      </c>
      <c r="C415" s="59" t="s">
        <v>159</v>
      </c>
      <c r="D415" s="93">
        <f t="shared" ca="1" si="31"/>
        <v>0</v>
      </c>
      <c r="E415" s="99">
        <f ca="1">COUNTIFS(follower_list.time_zone,A415,follower_list.klout_score,"&gt;="&amp;Calculations!$B$441)</f>
        <v>0</v>
      </c>
      <c r="F415" s="57"/>
      <c r="G415" s="63"/>
      <c r="H415" s="105"/>
      <c r="I415" s="63"/>
      <c r="J415" s="110"/>
      <c r="K415" s="64"/>
      <c r="L415" s="59"/>
      <c r="M415" s="65"/>
      <c r="N415" s="62"/>
    </row>
    <row r="416" spans="1:14" x14ac:dyDescent="0.25">
      <c r="A416" s="98" t="s">
        <v>98</v>
      </c>
      <c r="B416" s="59" t="s">
        <v>158</v>
      </c>
      <c r="C416" s="59" t="s">
        <v>151</v>
      </c>
      <c r="D416" s="93">
        <f t="shared" ca="1" si="31"/>
        <v>0</v>
      </c>
      <c r="E416" s="99">
        <f ca="1">COUNTIFS(follower_list.time_zone,A416,follower_list.klout_score,"&gt;="&amp;Calculations!$B$441)</f>
        <v>0</v>
      </c>
      <c r="F416" s="57"/>
      <c r="G416" s="63"/>
      <c r="H416" s="105"/>
      <c r="I416" s="63"/>
      <c r="J416" s="110"/>
      <c r="K416" s="64"/>
      <c r="L416" s="59"/>
      <c r="M416" s="65"/>
      <c r="N416" s="62"/>
    </row>
    <row r="417" spans="1:14" x14ac:dyDescent="0.25">
      <c r="A417" s="98" t="s">
        <v>157</v>
      </c>
      <c r="B417" s="59" t="s">
        <v>156</v>
      </c>
      <c r="C417" s="59" t="s">
        <v>151</v>
      </c>
      <c r="D417" s="93">
        <f t="shared" ca="1" si="31"/>
        <v>0</v>
      </c>
      <c r="E417" s="99">
        <f ca="1">COUNTIFS(follower_list.time_zone,A417,follower_list.klout_score,"&gt;="&amp;Calculations!$B$441)</f>
        <v>0</v>
      </c>
      <c r="F417" s="57"/>
      <c r="G417" s="63"/>
      <c r="H417" s="105"/>
      <c r="I417" s="63"/>
      <c r="J417" s="110"/>
      <c r="K417" s="64"/>
      <c r="L417" s="59"/>
      <c r="M417" s="65"/>
      <c r="N417" s="62"/>
    </row>
    <row r="418" spans="1:14" x14ac:dyDescent="0.25">
      <c r="A418" s="98" t="s">
        <v>47</v>
      </c>
      <c r="B418" s="59" t="s">
        <v>155</v>
      </c>
      <c r="C418" s="59" t="s">
        <v>151</v>
      </c>
      <c r="D418" s="93">
        <f t="shared" ca="1" si="31"/>
        <v>0</v>
      </c>
      <c r="E418" s="99">
        <f ca="1">COUNTIFS(follower_list.time_zone,A418,follower_list.klout_score,"&gt;="&amp;Calculations!$B$441)</f>
        <v>0</v>
      </c>
      <c r="F418" s="57"/>
      <c r="G418" s="63"/>
      <c r="H418" s="105"/>
      <c r="I418" s="63"/>
      <c r="J418" s="110"/>
      <c r="K418" s="64"/>
      <c r="L418" s="59"/>
      <c r="M418" s="65"/>
      <c r="N418" s="62"/>
    </row>
    <row r="419" spans="1:14" x14ac:dyDescent="0.25">
      <c r="A419" s="98" t="s">
        <v>19</v>
      </c>
      <c r="B419" s="59" t="s">
        <v>154</v>
      </c>
      <c r="C419" s="59" t="s">
        <v>151</v>
      </c>
      <c r="D419" s="93">
        <f t="shared" ca="1" si="31"/>
        <v>0</v>
      </c>
      <c r="E419" s="99">
        <f ca="1">COUNTIFS(follower_list.time_zone,A419,follower_list.klout_score,"&gt;="&amp;Calculations!$B$441)</f>
        <v>0</v>
      </c>
      <c r="F419" s="57"/>
      <c r="G419" s="63"/>
      <c r="H419" s="105"/>
      <c r="I419" s="63"/>
      <c r="J419" s="110"/>
      <c r="K419" s="64"/>
      <c r="L419" s="59"/>
      <c r="M419" s="65"/>
      <c r="N419" s="62"/>
    </row>
    <row r="420" spans="1:14" x14ac:dyDescent="0.25">
      <c r="A420" s="98" t="s">
        <v>153</v>
      </c>
      <c r="B420" s="59" t="s">
        <v>152</v>
      </c>
      <c r="C420" s="59" t="s">
        <v>151</v>
      </c>
      <c r="D420" s="93">
        <f t="shared" ca="1" si="31"/>
        <v>0</v>
      </c>
      <c r="E420" s="99">
        <f ca="1">COUNTIFS(follower_list.time_zone,A420,follower_list.klout_score,"&gt;="&amp;Calculations!$B$441)</f>
        <v>0</v>
      </c>
      <c r="F420" s="57"/>
      <c r="G420" s="63"/>
      <c r="H420" s="105"/>
      <c r="I420" s="63"/>
      <c r="J420" s="110"/>
      <c r="K420" s="64"/>
      <c r="L420" s="59"/>
      <c r="M420" s="65"/>
      <c r="N420" s="62"/>
    </row>
    <row r="421" spans="1:14" x14ac:dyDescent="0.25">
      <c r="A421" s="98" t="s">
        <v>12</v>
      </c>
      <c r="B421" s="59" t="s">
        <v>150</v>
      </c>
      <c r="C421" s="59" t="s">
        <v>147</v>
      </c>
      <c r="D421" s="93">
        <f t="shared" ca="1" si="31"/>
        <v>0</v>
      </c>
      <c r="E421" s="99">
        <f ca="1">COUNTIFS(follower_list.time_zone,A421,follower_list.klout_score,"&gt;="&amp;Calculations!$B$441)</f>
        <v>0</v>
      </c>
      <c r="F421" s="57"/>
      <c r="G421" s="63"/>
      <c r="H421" s="105"/>
      <c r="I421" s="63"/>
      <c r="J421" s="110"/>
      <c r="K421" s="64"/>
      <c r="L421" s="59"/>
      <c r="M421" s="65"/>
      <c r="N421" s="62"/>
    </row>
    <row r="422" spans="1:14" x14ac:dyDescent="0.25">
      <c r="A422" s="98" t="s">
        <v>149</v>
      </c>
      <c r="B422" s="59" t="s">
        <v>148</v>
      </c>
      <c r="C422" s="59" t="s">
        <v>147</v>
      </c>
      <c r="D422" s="93">
        <f t="shared" ca="1" si="31"/>
        <v>0</v>
      </c>
      <c r="E422" s="99">
        <f ca="1">COUNTIFS(follower_list.time_zone,A422,follower_list.klout_score,"&gt;="&amp;Calculations!$B$441)</f>
        <v>0</v>
      </c>
      <c r="F422" s="57"/>
      <c r="G422" s="63"/>
      <c r="H422" s="105"/>
      <c r="I422" s="63"/>
      <c r="J422" s="110"/>
      <c r="K422" s="64"/>
      <c r="L422" s="59"/>
      <c r="M422" s="65"/>
      <c r="N422" s="62"/>
    </row>
    <row r="423" spans="1:14" x14ac:dyDescent="0.25">
      <c r="A423" s="98" t="s">
        <v>24</v>
      </c>
      <c r="B423" s="59" t="s">
        <v>146</v>
      </c>
      <c r="C423" s="59" t="s">
        <v>136</v>
      </c>
      <c r="D423" s="93">
        <f t="shared" ca="1" si="31"/>
        <v>0</v>
      </c>
      <c r="E423" s="99">
        <f ca="1">COUNTIFS(follower_list.time_zone,A423,follower_list.klout_score,"&gt;="&amp;Calculations!$B$441)</f>
        <v>0</v>
      </c>
      <c r="F423" s="57"/>
      <c r="G423" s="63"/>
      <c r="H423" s="105"/>
      <c r="I423" s="63"/>
      <c r="J423" s="110"/>
      <c r="K423" s="64"/>
      <c r="L423" s="59"/>
      <c r="M423" s="65"/>
      <c r="N423" s="62"/>
    </row>
    <row r="424" spans="1:14" x14ac:dyDescent="0.25">
      <c r="A424" s="98" t="s">
        <v>95</v>
      </c>
      <c r="B424" s="59" t="s">
        <v>145</v>
      </c>
      <c r="C424" s="59" t="s">
        <v>136</v>
      </c>
      <c r="D424" s="93">
        <f t="shared" ca="1" si="31"/>
        <v>0</v>
      </c>
      <c r="E424" s="99">
        <f ca="1">COUNTIFS(follower_list.time_zone,A424,follower_list.klout_score,"&gt;="&amp;Calculations!$B$441)</f>
        <v>0</v>
      </c>
      <c r="F424" s="57"/>
      <c r="G424" s="63"/>
      <c r="H424" s="105"/>
      <c r="I424" s="63"/>
      <c r="J424" s="110"/>
      <c r="K424" s="64"/>
      <c r="L424" s="59"/>
      <c r="M424" s="65"/>
      <c r="N424" s="62"/>
    </row>
    <row r="425" spans="1:14" x14ac:dyDescent="0.25">
      <c r="A425" s="98" t="s">
        <v>102</v>
      </c>
      <c r="B425" s="59" t="s">
        <v>144</v>
      </c>
      <c r="C425" s="59" t="s">
        <v>136</v>
      </c>
      <c r="D425" s="93">
        <f t="shared" ca="1" si="31"/>
        <v>0</v>
      </c>
      <c r="E425" s="99">
        <f ca="1">COUNTIFS(follower_list.time_zone,A425,follower_list.klout_score,"&gt;="&amp;Calculations!$B$441)</f>
        <v>0</v>
      </c>
      <c r="F425" s="57"/>
      <c r="G425" s="63"/>
      <c r="H425" s="105"/>
      <c r="I425" s="63"/>
      <c r="J425" s="110"/>
      <c r="K425" s="64"/>
      <c r="L425" s="59"/>
      <c r="M425" s="65"/>
      <c r="N425" s="62"/>
    </row>
    <row r="426" spans="1:14" x14ac:dyDescent="0.25">
      <c r="A426" s="98" t="s">
        <v>43</v>
      </c>
      <c r="B426" s="59" t="s">
        <v>143</v>
      </c>
      <c r="C426" s="59" t="s">
        <v>136</v>
      </c>
      <c r="D426" s="93">
        <f t="shared" ca="1" si="31"/>
        <v>0</v>
      </c>
      <c r="E426" s="99">
        <f ca="1">COUNTIFS(follower_list.time_zone,A426,follower_list.klout_score,"&gt;="&amp;Calculations!$B$441)</f>
        <v>0</v>
      </c>
      <c r="F426" s="57"/>
      <c r="G426" s="63"/>
      <c r="H426" s="105"/>
      <c r="I426" s="63"/>
      <c r="J426" s="110"/>
      <c r="K426" s="64"/>
      <c r="L426" s="59"/>
      <c r="M426" s="65"/>
      <c r="N426" s="62"/>
    </row>
    <row r="427" spans="1:14" x14ac:dyDescent="0.25">
      <c r="A427" s="98" t="s">
        <v>32</v>
      </c>
      <c r="B427" s="59" t="s">
        <v>142</v>
      </c>
      <c r="C427" s="59" t="s">
        <v>136</v>
      </c>
      <c r="D427" s="93">
        <f t="shared" ref="D427:D439" ca="1" si="32">COUNTIF(follower_list.time_zone,A427)</f>
        <v>0</v>
      </c>
      <c r="E427" s="99">
        <f ca="1">COUNTIFS(follower_list.time_zone,A427,follower_list.klout_score,"&gt;="&amp;Calculations!$B$441)</f>
        <v>0</v>
      </c>
      <c r="F427" s="57"/>
      <c r="G427" s="63"/>
      <c r="H427" s="105"/>
      <c r="I427" s="63"/>
      <c r="J427" s="110"/>
      <c r="K427" s="64"/>
      <c r="L427" s="59"/>
      <c r="M427" s="65"/>
      <c r="N427" s="62"/>
    </row>
    <row r="428" spans="1:14" x14ac:dyDescent="0.25">
      <c r="A428" s="98" t="s">
        <v>141</v>
      </c>
      <c r="B428" s="59" t="s">
        <v>140</v>
      </c>
      <c r="C428" s="59" t="s">
        <v>136</v>
      </c>
      <c r="D428" s="93">
        <f t="shared" ca="1" si="32"/>
        <v>0</v>
      </c>
      <c r="E428" s="99">
        <f ca="1">COUNTIFS(follower_list.time_zone,A428,follower_list.klout_score,"&gt;="&amp;Calculations!$B$441)</f>
        <v>0</v>
      </c>
      <c r="F428" s="57"/>
      <c r="G428" s="63"/>
      <c r="H428" s="105"/>
      <c r="I428" s="63"/>
      <c r="J428" s="110"/>
      <c r="K428" s="64"/>
      <c r="L428" s="59"/>
      <c r="M428" s="65"/>
      <c r="N428" s="62"/>
    </row>
    <row r="429" spans="1:14" x14ac:dyDescent="0.25">
      <c r="A429" s="98" t="s">
        <v>13</v>
      </c>
      <c r="B429" s="59" t="s">
        <v>139</v>
      </c>
      <c r="C429" s="59" t="s">
        <v>136</v>
      </c>
      <c r="D429" s="93">
        <f t="shared" ca="1" si="32"/>
        <v>1</v>
      </c>
      <c r="E429" s="99">
        <f ca="1">COUNTIFS(follower_list.time_zone,A429,follower_list.klout_score,"&gt;="&amp;Calculations!$B$441)</f>
        <v>1</v>
      </c>
      <c r="F429" s="57"/>
      <c r="G429" s="63"/>
      <c r="H429" s="105"/>
      <c r="I429" s="63"/>
      <c r="J429" s="110"/>
      <c r="K429" s="64"/>
      <c r="L429" s="59"/>
      <c r="M429" s="65"/>
      <c r="N429" s="62"/>
    </row>
    <row r="430" spans="1:14" x14ac:dyDescent="0.25">
      <c r="A430" s="98" t="s">
        <v>138</v>
      </c>
      <c r="B430" s="59" t="s">
        <v>137</v>
      </c>
      <c r="C430" s="59" t="s">
        <v>136</v>
      </c>
      <c r="D430" s="93">
        <f t="shared" ca="1" si="32"/>
        <v>0</v>
      </c>
      <c r="E430" s="99">
        <f ca="1">COUNTIFS(follower_list.time_zone,A430,follower_list.klout_score,"&gt;="&amp;Calculations!$B$441)</f>
        <v>0</v>
      </c>
      <c r="F430" s="57"/>
      <c r="G430" s="63"/>
      <c r="H430" s="105"/>
      <c r="I430" s="63"/>
      <c r="J430" s="110"/>
      <c r="K430" s="64"/>
      <c r="L430" s="59"/>
      <c r="M430" s="65"/>
      <c r="N430" s="62"/>
    </row>
    <row r="431" spans="1:14" x14ac:dyDescent="0.25">
      <c r="A431" s="98" t="s">
        <v>135</v>
      </c>
      <c r="B431" s="59" t="s">
        <v>134</v>
      </c>
      <c r="C431" s="59" t="s">
        <v>129</v>
      </c>
      <c r="D431" s="93">
        <f t="shared" ca="1" si="32"/>
        <v>0</v>
      </c>
      <c r="E431" s="99">
        <f ca="1">COUNTIFS(follower_list.time_zone,A431,follower_list.klout_score,"&gt;="&amp;Calculations!$B$441)</f>
        <v>0</v>
      </c>
      <c r="F431" s="57"/>
      <c r="G431" s="63"/>
      <c r="H431" s="105"/>
      <c r="I431" s="63"/>
      <c r="J431" s="110"/>
      <c r="K431" s="64"/>
      <c r="L431" s="59"/>
      <c r="M431" s="65"/>
      <c r="N431" s="62"/>
    </row>
    <row r="432" spans="1:14" x14ac:dyDescent="0.25">
      <c r="A432" s="98" t="s">
        <v>133</v>
      </c>
      <c r="B432" s="59" t="s">
        <v>132</v>
      </c>
      <c r="C432" s="59" t="s">
        <v>129</v>
      </c>
      <c r="D432" s="93">
        <f t="shared" ca="1" si="32"/>
        <v>0</v>
      </c>
      <c r="E432" s="99">
        <f ca="1">COUNTIFS(follower_list.time_zone,A432,follower_list.klout_score,"&gt;="&amp;Calculations!$B$441)</f>
        <v>0</v>
      </c>
      <c r="F432" s="57"/>
      <c r="G432" s="63"/>
      <c r="H432" s="105"/>
      <c r="I432" s="63"/>
      <c r="J432" s="110"/>
      <c r="K432" s="64"/>
      <c r="L432" s="59"/>
      <c r="M432" s="65"/>
      <c r="N432" s="62"/>
    </row>
    <row r="433" spans="1:14" x14ac:dyDescent="0.25">
      <c r="A433" s="98" t="s">
        <v>131</v>
      </c>
      <c r="B433" s="59" t="s">
        <v>130</v>
      </c>
      <c r="C433" s="59" t="s">
        <v>129</v>
      </c>
      <c r="D433" s="93">
        <f t="shared" ca="1" si="32"/>
        <v>0</v>
      </c>
      <c r="E433" s="99">
        <f ca="1">COUNTIFS(follower_list.time_zone,A433,follower_list.klout_score,"&gt;="&amp;Calculations!$B$441)</f>
        <v>0</v>
      </c>
      <c r="F433" s="57"/>
      <c r="G433" s="63"/>
      <c r="H433" s="105"/>
      <c r="I433" s="63"/>
      <c r="J433" s="110"/>
      <c r="K433" s="64"/>
      <c r="L433" s="59"/>
      <c r="M433" s="65"/>
      <c r="N433" s="62"/>
    </row>
    <row r="434" spans="1:14" x14ac:dyDescent="0.25">
      <c r="A434" s="98" t="s">
        <v>87</v>
      </c>
      <c r="B434" s="59" t="s">
        <v>128</v>
      </c>
      <c r="C434" s="59" t="s">
        <v>119</v>
      </c>
      <c r="D434" s="93">
        <f t="shared" ca="1" si="32"/>
        <v>0</v>
      </c>
      <c r="E434" s="99">
        <f ca="1">COUNTIFS(follower_list.time_zone,A434,follower_list.klout_score,"&gt;="&amp;Calculations!$B$441)</f>
        <v>0</v>
      </c>
      <c r="F434" s="57"/>
      <c r="G434" s="63"/>
      <c r="H434" s="105"/>
      <c r="I434" s="63"/>
      <c r="J434" s="110"/>
      <c r="K434" s="64"/>
      <c r="L434" s="59"/>
      <c r="M434" s="65"/>
      <c r="N434" s="62"/>
    </row>
    <row r="435" spans="1:14" x14ac:dyDescent="0.25">
      <c r="A435" s="98" t="s">
        <v>127</v>
      </c>
      <c r="B435" s="59" t="s">
        <v>126</v>
      </c>
      <c r="C435" s="59" t="s">
        <v>119</v>
      </c>
      <c r="D435" s="93">
        <f t="shared" ca="1" si="32"/>
        <v>0</v>
      </c>
      <c r="E435" s="99">
        <f ca="1">COUNTIFS(follower_list.time_zone,A435,follower_list.klout_score,"&gt;="&amp;Calculations!$B$441)</f>
        <v>0</v>
      </c>
      <c r="F435" s="57"/>
      <c r="G435" s="63"/>
      <c r="H435" s="105"/>
      <c r="I435" s="63"/>
      <c r="J435" s="110"/>
      <c r="K435" s="64"/>
      <c r="L435" s="59"/>
      <c r="M435" s="65"/>
      <c r="N435" s="62"/>
    </row>
    <row r="436" spans="1:14" x14ac:dyDescent="0.25">
      <c r="A436" s="98" t="s">
        <v>125</v>
      </c>
      <c r="B436" s="59" t="s">
        <v>124</v>
      </c>
      <c r="C436" s="59" t="s">
        <v>119</v>
      </c>
      <c r="D436" s="93">
        <f t="shared" ca="1" si="32"/>
        <v>0</v>
      </c>
      <c r="E436" s="99">
        <f ca="1">COUNTIFS(follower_list.time_zone,A436,follower_list.klout_score,"&gt;="&amp;Calculations!$B$441)</f>
        <v>0</v>
      </c>
      <c r="F436" s="57"/>
      <c r="G436" s="63"/>
      <c r="H436" s="105"/>
      <c r="I436" s="63"/>
      <c r="J436" s="110"/>
      <c r="K436" s="64"/>
      <c r="L436" s="59"/>
      <c r="M436" s="65"/>
      <c r="N436" s="62"/>
    </row>
    <row r="437" spans="1:14" x14ac:dyDescent="0.25">
      <c r="A437" s="98" t="s">
        <v>123</v>
      </c>
      <c r="B437" s="59" t="s">
        <v>122</v>
      </c>
      <c r="C437" s="59" t="s">
        <v>119</v>
      </c>
      <c r="D437" s="93">
        <f t="shared" ca="1" si="32"/>
        <v>0</v>
      </c>
      <c r="E437" s="99">
        <f ca="1">COUNTIFS(follower_list.time_zone,A437,follower_list.klout_score,"&gt;="&amp;Calculations!$B$441)</f>
        <v>0</v>
      </c>
      <c r="F437" s="57"/>
      <c r="G437" s="63"/>
      <c r="H437" s="105"/>
      <c r="I437" s="63"/>
      <c r="J437" s="110"/>
      <c r="K437" s="64"/>
      <c r="L437" s="59"/>
      <c r="M437" s="65"/>
      <c r="N437" s="62"/>
    </row>
    <row r="438" spans="1:14" x14ac:dyDescent="0.25">
      <c r="A438" s="98" t="s">
        <v>121</v>
      </c>
      <c r="B438" s="59" t="s">
        <v>120</v>
      </c>
      <c r="C438" s="59" t="s">
        <v>119</v>
      </c>
      <c r="D438" s="93">
        <f t="shared" ca="1" si="32"/>
        <v>0</v>
      </c>
      <c r="E438" s="99">
        <f ca="1">COUNTIFS(follower_list.time_zone,A438,follower_list.klout_score,"&gt;="&amp;Calculations!$B$441)</f>
        <v>0</v>
      </c>
      <c r="F438" s="57"/>
      <c r="G438" s="63"/>
      <c r="H438" s="105"/>
      <c r="I438" s="63"/>
      <c r="J438" s="110"/>
      <c r="K438" s="64"/>
      <c r="L438" s="59"/>
      <c r="M438" s="65"/>
      <c r="N438" s="62"/>
    </row>
    <row r="439" spans="1:14" x14ac:dyDescent="0.25">
      <c r="A439" s="100" t="s">
        <v>118</v>
      </c>
      <c r="B439" s="96" t="s">
        <v>117</v>
      </c>
      <c r="C439" s="96" t="s">
        <v>116</v>
      </c>
      <c r="D439" s="101">
        <f t="shared" ca="1" si="32"/>
        <v>0</v>
      </c>
      <c r="E439" s="102">
        <f ca="1">COUNTIFS(follower_list.time_zone,A439,follower_list.klout_score,"&gt;="&amp;Calculations!$B$441)</f>
        <v>0</v>
      </c>
      <c r="F439" s="95"/>
      <c r="G439" s="111"/>
      <c r="H439" s="112"/>
      <c r="I439" s="111"/>
      <c r="J439" s="113"/>
      <c r="K439" s="116"/>
      <c r="L439" s="96"/>
      <c r="M439" s="117"/>
      <c r="N439" s="97"/>
    </row>
    <row r="441" spans="1:14" x14ac:dyDescent="0.25">
      <c r="A441" s="103" t="s">
        <v>6</v>
      </c>
      <c r="B441" s="156">
        <v>40</v>
      </c>
    </row>
  </sheetData>
  <mergeCells count="2">
    <mergeCell ref="K326:N326"/>
    <mergeCell ref="K297:N2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63"/>
  <sheetViews>
    <sheetView showGridLines="0" topLeftCell="A10" workbookViewId="0">
      <selection activeCell="A37" sqref="A37"/>
    </sheetView>
  </sheetViews>
  <sheetFormatPr defaultRowHeight="15" x14ac:dyDescent="0.25"/>
  <cols>
    <col min="1" max="1" width="14.42578125" style="18" customWidth="1"/>
    <col min="2" max="3" width="21.28515625" style="18" customWidth="1"/>
    <col min="4" max="4" width="17.42578125" style="18" bestFit="1" customWidth="1"/>
    <col min="5" max="5" width="17.5703125" style="18" bestFit="1" customWidth="1"/>
    <col min="6" max="6" width="16.28515625" style="18" bestFit="1" customWidth="1"/>
    <col min="7" max="7" width="19.5703125" style="18" bestFit="1" customWidth="1"/>
    <col min="8" max="8" width="17.42578125" style="18" bestFit="1" customWidth="1"/>
    <col min="9" max="11" width="13.85546875" bestFit="1" customWidth="1"/>
  </cols>
  <sheetData>
    <row r="1" spans="1:10" ht="15.75" thickBot="1" x14ac:dyDescent="0.3">
      <c r="A1" s="44" t="s">
        <v>395</v>
      </c>
      <c r="B1" s="43"/>
      <c r="C1" s="43"/>
      <c r="D1" s="43"/>
      <c r="E1" s="43"/>
      <c r="F1" s="43"/>
      <c r="G1" s="43"/>
      <c r="H1" s="43"/>
      <c r="I1" s="42"/>
      <c r="J1" s="42"/>
    </row>
    <row r="2" spans="1:10" x14ac:dyDescent="0.25">
      <c r="G2" s="41" t="s">
        <v>394</v>
      </c>
      <c r="H2" s="37">
        <v>60</v>
      </c>
      <c r="I2" s="41" t="s">
        <v>393</v>
      </c>
      <c r="J2" s="37">
        <v>60</v>
      </c>
    </row>
    <row r="4" spans="1:10" x14ac:dyDescent="0.25">
      <c r="A4" s="31" t="s">
        <v>392</v>
      </c>
      <c r="B4" s="31" t="s">
        <v>354</v>
      </c>
      <c r="C4" s="31" t="s">
        <v>357</v>
      </c>
      <c r="D4" s="31" t="s">
        <v>356</v>
      </c>
      <c r="E4" s="31" t="s">
        <v>372</v>
      </c>
      <c r="F4" s="31" t="s">
        <v>371</v>
      </c>
      <c r="G4" s="31" t="s">
        <v>370</v>
      </c>
      <c r="H4" s="31" t="s">
        <v>369</v>
      </c>
      <c r="I4" s="31" t="s">
        <v>368</v>
      </c>
      <c r="J4" s="31" t="s">
        <v>367</v>
      </c>
    </row>
    <row r="5" spans="1:10" x14ac:dyDescent="0.25">
      <c r="A5" s="33" t="s">
        <v>341</v>
      </c>
      <c r="B5" s="40" t="str">
        <f>Charts!N3</f>
        <v>Daily</v>
      </c>
      <c r="C5" s="204">
        <f>Charts!$H$3</f>
        <v>42775</v>
      </c>
      <c r="D5" s="204">
        <f>VLOOKUP(B5,Controls!$A$16:$H$20,8,FALSE)</f>
        <v>42782</v>
      </c>
      <c r="E5" s="39">
        <f t="shared" ref="E5:E13" si="0">1+$H$2+$J$2</f>
        <v>121</v>
      </c>
      <c r="F5" s="203">
        <f>VLOOKUP(Charts!$N$3,Controls!$A$16:$D$20,4,FALSE)</f>
        <v>2</v>
      </c>
      <c r="G5" s="203">
        <f>IF(VLOOKUP(Charts!$N$3,Controls!$A$16:$E$20,5,FALSE)&gt;=$H$2,-H2,-1*VLOOKUP(Charts!$N$3,Controls!$A$16:$E$20,5,FALSE)-1-VLOOKUP(Charts!$N$3,Controls!$A$16:$F$20,6,FALSE))</f>
        <v>-8</v>
      </c>
      <c r="H5" s="201">
        <v>1</v>
      </c>
      <c r="I5" s="202">
        <f>VLOOKUP(Charts!$N$3,Controls!$A$16:$B$20,2,FALSE)</f>
        <v>1</v>
      </c>
      <c r="J5" s="202">
        <f>VLOOKUP(Charts!$N$3,Controls!$A$16:$I$20,9,FALSE)</f>
        <v>-1</v>
      </c>
    </row>
    <row r="6" spans="1:10" x14ac:dyDescent="0.25">
      <c r="A6" s="33" t="s">
        <v>391</v>
      </c>
      <c r="B6" s="33" t="s">
        <v>375</v>
      </c>
      <c r="C6" s="204">
        <f>D6-1</f>
        <v>42781</v>
      </c>
      <c r="D6" s="204">
        <f>VLOOKUP(B6,Controls!$A$16:$H$20,8,FALSE)</f>
        <v>42782</v>
      </c>
      <c r="E6" s="39">
        <f t="shared" si="0"/>
        <v>121</v>
      </c>
      <c r="F6" s="201">
        <v>3</v>
      </c>
      <c r="G6" s="201">
        <v>-24</v>
      </c>
      <c r="H6" s="201">
        <v>1</v>
      </c>
      <c r="I6" s="201">
        <f>1/24</f>
        <v>4.1666666666666664E-2</v>
      </c>
      <c r="J6" s="201">
        <v>0</v>
      </c>
    </row>
    <row r="7" spans="1:10" x14ac:dyDescent="0.25">
      <c r="A7" s="33" t="s">
        <v>390</v>
      </c>
      <c r="B7" s="33" t="s">
        <v>375</v>
      </c>
      <c r="C7" s="204">
        <f>D7-2</f>
        <v>42780</v>
      </c>
      <c r="D7" s="204">
        <f>VLOOKUP(B7,Controls!$A$16:$H$20,8,FALSE)</f>
        <v>42782</v>
      </c>
      <c r="E7" s="39">
        <f t="shared" si="0"/>
        <v>121</v>
      </c>
      <c r="F7" s="201">
        <v>3</v>
      </c>
      <c r="G7" s="201">
        <v>-48</v>
      </c>
      <c r="H7" s="201">
        <v>1</v>
      </c>
      <c r="I7" s="201">
        <f>1/24</f>
        <v>4.1666666666666664E-2</v>
      </c>
      <c r="J7" s="201">
        <v>0</v>
      </c>
    </row>
    <row r="8" spans="1:10" x14ac:dyDescent="0.25">
      <c r="A8" s="33" t="s">
        <v>389</v>
      </c>
      <c r="B8" s="33" t="s">
        <v>376</v>
      </c>
      <c r="C8" s="204">
        <f>D8-7</f>
        <v>42775</v>
      </c>
      <c r="D8" s="204">
        <f>VLOOKUP(B8,Controls!$A$16:$H$20,8,FALSE)</f>
        <v>42782</v>
      </c>
      <c r="E8" s="39">
        <f t="shared" si="0"/>
        <v>121</v>
      </c>
      <c r="F8" s="201">
        <v>2</v>
      </c>
      <c r="G8" s="201">
        <v>-7</v>
      </c>
      <c r="H8" s="201">
        <v>1</v>
      </c>
      <c r="I8" s="201">
        <v>1</v>
      </c>
      <c r="J8" s="201">
        <v>-1</v>
      </c>
    </row>
    <row r="9" spans="1:10" x14ac:dyDescent="0.25">
      <c r="A9" s="33" t="s">
        <v>388</v>
      </c>
      <c r="B9" s="33" t="s">
        <v>376</v>
      </c>
      <c r="C9" s="204">
        <f>D9-27</f>
        <v>42755</v>
      </c>
      <c r="D9" s="204">
        <f>VLOOKUP(B9,Controls!$A$16:$H$20,8,FALSE)</f>
        <v>42782</v>
      </c>
      <c r="E9" s="39">
        <f t="shared" si="0"/>
        <v>121</v>
      </c>
      <c r="F9" s="201">
        <v>2</v>
      </c>
      <c r="G9" s="201">
        <v>-14</v>
      </c>
      <c r="H9" s="201">
        <v>1</v>
      </c>
      <c r="I9" s="201">
        <v>1</v>
      </c>
      <c r="J9" s="201">
        <v>-1</v>
      </c>
    </row>
    <row r="10" spans="1:10" x14ac:dyDescent="0.25">
      <c r="A10" s="33" t="s">
        <v>387</v>
      </c>
      <c r="B10" s="33" t="s">
        <v>376</v>
      </c>
      <c r="C10" s="204">
        <f>D10-30</f>
        <v>42752</v>
      </c>
      <c r="D10" s="204">
        <f>VLOOKUP(B10,Controls!$A$16:$H$20,8,FALSE)</f>
        <v>42782</v>
      </c>
      <c r="E10" s="39">
        <f t="shared" si="0"/>
        <v>121</v>
      </c>
      <c r="F10" s="201">
        <v>2</v>
      </c>
      <c r="G10" s="201">
        <v>-30</v>
      </c>
      <c r="H10" s="201">
        <v>1</v>
      </c>
      <c r="I10" s="201">
        <v>1</v>
      </c>
      <c r="J10" s="201">
        <v>-1</v>
      </c>
    </row>
    <row r="11" spans="1:10" x14ac:dyDescent="0.25">
      <c r="A11" s="33" t="s">
        <v>386</v>
      </c>
      <c r="B11" s="33" t="s">
        <v>377</v>
      </c>
      <c r="C11" s="204">
        <f>D11-21</f>
        <v>42763</v>
      </c>
      <c r="D11" s="204">
        <f>IF(WEEKDAY(Charts!$K$3)-INDEX(Controls!$A$24:$A$30,MATCH(Controls!$C$23,Controls!$B$24:$B$30,0))&gt;0,Charts!$K$3-(WEEKDAY(Charts!$K$3)-INDEX(Controls!$A$24:$A$30,MATCH(Controls!$C$23,Controls!$B$24:$B$30,0),1))+6,6+Charts!$K$3-(7+(WEEKDAY(Charts!$K$3)-INDEX(Controls!$A$24:$A$30,MATCH(Controls!$C$23,Controls!$B$24:$B$30,0)))))</f>
        <v>42784</v>
      </c>
      <c r="E11" s="39">
        <f t="shared" si="0"/>
        <v>121</v>
      </c>
      <c r="F11" s="201">
        <v>1</v>
      </c>
      <c r="G11" s="201">
        <v>-4</v>
      </c>
      <c r="H11" s="201">
        <v>1</v>
      </c>
      <c r="I11" s="201">
        <v>7</v>
      </c>
      <c r="J11" s="201">
        <v>-1</v>
      </c>
    </row>
    <row r="12" spans="1:10" x14ac:dyDescent="0.25">
      <c r="A12" s="33" t="s">
        <v>385</v>
      </c>
      <c r="B12" s="33" t="s">
        <v>378</v>
      </c>
      <c r="C12" s="204">
        <f>DATE(YEAR(D12),MONTH(D12)-2,DAY(D12))</f>
        <v>42705</v>
      </c>
      <c r="D12" s="204">
        <f>DATE(YEAR(VLOOKUP(Charts!$N$3,Controls!$A$16:$H$20,8,FALSE)),MONTH(VLOOKUP(Charts!$N$3,Controls!$A$16:$H$20,8,FALSE)),DAY(1))</f>
        <v>42767</v>
      </c>
      <c r="E12" s="39">
        <f t="shared" si="0"/>
        <v>121</v>
      </c>
      <c r="F12" s="201">
        <v>0</v>
      </c>
      <c r="G12" s="201">
        <v>-3</v>
      </c>
      <c r="H12" s="201">
        <v>1</v>
      </c>
      <c r="I12" s="201">
        <v>1</v>
      </c>
      <c r="J12" s="201">
        <v>-1</v>
      </c>
    </row>
    <row r="13" spans="1:10" x14ac:dyDescent="0.25">
      <c r="A13" s="33" t="s">
        <v>384</v>
      </c>
      <c r="B13" s="33" t="s">
        <v>378</v>
      </c>
      <c r="C13" s="204">
        <f>DATE(YEAR(D13),MONTH(D13)-5,DAY(D13))</f>
        <v>42614</v>
      </c>
      <c r="D13" s="204">
        <f>DATE(YEAR(VLOOKUP(Charts!$N$3,Controls!$A$16:$H$20,8,FALSE)),MONTH(VLOOKUP(Charts!$N$3,Controls!$A$16:$H$20,8,FALSE)),DAY(1))</f>
        <v>42767</v>
      </c>
      <c r="E13" s="39">
        <f t="shared" si="0"/>
        <v>121</v>
      </c>
      <c r="F13" s="201">
        <v>0</v>
      </c>
      <c r="G13" s="201">
        <v>-6</v>
      </c>
      <c r="H13" s="201">
        <v>1</v>
      </c>
      <c r="I13" s="201">
        <v>1</v>
      </c>
      <c r="J13" s="201">
        <v>-1</v>
      </c>
    </row>
    <row r="15" spans="1:10" x14ac:dyDescent="0.25">
      <c r="A15" s="31" t="s">
        <v>354</v>
      </c>
      <c r="B15" s="31" t="s">
        <v>368</v>
      </c>
      <c r="C15" s="31" t="s">
        <v>383</v>
      </c>
      <c r="D15" s="31" t="s">
        <v>371</v>
      </c>
      <c r="E15" s="31" t="s">
        <v>382</v>
      </c>
      <c r="F15" s="31" t="s">
        <v>381</v>
      </c>
      <c r="G15" s="31" t="s">
        <v>380</v>
      </c>
      <c r="H15" s="31" t="s">
        <v>379</v>
      </c>
      <c r="I15" s="31" t="s">
        <v>367</v>
      </c>
    </row>
    <row r="16" spans="1:10" x14ac:dyDescent="0.25">
      <c r="A16" s="33" t="s">
        <v>378</v>
      </c>
      <c r="B16" s="33">
        <v>1</v>
      </c>
      <c r="C16" s="39"/>
      <c r="D16" s="39">
        <v>0</v>
      </c>
      <c r="E16" s="39">
        <f>(YEAR(H16)-YEAR(G16))*12+MONTH(H16)-MONTH(G16)</f>
        <v>0</v>
      </c>
      <c r="F16" s="39"/>
      <c r="G16" s="38">
        <f>DATE(YEAR(Charts!$H$3),MONTH(Charts!$H$3),1)</f>
        <v>42767</v>
      </c>
      <c r="H16" s="38">
        <f>EOMONTH(Charts!$K$3,0)</f>
        <v>42794</v>
      </c>
      <c r="I16" s="18">
        <v>-1</v>
      </c>
      <c r="J16" s="18"/>
    </row>
    <row r="17" spans="1:12" x14ac:dyDescent="0.25">
      <c r="A17" s="33" t="s">
        <v>377</v>
      </c>
      <c r="B17" s="33">
        <v>7</v>
      </c>
      <c r="C17" s="39">
        <v>7</v>
      </c>
      <c r="D17" s="39">
        <v>1</v>
      </c>
      <c r="E17" s="39">
        <f>H2-COUNT(Tables!B3:B122)</f>
        <v>8</v>
      </c>
      <c r="F17" s="39">
        <v>-1</v>
      </c>
      <c r="G17" s="38">
        <f>IF(WEEKDAY(Charts!$H$3)-INDEX(Controls!$A$24:$A$30,MATCH(Controls!$C$23,Controls!$B$24:$B$30,0))&gt;0,Charts!$H$3-(WEEKDAY(Charts!$H$3)-INDEX(Controls!$A$24:$A$30,MATCH(Controls!$C$23,Controls!$B$24:$B$30,0),1)),Charts!$H$3-(7+(WEEKDAY(Charts!$H$3)-INDEX(Controls!$A$24:$A$30,MATCH(Controls!$C$23,Controls!$B$24:$B$30,0)))))</f>
        <v>42771</v>
      </c>
      <c r="H17" s="38">
        <f>IF(WEEKDAY(Charts!$K$3)-INDEX(Controls!$A$24:$A$30,MATCH(Controls!$C$23,Controls!$B$24:$B$30,0))&gt;=0,DATE(YEAR(Charts!$K$3),MONTH(Charts!$K$3),DAY(Charts!$K$3))-(WEEKDAY(Charts!$K$3)-INDEX(Controls!$A$24:$A$30,MATCH(Controls!$C$23,Controls!$B$24:$B$30,0),1))+6,6+DATE(YEAR(Charts!$K$3),MONTH(Charts!$K$3),DAY(Charts!$K$3))-(7+(WEEKDAY(Charts!$K$3)-INDEX(Controls!$A$24:$A$30,MATCH(Controls!$C$23,Controls!$B$24:$B$30,0)))))</f>
        <v>42784</v>
      </c>
      <c r="I17" s="18">
        <v>-1</v>
      </c>
      <c r="J17" s="18"/>
    </row>
    <row r="18" spans="1:12" x14ac:dyDescent="0.25">
      <c r="A18" s="33" t="s">
        <v>376</v>
      </c>
      <c r="B18" s="33">
        <v>1</v>
      </c>
      <c r="C18" s="39">
        <v>1</v>
      </c>
      <c r="D18" s="39">
        <v>2</v>
      </c>
      <c r="E18" s="39">
        <f>(H18-G18)*C18</f>
        <v>7</v>
      </c>
      <c r="F18" s="39">
        <v>0</v>
      </c>
      <c r="G18" s="38">
        <f>Charts!$H$3</f>
        <v>42775</v>
      </c>
      <c r="H18" s="38">
        <f>Charts!$K$3</f>
        <v>42782</v>
      </c>
      <c r="I18" s="18">
        <v>-1</v>
      </c>
      <c r="J18" s="18"/>
    </row>
    <row r="19" spans="1:12" x14ac:dyDescent="0.25">
      <c r="A19" s="33" t="s">
        <v>375</v>
      </c>
      <c r="B19" s="33">
        <f>1/24</f>
        <v>4.1666666666666664E-2</v>
      </c>
      <c r="C19" s="39">
        <f>24</f>
        <v>24</v>
      </c>
      <c r="D19" s="39">
        <v>3</v>
      </c>
      <c r="E19" s="39">
        <f>(H19-G19)*C19</f>
        <v>168</v>
      </c>
      <c r="F19" s="39">
        <v>0</v>
      </c>
      <c r="G19" s="38">
        <f>Charts!$H$3</f>
        <v>42775</v>
      </c>
      <c r="H19" s="38">
        <f>DATE(YEAR(Charts!$K$3),MONTH(Charts!$K$3),DAY(Charts!$K$3))+IF(TIME(HOUR(Charts!$K$3)+1,0,0)=0,23/24,TIME(HOUR(Charts!$K$3)+23/24,0,0))</f>
        <v>42782</v>
      </c>
      <c r="I19" s="18">
        <v>0</v>
      </c>
      <c r="J19" s="18"/>
      <c r="L19" s="7"/>
    </row>
    <row r="20" spans="1:12" x14ac:dyDescent="0.25">
      <c r="A20" s="33" t="s">
        <v>374</v>
      </c>
      <c r="B20" s="33">
        <f>(1/24/60)*Charts!$P$3</f>
        <v>0</v>
      </c>
      <c r="C20" s="39">
        <v>1440</v>
      </c>
      <c r="D20" s="39">
        <v>3</v>
      </c>
      <c r="E20" s="39" t="e">
        <f>ROUNDDOWN(((H20-G20)*C20)/(B20/(1/24/60))+2,0)</f>
        <v>#DIV/0!</v>
      </c>
      <c r="F20" s="39">
        <v>-2</v>
      </c>
      <c r="G20" s="38">
        <f>Charts!$H$3</f>
        <v>42775</v>
      </c>
      <c r="H20" s="38">
        <f>Charts!$K$3</f>
        <v>42782</v>
      </c>
      <c r="I20" s="18">
        <v>0</v>
      </c>
      <c r="J20" s="18"/>
    </row>
    <row r="21" spans="1:12" x14ac:dyDescent="0.25">
      <c r="C21" s="4"/>
      <c r="G21" s="20"/>
      <c r="H21" s="20"/>
      <c r="I21" s="18"/>
      <c r="J21" s="18"/>
    </row>
    <row r="23" spans="1:12" x14ac:dyDescent="0.25">
      <c r="A23" s="307" t="s">
        <v>373</v>
      </c>
      <c r="B23" s="308"/>
      <c r="C23" s="37" t="s">
        <v>359</v>
      </c>
      <c r="E23" s="31" t="s">
        <v>372</v>
      </c>
      <c r="F23" s="31" t="s">
        <v>371</v>
      </c>
      <c r="G23" s="31" t="s">
        <v>370</v>
      </c>
      <c r="H23" s="31" t="s">
        <v>369</v>
      </c>
      <c r="I23" s="31" t="s">
        <v>368</v>
      </c>
      <c r="J23" s="31" t="s">
        <v>354</v>
      </c>
      <c r="K23" s="31" t="s">
        <v>367</v>
      </c>
    </row>
    <row r="24" spans="1:12" x14ac:dyDescent="0.25">
      <c r="A24" s="34">
        <v>2</v>
      </c>
      <c r="B24" s="33" t="s">
        <v>366</v>
      </c>
      <c r="C24" s="33">
        <v>-1</v>
      </c>
      <c r="E24" s="18">
        <f>VLOOKUP(Charts!$H$6,Controls!$A$5:$I$14,5,FALSE)</f>
        <v>121</v>
      </c>
      <c r="F24" s="18">
        <f>VLOOKUP(Charts!$H$6,Controls!$A$5:$I$14,6,FALSE)</f>
        <v>2</v>
      </c>
      <c r="G24" s="18">
        <f>VLOOKUP(Charts!$H$6,Controls!$A$5:$I$14,7,FALSE)</f>
        <v>-8</v>
      </c>
      <c r="H24" s="18">
        <f>VLOOKUP(Charts!$H$6,Controls!$A$5:$I$14,8,FALSE)</f>
        <v>1</v>
      </c>
      <c r="I24" s="18">
        <f>VLOOKUP(Charts!$H$6,Controls!$A$5:$I$14,9,FALSE)</f>
        <v>1</v>
      </c>
      <c r="J24" s="36" t="str">
        <f>VLOOKUP(Charts!$H$6,Controls!$A$5:$I$14,2,FALSE)</f>
        <v>Daily</v>
      </c>
      <c r="K24" s="36">
        <f>VLOOKUP(Charts!$H$6,Controls!$A$4:$J$13,10,FALSE)</f>
        <v>-1</v>
      </c>
    </row>
    <row r="25" spans="1:12" x14ac:dyDescent="0.25">
      <c r="A25" s="34">
        <v>3</v>
      </c>
      <c r="B25" s="33" t="s">
        <v>365</v>
      </c>
      <c r="C25" s="33">
        <v>-2</v>
      </c>
    </row>
    <row r="26" spans="1:12" x14ac:dyDescent="0.25">
      <c r="A26" s="34">
        <v>4</v>
      </c>
      <c r="B26" s="33" t="s">
        <v>364</v>
      </c>
      <c r="C26" s="33">
        <v>-3</v>
      </c>
      <c r="E26" s="309" t="s">
        <v>363</v>
      </c>
      <c r="F26" s="309"/>
    </row>
    <row r="27" spans="1:12" x14ac:dyDescent="0.25">
      <c r="A27" s="34">
        <v>5</v>
      </c>
      <c r="B27" s="33" t="s">
        <v>362</v>
      </c>
      <c r="C27" s="33">
        <v>-4</v>
      </c>
      <c r="D27" s="35"/>
      <c r="E27" s="31" t="s">
        <v>357</v>
      </c>
      <c r="F27" s="31" t="s">
        <v>356</v>
      </c>
    </row>
    <row r="28" spans="1:12" x14ac:dyDescent="0.25">
      <c r="A28" s="34">
        <v>6</v>
      </c>
      <c r="B28" s="33" t="s">
        <v>361</v>
      </c>
      <c r="C28" s="33">
        <v>-5</v>
      </c>
      <c r="D28" s="20"/>
      <c r="E28" s="20">
        <f>VLOOKUP(Charts!$H$6,Controls!$A$5:$D$13,3,FALSE)</f>
        <v>42775</v>
      </c>
      <c r="F28" s="20">
        <f>IF(Charts!$N$3="Hourly",VLOOKUP(Charts!$H$6,Controls!$A$5:$D$13,4,FALSE)+1/24,VLOOKUP(Charts!$H$6,Controls!$A$5:$D$13,4,FALSE))</f>
        <v>42782</v>
      </c>
    </row>
    <row r="29" spans="1:12" x14ac:dyDescent="0.25">
      <c r="A29" s="34">
        <v>7</v>
      </c>
      <c r="B29" s="33" t="s">
        <v>360</v>
      </c>
      <c r="C29" s="33">
        <v>-6</v>
      </c>
      <c r="E29" s="20"/>
    </row>
    <row r="30" spans="1:12" x14ac:dyDescent="0.25">
      <c r="A30" s="34">
        <v>1</v>
      </c>
      <c r="B30" s="33" t="s">
        <v>359</v>
      </c>
      <c r="C30" s="33">
        <v>0</v>
      </c>
      <c r="D30" s="20"/>
      <c r="E30" s="309" t="s">
        <v>358</v>
      </c>
      <c r="F30" s="309"/>
    </row>
    <row r="31" spans="1:12" x14ac:dyDescent="0.25">
      <c r="E31" s="31" t="s">
        <v>357</v>
      </c>
      <c r="F31" s="31" t="s">
        <v>356</v>
      </c>
      <c r="G31" s="31" t="s">
        <v>355</v>
      </c>
      <c r="H31" s="31" t="s">
        <v>354</v>
      </c>
    </row>
    <row r="32" spans="1:12" x14ac:dyDescent="0.25">
      <c r="A32" s="32"/>
      <c r="E32" s="232">
        <v>42775</v>
      </c>
      <c r="F32" s="232">
        <v>42782</v>
      </c>
      <c r="G32" t="s">
        <v>376</v>
      </c>
      <c r="H32" s="18" t="str">
        <f>IF(G32="","Daily",G32)</f>
        <v>Daily</v>
      </c>
    </row>
    <row r="35" spans="1:8" x14ac:dyDescent="0.25">
      <c r="A35" s="310" t="s">
        <v>353</v>
      </c>
      <c r="B35" s="311"/>
      <c r="C35" s="311"/>
      <c r="E35" s="310" t="s">
        <v>352</v>
      </c>
      <c r="F35" s="311"/>
      <c r="G35" s="311"/>
    </row>
    <row r="36" spans="1:8" x14ac:dyDescent="0.25">
      <c r="A36" s="31" t="s">
        <v>351</v>
      </c>
      <c r="B36" s="31" t="s">
        <v>350</v>
      </c>
      <c r="C36" s="31" t="s">
        <v>349</v>
      </c>
      <c r="E36" s="31" t="s">
        <v>351</v>
      </c>
      <c r="F36" s="31" t="s">
        <v>350</v>
      </c>
      <c r="G36" s="31" t="s">
        <v>349</v>
      </c>
    </row>
    <row r="37" spans="1:8" x14ac:dyDescent="0.25">
      <c r="A37" s="237" t="str">
        <f>HYPERLINK("https://freereports.simplymeasured.com/viewer/excel_redirect/gy3by8a87jnywal7jwcpql3penesqm")</f>
        <v>https://freereports.simplymeasured.com/viewer/excel_redirect/gy3by8a87jnywal7jwcpql3penesqm</v>
      </c>
      <c r="B37" s="18" t="s">
        <v>348</v>
      </c>
      <c r="C37" s="18" t="str">
        <f>IF(RIGHT(A37,1)="/",CONCATENATE(A37,B37),CONCATENATE(A37,"/",B37))</f>
        <v>https://freereports.simplymeasured.com/viewer/excel_redirect/gy3by8a87jnywal7jwcpql3penesqm/#utm_source=excel_to_web&amp;utm_medium=spreadsheet&amp;utm_content=web_viewer&amp;utm_campaign=excel_to_web</v>
      </c>
      <c r="E37" t="str">
        <f ca="1">CONCATENATE("https://freereports.simplymeasured.com/viewer/excel_redirect/gy3by8a87jnywal7jwcpql3penesqm?upload_url=", IF(LEN(SUBSTITUTE(SUBSTITUTE(LEFT(CELL("filename"),FIND("]",CELL("filename"))),"[",""),"]",""))&gt;150," ",(SUBSTITUTE(SUBSTITUTE(LEFT(CELL("filename"),FIND("]",CELL("filename"))),"[",""),"]",""))))</f>
        <v>https://freereports.simplymeasured.com/viewer/excel_redirect/gy3by8a87jnywal7jwcpql3penesqm?upload_url=C:\Users\abacus\AppData\Local\Temp\Abacus\06819f8022d9ed80f581e8f525d090f3ea70d9e4_freebie_twitter_audience6719474132151743226.xlsx</v>
      </c>
      <c r="G37" s="18" t="str">
        <f ca="1">IF(RIGHT(E37,1)="/",CONCATENATE(E37,F37),CONCATENATE(E37,"/",F37))</f>
        <v>https://freereports.simplymeasured.com/viewer/excel_redirect/gy3by8a87jnywal7jwcpql3penesqm?upload_url=C:\Users\abacus\AppData\Local\Temp\Abacus\06819f8022d9ed80f581e8f525d090f3ea70d9e4_freebie_twitter_audience6719474132151743226.xlsx/</v>
      </c>
    </row>
    <row r="40" spans="1:8" x14ac:dyDescent="0.25">
      <c r="A40" s="5"/>
      <c r="B40"/>
      <c r="C40" s="5"/>
      <c r="D40" s="5"/>
      <c r="G40" s="5"/>
      <c r="H40" s="5"/>
    </row>
    <row r="41" spans="1:8" x14ac:dyDescent="0.25">
      <c r="A41" s="5"/>
      <c r="B41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5"/>
      <c r="B48" s="5"/>
      <c r="C48" s="5"/>
      <c r="D48" s="5"/>
      <c r="E48" s="5"/>
      <c r="F48" s="5"/>
      <c r="G48" s="5"/>
      <c r="H48" s="5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5"/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x14ac:dyDescent="0.25">
      <c r="A53" s="5"/>
      <c r="B53" s="5"/>
      <c r="C53" s="5"/>
      <c r="D53" s="5"/>
      <c r="E53" s="5"/>
      <c r="F53" s="5"/>
      <c r="G53" s="5"/>
      <c r="H53" s="5"/>
    </row>
    <row r="54" spans="1:8" x14ac:dyDescent="0.25">
      <c r="A54" s="5"/>
      <c r="B54" s="5"/>
      <c r="C54" s="5"/>
      <c r="D54" s="5"/>
      <c r="E54" s="5"/>
      <c r="F54" s="5"/>
      <c r="G54" s="5"/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5"/>
      <c r="B56" s="30"/>
      <c r="C56" s="5"/>
      <c r="D56" s="5"/>
      <c r="E56" s="5"/>
      <c r="F56" s="5"/>
      <c r="G56" s="5"/>
      <c r="H56" s="5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/>
      <c r="D60" s="5"/>
      <c r="E60" s="5"/>
      <c r="F60" s="5"/>
      <c r="G60" s="5"/>
      <c r="H60" s="5"/>
    </row>
    <row r="61" spans="1:8" x14ac:dyDescent="0.25">
      <c r="A61" s="5"/>
      <c r="B61" s="5"/>
      <c r="C61" s="5"/>
      <c r="D61" s="5"/>
      <c r="E61" s="5"/>
      <c r="F61" s="5"/>
      <c r="G61" s="5"/>
      <c r="H61" s="5"/>
    </row>
    <row r="62" spans="1:8" x14ac:dyDescent="0.25">
      <c r="A62" s="5"/>
      <c r="B62" s="5"/>
      <c r="C62" s="5"/>
      <c r="D62" s="5"/>
      <c r="E62" s="5"/>
      <c r="F62" s="5"/>
      <c r="G62" s="5"/>
      <c r="H62" s="5"/>
    </row>
    <row r="63" spans="1:8" x14ac:dyDescent="0.25">
      <c r="E63" s="5"/>
      <c r="F63" s="5"/>
    </row>
  </sheetData>
  <mergeCells count="5">
    <mergeCell ref="A23:B23"/>
    <mergeCell ref="E26:F26"/>
    <mergeCell ref="E30:F30"/>
    <mergeCell ref="A35:C35"/>
    <mergeCell ref="E35:G35"/>
  </mergeCells>
  <dataValidations count="1">
    <dataValidation type="list" allowBlank="1" showInputMessage="1" showErrorMessage="1" sqref="C23">
      <formula1>"Monday,Tuesday,Wednesday,Thursday,Friday,Saturday,Sunday"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 customHeight="1" x14ac:dyDescent="0.25"/>
  <cols>
    <col min="1" max="1" width="19.85546875" bestFit="1" customWidth="1"/>
    <col min="2" max="2" width="18.28515625" customWidth="1"/>
    <col min="3" max="3" width="44.28515625" customWidth="1"/>
    <col min="4" max="4" width="15.140625" customWidth="1"/>
    <col min="5" max="5" width="21.140625" customWidth="1"/>
    <col min="6" max="6" width="10.42578125" style="58" customWidth="1"/>
    <col min="7" max="7" width="10.7109375" style="58" customWidth="1"/>
    <col min="8" max="8" width="22.5703125" style="58" bestFit="1" customWidth="1"/>
    <col min="9" max="9" width="10.140625" style="58" customWidth="1"/>
    <col min="10" max="10" width="10.42578125" style="58" customWidth="1"/>
    <col min="11" max="11" width="17.85546875" customWidth="1"/>
    <col min="12" max="12" width="14.7109375" style="2" customWidth="1"/>
    <col min="13" max="13" width="19.42578125" style="2" customWidth="1"/>
    <col min="14" max="14" width="14.28515625" style="58" customWidth="1"/>
    <col min="15" max="15" width="12.42578125" style="58" customWidth="1"/>
    <col min="16" max="16" width="9.140625" style="58"/>
  </cols>
  <sheetData>
    <row r="1" spans="1:21" ht="12.75" customHeight="1" x14ac:dyDescent="0.25">
      <c r="A1" t="s">
        <v>115</v>
      </c>
      <c r="B1" t="s">
        <v>0</v>
      </c>
      <c r="C1" t="s">
        <v>114</v>
      </c>
      <c r="D1" t="s">
        <v>3</v>
      </c>
      <c r="E1" t="s">
        <v>113</v>
      </c>
      <c r="F1" t="s">
        <v>4</v>
      </c>
      <c r="G1" t="s">
        <v>5</v>
      </c>
      <c r="H1" t="s">
        <v>415</v>
      </c>
      <c r="I1" t="s">
        <v>112</v>
      </c>
      <c r="J1" t="s">
        <v>111</v>
      </c>
      <c r="K1" t="s">
        <v>110</v>
      </c>
      <c r="L1" t="s">
        <v>109</v>
      </c>
      <c r="M1" t="s">
        <v>108</v>
      </c>
      <c r="N1" t="s">
        <v>107</v>
      </c>
      <c r="O1" t="s">
        <v>6</v>
      </c>
      <c r="P1" t="s">
        <v>427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</row>
    <row r="2" spans="1:21" ht="15" x14ac:dyDescent="0.25">
      <c r="A2" t="s">
        <v>496</v>
      </c>
      <c r="B2" t="s">
        <v>497</v>
      </c>
      <c r="F2">
        <v>16</v>
      </c>
      <c r="G2">
        <v>285</v>
      </c>
      <c r="H2">
        <f t="shared" ref="H2:H33" si="0">IFERROR(F2/G2,0)</f>
        <v>5.6140350877192984E-2</v>
      </c>
      <c r="I2">
        <v>2</v>
      </c>
      <c r="J2">
        <v>240</v>
      </c>
      <c r="K2" t="s">
        <v>42</v>
      </c>
      <c r="L2" s="232">
        <v>40763.634421296294</v>
      </c>
      <c r="M2" s="232">
        <v>42781.837870370371</v>
      </c>
      <c r="N2">
        <v>0</v>
      </c>
      <c r="O2">
        <v>14.747400000000001</v>
      </c>
      <c r="P2">
        <f t="shared" ref="P2:P33" si="1">COUNTA(Q2:U2)-COUNTBLANK(Q2:U2)</f>
        <v>-5</v>
      </c>
    </row>
    <row r="3" spans="1:21" ht="15" x14ac:dyDescent="0.25">
      <c r="A3" t="s">
        <v>498</v>
      </c>
      <c r="B3" t="s">
        <v>499</v>
      </c>
      <c r="D3" t="s">
        <v>500</v>
      </c>
      <c r="F3">
        <v>39</v>
      </c>
      <c r="G3">
        <v>431</v>
      </c>
      <c r="H3">
        <f t="shared" si="0"/>
        <v>9.0487238979118326E-2</v>
      </c>
      <c r="I3">
        <v>1</v>
      </c>
      <c r="J3">
        <v>19</v>
      </c>
      <c r="K3" t="s">
        <v>48</v>
      </c>
      <c r="L3" s="232">
        <v>42312.390740740739</v>
      </c>
      <c r="M3" s="232">
        <v>42767.162662037037</v>
      </c>
      <c r="N3">
        <v>1</v>
      </c>
      <c r="O3">
        <v>14.426399999999999</v>
      </c>
      <c r="P3">
        <f t="shared" si="1"/>
        <v>-5</v>
      </c>
    </row>
    <row r="4" spans="1:21" ht="15" x14ac:dyDescent="0.25">
      <c r="A4" t="s">
        <v>501</v>
      </c>
      <c r="B4" t="s">
        <v>502</v>
      </c>
      <c r="C4" t="s">
        <v>503</v>
      </c>
      <c r="D4" t="s">
        <v>504</v>
      </c>
      <c r="E4" s="237" t="str">
        <f>HYPERLINK("http://t.co/ChcWYHGNOt")</f>
        <v>http://t.co/ChcWYHGNOt</v>
      </c>
      <c r="F4">
        <v>2921</v>
      </c>
      <c r="G4">
        <v>2894</v>
      </c>
      <c r="H4">
        <f t="shared" si="0"/>
        <v>1.0093296475466482</v>
      </c>
      <c r="I4">
        <v>54</v>
      </c>
      <c r="J4">
        <v>4957</v>
      </c>
      <c r="K4" t="s">
        <v>13</v>
      </c>
      <c r="L4" s="232">
        <v>41396.938125000001</v>
      </c>
      <c r="M4" s="232">
        <v>42781.906956018516</v>
      </c>
      <c r="N4">
        <v>2</v>
      </c>
      <c r="O4">
        <v>49.737299999999998</v>
      </c>
      <c r="P4">
        <f t="shared" si="1"/>
        <v>-5</v>
      </c>
    </row>
    <row r="5" spans="1:21" ht="15" x14ac:dyDescent="0.25">
      <c r="A5" t="s">
        <v>505</v>
      </c>
      <c r="B5" t="s">
        <v>506</v>
      </c>
      <c r="F5">
        <v>17</v>
      </c>
      <c r="G5">
        <v>58</v>
      </c>
      <c r="H5">
        <f t="shared" si="0"/>
        <v>0.29310344827586204</v>
      </c>
      <c r="I5">
        <v>1</v>
      </c>
      <c r="J5">
        <v>356</v>
      </c>
      <c r="L5" s="232">
        <v>42172.377928240741</v>
      </c>
      <c r="M5" s="232">
        <v>42781.35728009259</v>
      </c>
      <c r="N5">
        <v>3</v>
      </c>
      <c r="O5">
        <v>14.6915</v>
      </c>
      <c r="P5">
        <f t="shared" si="1"/>
        <v>-5</v>
      </c>
    </row>
    <row r="6" spans="1:21" ht="15" x14ac:dyDescent="0.25">
      <c r="A6" t="s">
        <v>507</v>
      </c>
      <c r="B6" t="s">
        <v>508</v>
      </c>
      <c r="F6">
        <v>2</v>
      </c>
      <c r="G6">
        <v>18</v>
      </c>
      <c r="H6">
        <f t="shared" si="0"/>
        <v>0.1111111111111111</v>
      </c>
      <c r="I6">
        <v>0</v>
      </c>
      <c r="J6">
        <v>0</v>
      </c>
      <c r="K6" t="s">
        <v>48</v>
      </c>
      <c r="L6" s="232">
        <v>42765.06962962963</v>
      </c>
      <c r="N6">
        <v>4</v>
      </c>
      <c r="P6">
        <f t="shared" si="1"/>
        <v>-5</v>
      </c>
    </row>
    <row r="7" spans="1:21" ht="15" x14ac:dyDescent="0.25">
      <c r="A7" t="s">
        <v>509</v>
      </c>
      <c r="B7" t="s">
        <v>509</v>
      </c>
      <c r="E7" s="237" t="str">
        <f>HYPERLINK("http://t.co/H18AA9mc3v")</f>
        <v>http://t.co/H18AA9mc3v</v>
      </c>
      <c r="F7">
        <v>52</v>
      </c>
      <c r="G7">
        <v>288</v>
      </c>
      <c r="H7">
        <f t="shared" si="0"/>
        <v>0.18055555555555555</v>
      </c>
      <c r="I7">
        <v>1</v>
      </c>
      <c r="J7">
        <v>142</v>
      </c>
      <c r="L7" s="232">
        <v>41582.001423611109</v>
      </c>
      <c r="M7" s="232">
        <v>42782.231145833335</v>
      </c>
      <c r="N7">
        <v>5</v>
      </c>
      <c r="P7">
        <f t="shared" si="1"/>
        <v>-5</v>
      </c>
    </row>
    <row r="8" spans="1:21" ht="15" x14ac:dyDescent="0.25">
      <c r="A8" t="s">
        <v>510</v>
      </c>
      <c r="B8" t="s">
        <v>511</v>
      </c>
      <c r="C8" t="s">
        <v>512</v>
      </c>
      <c r="D8" t="s">
        <v>513</v>
      </c>
      <c r="E8" s="237" t="str">
        <f>HYPERLINK("https://t.co/Zb0Bto8f5k")</f>
        <v>https://t.co/Zb0Bto8f5k</v>
      </c>
      <c r="F8">
        <v>59</v>
      </c>
      <c r="G8">
        <v>57</v>
      </c>
      <c r="H8">
        <f t="shared" si="0"/>
        <v>1.0350877192982457</v>
      </c>
      <c r="I8">
        <v>3</v>
      </c>
      <c r="J8">
        <v>163</v>
      </c>
      <c r="L8" s="232">
        <v>42689.075833333336</v>
      </c>
      <c r="M8" s="232">
        <v>42782.047210648147</v>
      </c>
      <c r="N8">
        <v>6</v>
      </c>
      <c r="P8">
        <f t="shared" si="1"/>
        <v>-5</v>
      </c>
    </row>
    <row r="9" spans="1:21" ht="15" x14ac:dyDescent="0.25">
      <c r="A9" t="s">
        <v>514</v>
      </c>
      <c r="B9" t="s">
        <v>515</v>
      </c>
      <c r="C9" t="s">
        <v>516</v>
      </c>
      <c r="D9" t="s">
        <v>8</v>
      </c>
      <c r="E9" s="237" t="str">
        <f>HYPERLINK("https://t.co/ssfG7CHcpf")</f>
        <v>https://t.co/ssfG7CHcpf</v>
      </c>
      <c r="F9">
        <v>1531</v>
      </c>
      <c r="G9">
        <v>1398</v>
      </c>
      <c r="H9">
        <f t="shared" si="0"/>
        <v>1.0951359084406296</v>
      </c>
      <c r="I9">
        <v>88</v>
      </c>
      <c r="J9">
        <v>1973</v>
      </c>
      <c r="K9" t="s">
        <v>8</v>
      </c>
      <c r="L9" s="232">
        <v>40707.620856481481</v>
      </c>
      <c r="M9" s="232">
        <v>42782.141238425924</v>
      </c>
      <c r="N9">
        <v>7</v>
      </c>
      <c r="O9">
        <v>47.035200000000003</v>
      </c>
      <c r="P9">
        <f t="shared" si="1"/>
        <v>-5</v>
      </c>
    </row>
    <row r="10" spans="1:21" ht="15" x14ac:dyDescent="0.25">
      <c r="A10" t="s">
        <v>517</v>
      </c>
      <c r="B10" t="s">
        <v>518</v>
      </c>
      <c r="C10" t="s">
        <v>519</v>
      </c>
      <c r="E10" s="237" t="str">
        <f>HYPERLINK("https://t.co/rTQq8VieVb")</f>
        <v>https://t.co/rTQq8VieVb</v>
      </c>
      <c r="F10">
        <v>5</v>
      </c>
      <c r="G10">
        <v>550</v>
      </c>
      <c r="H10">
        <f t="shared" si="0"/>
        <v>9.0909090909090905E-3</v>
      </c>
      <c r="I10">
        <v>0</v>
      </c>
      <c r="J10">
        <v>99</v>
      </c>
      <c r="K10" t="s">
        <v>64</v>
      </c>
      <c r="L10" s="232">
        <v>40770.014861111114</v>
      </c>
      <c r="N10">
        <v>8</v>
      </c>
      <c r="P10">
        <f t="shared" si="1"/>
        <v>-5</v>
      </c>
    </row>
    <row r="11" spans="1:21" ht="15" x14ac:dyDescent="0.25">
      <c r="A11" t="s">
        <v>520</v>
      </c>
      <c r="B11" t="s">
        <v>521</v>
      </c>
      <c r="C11" t="s">
        <v>522</v>
      </c>
      <c r="D11" t="s">
        <v>523</v>
      </c>
      <c r="F11">
        <v>278</v>
      </c>
      <c r="G11">
        <v>554</v>
      </c>
      <c r="H11">
        <f t="shared" si="0"/>
        <v>0.50180505415162457</v>
      </c>
      <c r="I11">
        <v>9</v>
      </c>
      <c r="J11">
        <v>115</v>
      </c>
      <c r="L11" s="232">
        <v>42170.549953703703</v>
      </c>
      <c r="M11" s="232">
        <v>42767.488564814812</v>
      </c>
      <c r="N11">
        <v>9</v>
      </c>
      <c r="O11">
        <v>27.392499999999998</v>
      </c>
      <c r="P11">
        <f t="shared" si="1"/>
        <v>-5</v>
      </c>
    </row>
    <row r="12" spans="1:21" ht="15" x14ac:dyDescent="0.25">
      <c r="A12" t="s">
        <v>524</v>
      </c>
      <c r="B12" t="s">
        <v>525</v>
      </c>
      <c r="C12" t="s">
        <v>526</v>
      </c>
      <c r="F12">
        <v>1</v>
      </c>
      <c r="G12">
        <v>25</v>
      </c>
      <c r="H12">
        <f t="shared" si="0"/>
        <v>0.04</v>
      </c>
      <c r="I12">
        <v>0</v>
      </c>
      <c r="J12">
        <v>3</v>
      </c>
      <c r="L12" s="232">
        <v>42714.846331018518</v>
      </c>
      <c r="M12" s="232">
        <v>42753.254930555559</v>
      </c>
      <c r="N12">
        <v>10</v>
      </c>
      <c r="P12">
        <f t="shared" si="1"/>
        <v>-5</v>
      </c>
    </row>
    <row r="13" spans="1:21" ht="15" x14ac:dyDescent="0.25">
      <c r="A13" t="s">
        <v>527</v>
      </c>
      <c r="B13" t="s">
        <v>528</v>
      </c>
      <c r="F13">
        <v>0</v>
      </c>
      <c r="G13">
        <v>22</v>
      </c>
      <c r="H13">
        <f t="shared" si="0"/>
        <v>0</v>
      </c>
      <c r="I13">
        <v>0</v>
      </c>
      <c r="J13">
        <v>0</v>
      </c>
      <c r="L13" s="232">
        <v>42710.33315972222</v>
      </c>
      <c r="N13">
        <v>11</v>
      </c>
      <c r="P13">
        <f t="shared" si="1"/>
        <v>-5</v>
      </c>
    </row>
    <row r="14" spans="1:21" ht="15" x14ac:dyDescent="0.25">
      <c r="A14" t="s">
        <v>529</v>
      </c>
      <c r="B14" t="s">
        <v>530</v>
      </c>
      <c r="F14">
        <v>22</v>
      </c>
      <c r="G14">
        <v>363</v>
      </c>
      <c r="H14">
        <f t="shared" si="0"/>
        <v>6.0606060606060608E-2</v>
      </c>
      <c r="I14">
        <v>0</v>
      </c>
      <c r="J14">
        <v>29</v>
      </c>
      <c r="L14" s="232">
        <v>42573.000219907408</v>
      </c>
      <c r="M14" s="232">
        <v>42755.295601851853</v>
      </c>
      <c r="N14">
        <v>12</v>
      </c>
      <c r="P14">
        <f t="shared" si="1"/>
        <v>-5</v>
      </c>
    </row>
    <row r="15" spans="1:21" ht="15" x14ac:dyDescent="0.25">
      <c r="A15" t="s">
        <v>531</v>
      </c>
      <c r="B15" t="s">
        <v>532</v>
      </c>
      <c r="C15" t="s">
        <v>533</v>
      </c>
      <c r="D15" t="s">
        <v>534</v>
      </c>
      <c r="F15">
        <v>210</v>
      </c>
      <c r="G15">
        <v>218</v>
      </c>
      <c r="H15">
        <f t="shared" si="0"/>
        <v>0.96330275229357798</v>
      </c>
      <c r="I15">
        <v>11</v>
      </c>
      <c r="J15">
        <v>880</v>
      </c>
      <c r="K15" t="s">
        <v>45</v>
      </c>
      <c r="L15" s="232">
        <v>39849.451145833336</v>
      </c>
      <c r="M15" s="232">
        <v>42781.22997685185</v>
      </c>
      <c r="N15">
        <v>13</v>
      </c>
      <c r="O15">
        <v>25.063099999999999</v>
      </c>
      <c r="P15">
        <f t="shared" si="1"/>
        <v>-3</v>
      </c>
      <c r="Q15" t="s">
        <v>535</v>
      </c>
    </row>
    <row r="16" spans="1:21" ht="15" x14ac:dyDescent="0.25">
      <c r="A16" t="s">
        <v>536</v>
      </c>
      <c r="B16" t="s">
        <v>537</v>
      </c>
      <c r="C16" t="s">
        <v>538</v>
      </c>
      <c r="D16" t="s">
        <v>539</v>
      </c>
      <c r="E16" s="237" t="str">
        <f>HYPERLINK("https://t.co/u8Nno9dRUL")</f>
        <v>https://t.co/u8Nno9dRUL</v>
      </c>
      <c r="F16">
        <v>502</v>
      </c>
      <c r="G16">
        <v>493</v>
      </c>
      <c r="H16">
        <f t="shared" si="0"/>
        <v>1.0182555780933062</v>
      </c>
      <c r="I16">
        <v>12</v>
      </c>
      <c r="J16">
        <v>526</v>
      </c>
      <c r="K16" t="s">
        <v>48</v>
      </c>
      <c r="L16" s="232">
        <v>42042.419652777775</v>
      </c>
      <c r="M16" s="232">
        <v>42781.974282407406</v>
      </c>
      <c r="N16">
        <v>14</v>
      </c>
      <c r="O16">
        <v>26.347000000000001</v>
      </c>
      <c r="P16">
        <f t="shared" si="1"/>
        <v>-5</v>
      </c>
    </row>
    <row r="17" spans="1:21" ht="15" x14ac:dyDescent="0.25">
      <c r="A17" t="s">
        <v>540</v>
      </c>
      <c r="B17" t="s">
        <v>541</v>
      </c>
      <c r="C17" t="s">
        <v>542</v>
      </c>
      <c r="D17" t="s">
        <v>10</v>
      </c>
      <c r="F17">
        <v>115</v>
      </c>
      <c r="G17">
        <v>586</v>
      </c>
      <c r="H17">
        <f t="shared" si="0"/>
        <v>0.19624573378839591</v>
      </c>
      <c r="I17">
        <v>2</v>
      </c>
      <c r="J17">
        <v>7</v>
      </c>
      <c r="L17" s="232">
        <v>40058.169282407405</v>
      </c>
      <c r="M17" s="232">
        <v>41815.305925925924</v>
      </c>
      <c r="N17">
        <v>15</v>
      </c>
      <c r="O17">
        <v>13.134600000000001</v>
      </c>
      <c r="P17">
        <f t="shared" si="1"/>
        <v>-5</v>
      </c>
    </row>
    <row r="18" spans="1:21" ht="15" x14ac:dyDescent="0.25">
      <c r="A18" t="s">
        <v>543</v>
      </c>
      <c r="B18" t="s">
        <v>544</v>
      </c>
      <c r="F18">
        <v>7</v>
      </c>
      <c r="G18">
        <v>25</v>
      </c>
      <c r="H18">
        <f t="shared" si="0"/>
        <v>0.28000000000000003</v>
      </c>
      <c r="I18">
        <v>0</v>
      </c>
      <c r="J18">
        <v>8</v>
      </c>
      <c r="L18" s="232">
        <v>40571.633425925924</v>
      </c>
      <c r="M18" s="232">
        <v>42699.20826388889</v>
      </c>
      <c r="N18">
        <v>17</v>
      </c>
      <c r="O18">
        <v>11.651300000000001</v>
      </c>
      <c r="P18">
        <f t="shared" si="1"/>
        <v>-5</v>
      </c>
    </row>
    <row r="19" spans="1:21" ht="15" x14ac:dyDescent="0.25">
      <c r="A19" t="s">
        <v>545</v>
      </c>
      <c r="B19" t="s">
        <v>546</v>
      </c>
      <c r="F19">
        <v>45</v>
      </c>
      <c r="G19">
        <v>58</v>
      </c>
      <c r="H19">
        <f t="shared" si="0"/>
        <v>0.77586206896551724</v>
      </c>
      <c r="I19">
        <v>2</v>
      </c>
      <c r="J19">
        <v>119</v>
      </c>
      <c r="K19" t="s">
        <v>49</v>
      </c>
      <c r="L19" s="232">
        <v>39923.683692129627</v>
      </c>
      <c r="M19" s="232">
        <v>42756.231956018521</v>
      </c>
      <c r="N19">
        <v>16</v>
      </c>
      <c r="O19">
        <v>19.4785</v>
      </c>
      <c r="P19">
        <f t="shared" si="1"/>
        <v>-5</v>
      </c>
    </row>
    <row r="20" spans="1:21" ht="15" x14ac:dyDescent="0.25">
      <c r="A20" t="s">
        <v>547</v>
      </c>
      <c r="B20" t="s">
        <v>548</v>
      </c>
      <c r="D20" t="s">
        <v>549</v>
      </c>
      <c r="E20" s="237" t="str">
        <f>HYPERLINK("https://t.co/pRe88v79a2")</f>
        <v>https://t.co/pRe88v79a2</v>
      </c>
      <c r="F20">
        <v>199</v>
      </c>
      <c r="G20">
        <v>874</v>
      </c>
      <c r="H20">
        <f t="shared" si="0"/>
        <v>0.22768878718535468</v>
      </c>
      <c r="I20">
        <v>10</v>
      </c>
      <c r="J20">
        <v>768</v>
      </c>
      <c r="L20" s="232">
        <v>42658.892557870371</v>
      </c>
      <c r="M20" s="232">
        <v>42761.924525462964</v>
      </c>
      <c r="N20">
        <v>19</v>
      </c>
      <c r="P20">
        <f t="shared" si="1"/>
        <v>-5</v>
      </c>
    </row>
    <row r="21" spans="1:21" ht="15" x14ac:dyDescent="0.25">
      <c r="A21" t="s">
        <v>550</v>
      </c>
      <c r="B21" t="s">
        <v>551</v>
      </c>
      <c r="C21" t="s">
        <v>552</v>
      </c>
      <c r="D21" t="s">
        <v>553</v>
      </c>
      <c r="E21" s="237" t="str">
        <f>HYPERLINK("http://t.co/aYOCFUXG8O")</f>
        <v>http://t.co/aYOCFUXG8O</v>
      </c>
      <c r="F21">
        <v>1869</v>
      </c>
      <c r="G21">
        <v>917</v>
      </c>
      <c r="H21">
        <f t="shared" si="0"/>
        <v>2.0381679389312977</v>
      </c>
      <c r="I21">
        <v>59</v>
      </c>
      <c r="J21">
        <v>2730</v>
      </c>
      <c r="L21" s="232">
        <v>41598.232199074075</v>
      </c>
      <c r="M21" s="232">
        <v>42781.754201388889</v>
      </c>
      <c r="N21">
        <v>18</v>
      </c>
      <c r="O21">
        <v>47.161000000000001</v>
      </c>
      <c r="P21">
        <f t="shared" si="1"/>
        <v>-5</v>
      </c>
    </row>
    <row r="22" spans="1:21" ht="15" x14ac:dyDescent="0.25">
      <c r="A22" t="s">
        <v>554</v>
      </c>
      <c r="B22" t="s">
        <v>555</v>
      </c>
      <c r="C22" t="s">
        <v>556</v>
      </c>
      <c r="D22" t="s">
        <v>557</v>
      </c>
      <c r="E22" s="237" t="str">
        <f>HYPERLINK("https://t.co/OeQJWUQLXo")</f>
        <v>https://t.co/OeQJWUQLXo</v>
      </c>
      <c r="F22">
        <v>5197</v>
      </c>
      <c r="G22">
        <v>5678</v>
      </c>
      <c r="H22">
        <f t="shared" si="0"/>
        <v>0.91528707291299749</v>
      </c>
      <c r="I22">
        <v>362</v>
      </c>
      <c r="J22">
        <v>1471</v>
      </c>
      <c r="K22" t="s">
        <v>26</v>
      </c>
      <c r="L22" s="232">
        <v>39930.250300925924</v>
      </c>
      <c r="M22" s="232">
        <v>42782.043773148151</v>
      </c>
      <c r="N22">
        <v>21</v>
      </c>
      <c r="O22">
        <v>48.0441</v>
      </c>
      <c r="P22">
        <f t="shared" si="1"/>
        <v>5</v>
      </c>
      <c r="Q22" t="s">
        <v>558</v>
      </c>
      <c r="R22" t="s">
        <v>559</v>
      </c>
      <c r="S22" t="s">
        <v>560</v>
      </c>
      <c r="T22" t="s">
        <v>561</v>
      </c>
      <c r="U22" t="s">
        <v>562</v>
      </c>
    </row>
    <row r="23" spans="1:21" ht="15" x14ac:dyDescent="0.25">
      <c r="A23" t="s">
        <v>563</v>
      </c>
      <c r="B23" t="s">
        <v>564</v>
      </c>
      <c r="F23">
        <v>31</v>
      </c>
      <c r="G23">
        <v>290</v>
      </c>
      <c r="H23">
        <f t="shared" si="0"/>
        <v>0.10689655172413794</v>
      </c>
      <c r="I23">
        <v>0</v>
      </c>
      <c r="J23">
        <v>16</v>
      </c>
      <c r="K23" t="s">
        <v>11</v>
      </c>
      <c r="L23" s="232">
        <v>40617.524641203701</v>
      </c>
      <c r="N23">
        <v>20</v>
      </c>
      <c r="O23">
        <v>12.7469</v>
      </c>
      <c r="P23">
        <f t="shared" si="1"/>
        <v>-5</v>
      </c>
    </row>
    <row r="24" spans="1:21" ht="15" x14ac:dyDescent="0.25">
      <c r="A24" t="s">
        <v>565</v>
      </c>
      <c r="B24" t="s">
        <v>566</v>
      </c>
      <c r="C24" t="s">
        <v>567</v>
      </c>
      <c r="D24" t="s">
        <v>568</v>
      </c>
      <c r="E24" s="237" t="str">
        <f>HYPERLINK("http://t.co/68eKuZNSr7")</f>
        <v>http://t.co/68eKuZNSr7</v>
      </c>
      <c r="F24">
        <v>6189</v>
      </c>
      <c r="G24">
        <v>4527</v>
      </c>
      <c r="H24">
        <f t="shared" si="0"/>
        <v>1.3671305500331346</v>
      </c>
      <c r="I24">
        <v>322</v>
      </c>
      <c r="J24">
        <v>27710</v>
      </c>
      <c r="K24" t="s">
        <v>8</v>
      </c>
      <c r="L24" s="232">
        <v>41421.078518518516</v>
      </c>
      <c r="M24" s="232">
        <v>42782.159259259257</v>
      </c>
      <c r="N24">
        <v>23</v>
      </c>
      <c r="O24">
        <v>52.177300000000002</v>
      </c>
      <c r="P24">
        <f t="shared" si="1"/>
        <v>-5</v>
      </c>
    </row>
    <row r="25" spans="1:21" ht="15" x14ac:dyDescent="0.25">
      <c r="A25" t="s">
        <v>569</v>
      </c>
      <c r="B25" t="s">
        <v>570</v>
      </c>
      <c r="C25" t="s">
        <v>571</v>
      </c>
      <c r="D25" t="s">
        <v>572</v>
      </c>
      <c r="F25">
        <v>134</v>
      </c>
      <c r="G25">
        <v>392</v>
      </c>
      <c r="H25">
        <f t="shared" si="0"/>
        <v>0.34183673469387754</v>
      </c>
      <c r="I25">
        <v>37</v>
      </c>
      <c r="J25">
        <v>1347</v>
      </c>
      <c r="K25" t="s">
        <v>8</v>
      </c>
      <c r="L25" s="232">
        <v>42446.129282407404</v>
      </c>
      <c r="M25" s="232">
        <v>42782.134282407409</v>
      </c>
      <c r="N25">
        <v>22</v>
      </c>
      <c r="O25">
        <v>37.861699999999999</v>
      </c>
      <c r="P25">
        <f t="shared" si="1"/>
        <v>-5</v>
      </c>
    </row>
    <row r="26" spans="1:21" ht="15" x14ac:dyDescent="0.25">
      <c r="A26" t="s">
        <v>573</v>
      </c>
      <c r="B26" t="s">
        <v>574</v>
      </c>
      <c r="F26">
        <v>9</v>
      </c>
      <c r="G26">
        <v>23</v>
      </c>
      <c r="H26">
        <f t="shared" si="0"/>
        <v>0.39130434782608697</v>
      </c>
      <c r="I26">
        <v>0</v>
      </c>
      <c r="J26">
        <v>0</v>
      </c>
      <c r="L26" s="232">
        <v>40878.456041666665</v>
      </c>
      <c r="N26">
        <v>25</v>
      </c>
      <c r="P26">
        <f t="shared" si="1"/>
        <v>-5</v>
      </c>
    </row>
    <row r="27" spans="1:21" ht="15" x14ac:dyDescent="0.25">
      <c r="A27" t="s">
        <v>575</v>
      </c>
      <c r="B27" t="s">
        <v>576</v>
      </c>
      <c r="C27" t="s">
        <v>577</v>
      </c>
      <c r="D27" t="s">
        <v>578</v>
      </c>
      <c r="F27">
        <v>31</v>
      </c>
      <c r="G27">
        <v>223</v>
      </c>
      <c r="H27">
        <f t="shared" si="0"/>
        <v>0.13901345291479822</v>
      </c>
      <c r="I27">
        <v>0</v>
      </c>
      <c r="J27">
        <v>7</v>
      </c>
      <c r="L27" s="232">
        <v>42257.281215277777</v>
      </c>
      <c r="M27" s="232">
        <v>42668.532025462962</v>
      </c>
      <c r="N27">
        <v>24</v>
      </c>
      <c r="P27">
        <f t="shared" si="1"/>
        <v>-5</v>
      </c>
    </row>
    <row r="28" spans="1:21" ht="15" x14ac:dyDescent="0.25">
      <c r="A28" t="s">
        <v>579</v>
      </c>
      <c r="B28" t="s">
        <v>580</v>
      </c>
      <c r="C28" t="s">
        <v>581</v>
      </c>
      <c r="D28" t="s">
        <v>582</v>
      </c>
      <c r="E28" s="237" t="str">
        <f>HYPERLINK("https://t.co/5GhY1KTHrJ")</f>
        <v>https://t.co/5GhY1KTHrJ</v>
      </c>
      <c r="F28">
        <v>9159</v>
      </c>
      <c r="G28">
        <v>8935</v>
      </c>
      <c r="H28">
        <f t="shared" si="0"/>
        <v>1.0250699496362619</v>
      </c>
      <c r="I28">
        <v>310</v>
      </c>
      <c r="J28">
        <v>139690</v>
      </c>
      <c r="K28" t="s">
        <v>11</v>
      </c>
      <c r="L28" s="232">
        <v>41034.213449074072</v>
      </c>
      <c r="M28" s="232">
        <v>42782.268750000003</v>
      </c>
      <c r="N28">
        <v>27</v>
      </c>
      <c r="O28">
        <v>46.3309</v>
      </c>
      <c r="P28">
        <f t="shared" si="1"/>
        <v>-5</v>
      </c>
    </row>
    <row r="29" spans="1:21" ht="15" x14ac:dyDescent="0.25">
      <c r="A29" t="s">
        <v>583</v>
      </c>
      <c r="B29" t="s">
        <v>584</v>
      </c>
      <c r="C29" t="s">
        <v>585</v>
      </c>
      <c r="D29" t="s">
        <v>94</v>
      </c>
      <c r="E29" s="237" t="str">
        <f>HYPERLINK("https://t.co/1djouMXZhG")</f>
        <v>https://t.co/1djouMXZhG</v>
      </c>
      <c r="F29">
        <v>3040</v>
      </c>
      <c r="G29">
        <v>536</v>
      </c>
      <c r="H29">
        <f t="shared" si="0"/>
        <v>5.6716417910447765</v>
      </c>
      <c r="I29">
        <v>94</v>
      </c>
      <c r="J29">
        <v>5565</v>
      </c>
      <c r="K29" t="s">
        <v>94</v>
      </c>
      <c r="L29" s="232">
        <v>40400.50677083333</v>
      </c>
      <c r="M29" s="232">
        <v>42782.214988425927</v>
      </c>
      <c r="N29">
        <v>26</v>
      </c>
      <c r="O29">
        <v>48.116199999999999</v>
      </c>
      <c r="P29">
        <f t="shared" si="1"/>
        <v>5</v>
      </c>
      <c r="Q29" t="s">
        <v>586</v>
      </c>
      <c r="R29" t="s">
        <v>587</v>
      </c>
      <c r="S29" t="s">
        <v>588</v>
      </c>
      <c r="T29" t="s">
        <v>589</v>
      </c>
      <c r="U29" t="s">
        <v>590</v>
      </c>
    </row>
    <row r="30" spans="1:21" ht="15" x14ac:dyDescent="0.25">
      <c r="A30" t="s">
        <v>591</v>
      </c>
      <c r="B30" t="s">
        <v>592</v>
      </c>
      <c r="C30" t="s">
        <v>593</v>
      </c>
      <c r="E30" s="237" t="str">
        <f>HYPERLINK("http://t.co/BPa9dxQlEW")</f>
        <v>http://t.co/BPa9dxQlEW</v>
      </c>
      <c r="F30">
        <v>313</v>
      </c>
      <c r="G30">
        <v>1482</v>
      </c>
      <c r="H30">
        <f t="shared" si="0"/>
        <v>0.21120107962213225</v>
      </c>
      <c r="I30">
        <v>4</v>
      </c>
      <c r="J30">
        <v>1</v>
      </c>
      <c r="K30" t="s">
        <v>49</v>
      </c>
      <c r="L30" s="232">
        <v>39842.177546296298</v>
      </c>
      <c r="M30" s="232">
        <v>41864.698541666665</v>
      </c>
      <c r="N30">
        <v>29</v>
      </c>
      <c r="O30">
        <v>22.134</v>
      </c>
      <c r="P30">
        <f t="shared" si="1"/>
        <v>-5</v>
      </c>
    </row>
    <row r="31" spans="1:21" ht="15" x14ac:dyDescent="0.25">
      <c r="A31" t="s">
        <v>594</v>
      </c>
      <c r="B31" t="s">
        <v>595</v>
      </c>
      <c r="F31">
        <v>32</v>
      </c>
      <c r="G31">
        <v>112</v>
      </c>
      <c r="H31">
        <f t="shared" si="0"/>
        <v>0.2857142857142857</v>
      </c>
      <c r="I31">
        <v>2</v>
      </c>
      <c r="J31">
        <v>28</v>
      </c>
      <c r="K31" t="s">
        <v>94</v>
      </c>
      <c r="L31" s="232">
        <v>42633.50068287037</v>
      </c>
      <c r="M31" s="232">
        <v>42781.581226851849</v>
      </c>
      <c r="N31">
        <v>28</v>
      </c>
      <c r="P31">
        <f t="shared" si="1"/>
        <v>-5</v>
      </c>
    </row>
    <row r="32" spans="1:21" ht="15" x14ac:dyDescent="0.25">
      <c r="A32" t="s">
        <v>596</v>
      </c>
      <c r="B32" t="s">
        <v>597</v>
      </c>
      <c r="C32" t="s">
        <v>598</v>
      </c>
      <c r="D32" t="s">
        <v>8</v>
      </c>
      <c r="E32" s="237" t="str">
        <f>HYPERLINK("https://t.co/o5HXios7iI")</f>
        <v>https://t.co/o5HXios7iI</v>
      </c>
      <c r="F32">
        <v>367</v>
      </c>
      <c r="G32">
        <v>259</v>
      </c>
      <c r="H32">
        <f t="shared" si="0"/>
        <v>1.416988416988417</v>
      </c>
      <c r="I32">
        <v>340</v>
      </c>
      <c r="J32">
        <v>12238</v>
      </c>
      <c r="L32" s="232">
        <v>42590.531122685185</v>
      </c>
      <c r="M32" s="232">
        <v>42782.238067129627</v>
      </c>
      <c r="N32">
        <v>31</v>
      </c>
      <c r="P32">
        <f t="shared" si="1"/>
        <v>-5</v>
      </c>
    </row>
    <row r="33" spans="1:21" ht="15" x14ac:dyDescent="0.25">
      <c r="A33" t="s">
        <v>599</v>
      </c>
      <c r="B33" t="s">
        <v>600</v>
      </c>
      <c r="C33" t="s">
        <v>601</v>
      </c>
      <c r="D33" t="s">
        <v>602</v>
      </c>
      <c r="E33" s="237" t="str">
        <f>HYPERLINK("https://t.co/KFjjoxx6Mb")</f>
        <v>https://t.co/KFjjoxx6Mb</v>
      </c>
      <c r="F33">
        <v>867</v>
      </c>
      <c r="G33">
        <v>422</v>
      </c>
      <c r="H33">
        <f t="shared" si="0"/>
        <v>2.0545023696682465</v>
      </c>
      <c r="I33">
        <v>24</v>
      </c>
      <c r="J33">
        <v>1168</v>
      </c>
      <c r="L33" s="232">
        <v>42600.008148148147</v>
      </c>
      <c r="M33" s="232">
        <v>42782.257361111115</v>
      </c>
      <c r="N33">
        <v>30</v>
      </c>
      <c r="P33">
        <f t="shared" si="1"/>
        <v>-5</v>
      </c>
    </row>
    <row r="34" spans="1:21" ht="15" x14ac:dyDescent="0.25">
      <c r="A34" t="s">
        <v>603</v>
      </c>
      <c r="B34" t="s">
        <v>604</v>
      </c>
      <c r="C34" t="s">
        <v>605</v>
      </c>
      <c r="F34">
        <v>246</v>
      </c>
      <c r="G34">
        <v>172</v>
      </c>
      <c r="H34">
        <f t="shared" ref="H34:H65" si="2">IFERROR(F34/G34,0)</f>
        <v>1.430232558139535</v>
      </c>
      <c r="I34">
        <v>12</v>
      </c>
      <c r="J34">
        <v>438</v>
      </c>
      <c r="L34" s="232">
        <v>42038.505752314813</v>
      </c>
      <c r="M34" s="232">
        <v>42781.263761574075</v>
      </c>
      <c r="N34">
        <v>34</v>
      </c>
      <c r="O34">
        <v>37.218000000000004</v>
      </c>
      <c r="P34">
        <f t="shared" ref="P34:P65" si="3">COUNTA(Q34:U34)-COUNTBLANK(Q34:U34)</f>
        <v>-5</v>
      </c>
    </row>
    <row r="35" spans="1:21" ht="15" x14ac:dyDescent="0.25">
      <c r="A35" t="s">
        <v>606</v>
      </c>
      <c r="B35" t="s">
        <v>607</v>
      </c>
      <c r="C35" t="s">
        <v>608</v>
      </c>
      <c r="D35" t="s">
        <v>549</v>
      </c>
      <c r="E35" s="237" t="str">
        <f>HYPERLINK("https://t.co/AbRNtKYkLy")</f>
        <v>https://t.co/AbRNtKYkLy</v>
      </c>
      <c r="F35">
        <v>10</v>
      </c>
      <c r="G35">
        <v>14</v>
      </c>
      <c r="H35">
        <f t="shared" si="2"/>
        <v>0.7142857142857143</v>
      </c>
      <c r="I35">
        <v>0</v>
      </c>
      <c r="J35">
        <v>5</v>
      </c>
      <c r="L35" s="232">
        <v>41098.762800925928</v>
      </c>
      <c r="M35" s="232">
        <v>42776.671574074076</v>
      </c>
      <c r="N35">
        <v>35</v>
      </c>
      <c r="O35">
        <v>10.6388</v>
      </c>
      <c r="P35">
        <f t="shared" si="3"/>
        <v>-5</v>
      </c>
    </row>
    <row r="36" spans="1:21" ht="15" x14ac:dyDescent="0.25">
      <c r="A36" t="s">
        <v>609</v>
      </c>
      <c r="B36" t="s">
        <v>610</v>
      </c>
      <c r="C36" t="s">
        <v>611</v>
      </c>
      <c r="D36" t="s">
        <v>612</v>
      </c>
      <c r="E36" s="237" t="str">
        <f>HYPERLINK("https://t.co/5RqqtnlDrE")</f>
        <v>https://t.co/5RqqtnlDrE</v>
      </c>
      <c r="F36">
        <v>66494</v>
      </c>
      <c r="G36">
        <v>68135</v>
      </c>
      <c r="H36">
        <f t="shared" si="2"/>
        <v>0.97591546195053935</v>
      </c>
      <c r="I36">
        <v>808</v>
      </c>
      <c r="J36">
        <v>18484</v>
      </c>
      <c r="K36" t="s">
        <v>45</v>
      </c>
      <c r="L36" s="232">
        <v>40315.405324074076</v>
      </c>
      <c r="M36" s="232">
        <v>42782.259305555555</v>
      </c>
      <c r="N36">
        <v>32</v>
      </c>
      <c r="O36">
        <v>60.222700000000003</v>
      </c>
      <c r="P36">
        <f t="shared" si="3"/>
        <v>5</v>
      </c>
      <c r="Q36" t="s">
        <v>492</v>
      </c>
      <c r="R36" t="s">
        <v>613</v>
      </c>
      <c r="S36" t="s">
        <v>614</v>
      </c>
      <c r="T36" t="s">
        <v>615</v>
      </c>
      <c r="U36" t="s">
        <v>616</v>
      </c>
    </row>
    <row r="37" spans="1:21" ht="15" x14ac:dyDescent="0.25">
      <c r="A37" t="s">
        <v>617</v>
      </c>
      <c r="B37" t="s">
        <v>618</v>
      </c>
      <c r="F37">
        <v>42</v>
      </c>
      <c r="G37">
        <v>203</v>
      </c>
      <c r="H37">
        <f t="shared" si="2"/>
        <v>0.20689655172413793</v>
      </c>
      <c r="I37">
        <v>0</v>
      </c>
      <c r="J37">
        <v>81</v>
      </c>
      <c r="L37" s="232">
        <v>42449.989120370374</v>
      </c>
      <c r="M37" s="232">
        <v>42604.301435185182</v>
      </c>
      <c r="N37">
        <v>33</v>
      </c>
      <c r="O37">
        <v>15.0069</v>
      </c>
      <c r="P37">
        <f t="shared" si="3"/>
        <v>-5</v>
      </c>
    </row>
    <row r="38" spans="1:21" ht="15" x14ac:dyDescent="0.25">
      <c r="A38" t="s">
        <v>619</v>
      </c>
      <c r="B38" t="s">
        <v>620</v>
      </c>
      <c r="C38" t="s">
        <v>621</v>
      </c>
      <c r="D38" t="s">
        <v>622</v>
      </c>
      <c r="F38">
        <v>395</v>
      </c>
      <c r="G38">
        <v>353</v>
      </c>
      <c r="H38">
        <f t="shared" si="2"/>
        <v>1.1189801699716715</v>
      </c>
      <c r="I38">
        <v>15</v>
      </c>
      <c r="J38">
        <v>776</v>
      </c>
      <c r="L38" s="232">
        <v>41400.043819444443</v>
      </c>
      <c r="M38" s="232">
        <v>42782.147222222222</v>
      </c>
      <c r="N38">
        <v>38</v>
      </c>
      <c r="O38">
        <v>30.484100000000002</v>
      </c>
      <c r="P38">
        <f t="shared" si="3"/>
        <v>-5</v>
      </c>
    </row>
    <row r="39" spans="1:21" ht="15" x14ac:dyDescent="0.25">
      <c r="A39" t="s">
        <v>623</v>
      </c>
      <c r="B39" t="s">
        <v>624</v>
      </c>
      <c r="C39" t="s">
        <v>625</v>
      </c>
      <c r="E39" s="237" t="str">
        <f>HYPERLINK("https://t.co/TuZQwTS6hW")</f>
        <v>https://t.co/TuZQwTS6hW</v>
      </c>
      <c r="F39">
        <v>395</v>
      </c>
      <c r="G39">
        <v>571</v>
      </c>
      <c r="H39">
        <f t="shared" si="2"/>
        <v>0.69176882661996497</v>
      </c>
      <c r="I39">
        <v>11</v>
      </c>
      <c r="J39">
        <v>411</v>
      </c>
      <c r="L39" s="232">
        <v>42234.572118055556</v>
      </c>
      <c r="M39" s="232">
        <v>42754.255694444444</v>
      </c>
      <c r="N39">
        <v>39</v>
      </c>
      <c r="O39">
        <v>32.191699999999997</v>
      </c>
      <c r="P39">
        <f t="shared" si="3"/>
        <v>-5</v>
      </c>
    </row>
    <row r="40" spans="1:21" ht="15" x14ac:dyDescent="0.25">
      <c r="A40" t="s">
        <v>626</v>
      </c>
      <c r="B40" t="s">
        <v>627</v>
      </c>
      <c r="C40" t="s">
        <v>628</v>
      </c>
      <c r="D40" t="s">
        <v>629</v>
      </c>
      <c r="F40">
        <v>1814</v>
      </c>
      <c r="G40">
        <v>4895</v>
      </c>
      <c r="H40">
        <f t="shared" si="2"/>
        <v>0.37058222676200203</v>
      </c>
      <c r="I40">
        <v>11</v>
      </c>
      <c r="J40">
        <v>437</v>
      </c>
      <c r="L40" s="232">
        <v>42009.695543981485</v>
      </c>
      <c r="M40" s="232">
        <v>42259.597986111112</v>
      </c>
      <c r="N40">
        <v>36</v>
      </c>
      <c r="O40">
        <v>26.378799999999998</v>
      </c>
      <c r="P40">
        <f t="shared" si="3"/>
        <v>-5</v>
      </c>
    </row>
    <row r="41" spans="1:21" ht="15" x14ac:dyDescent="0.25">
      <c r="A41" t="s">
        <v>630</v>
      </c>
      <c r="B41" t="s">
        <v>631</v>
      </c>
      <c r="C41" t="s">
        <v>632</v>
      </c>
      <c r="D41" t="s">
        <v>633</v>
      </c>
      <c r="E41" s="237" t="str">
        <f>HYPERLINK("https://t.co/mQOhOV24KV")</f>
        <v>https://t.co/mQOhOV24KV</v>
      </c>
      <c r="F41">
        <v>3113</v>
      </c>
      <c r="G41">
        <v>4990</v>
      </c>
      <c r="H41">
        <f t="shared" si="2"/>
        <v>0.62384769539078155</v>
      </c>
      <c r="I41">
        <v>282</v>
      </c>
      <c r="J41">
        <v>7572</v>
      </c>
      <c r="K41" t="s">
        <v>74</v>
      </c>
      <c r="L41" s="232">
        <v>40453.679490740738</v>
      </c>
      <c r="M41" s="232">
        <v>42781.872719907406</v>
      </c>
      <c r="N41">
        <v>37</v>
      </c>
      <c r="O41">
        <v>49.327399999999997</v>
      </c>
      <c r="P41">
        <f t="shared" si="3"/>
        <v>1</v>
      </c>
      <c r="Q41" t="s">
        <v>634</v>
      </c>
      <c r="R41" t="s">
        <v>634</v>
      </c>
      <c r="S41" t="s">
        <v>635</v>
      </c>
    </row>
    <row r="42" spans="1:21" ht="15" x14ac:dyDescent="0.25">
      <c r="A42" t="s">
        <v>636</v>
      </c>
      <c r="B42" t="s">
        <v>637</v>
      </c>
      <c r="C42" t="s">
        <v>638</v>
      </c>
      <c r="D42" t="s">
        <v>629</v>
      </c>
      <c r="E42" s="237" t="str">
        <f>HYPERLINK("http://t.co/DbvYccMMLX")</f>
        <v>http://t.co/DbvYccMMLX</v>
      </c>
      <c r="F42">
        <v>1950</v>
      </c>
      <c r="G42">
        <v>4321</v>
      </c>
      <c r="H42">
        <f t="shared" si="2"/>
        <v>0.45128442490164311</v>
      </c>
      <c r="I42">
        <v>47</v>
      </c>
      <c r="J42">
        <v>2018</v>
      </c>
      <c r="K42" t="s">
        <v>49</v>
      </c>
      <c r="L42" s="232">
        <v>40613.362615740742</v>
      </c>
      <c r="M42" s="232">
        <v>42689.44494212963</v>
      </c>
      <c r="N42">
        <v>42</v>
      </c>
      <c r="O42">
        <v>34.572200000000002</v>
      </c>
      <c r="P42">
        <f t="shared" si="3"/>
        <v>1</v>
      </c>
      <c r="Q42" t="s">
        <v>639</v>
      </c>
      <c r="R42" t="s">
        <v>639</v>
      </c>
      <c r="S42" t="s">
        <v>640</v>
      </c>
    </row>
    <row r="43" spans="1:21" ht="15" x14ac:dyDescent="0.25">
      <c r="A43" t="s">
        <v>641</v>
      </c>
      <c r="B43" t="s">
        <v>642</v>
      </c>
      <c r="C43" t="s">
        <v>643</v>
      </c>
      <c r="D43" t="s">
        <v>644</v>
      </c>
      <c r="E43" s="237" t="str">
        <f>HYPERLINK("https://t.co/NHktkSvxGF")</f>
        <v>https://t.co/NHktkSvxGF</v>
      </c>
      <c r="F43">
        <v>2647</v>
      </c>
      <c r="G43">
        <v>547</v>
      </c>
      <c r="H43">
        <f t="shared" si="2"/>
        <v>4.839122486288848</v>
      </c>
      <c r="I43">
        <v>66</v>
      </c>
      <c r="J43">
        <v>7556</v>
      </c>
      <c r="L43" s="232">
        <v>40868.417118055557</v>
      </c>
      <c r="M43" s="232">
        <v>42782.219328703701</v>
      </c>
      <c r="N43">
        <v>43</v>
      </c>
      <c r="O43">
        <v>48.538699999999999</v>
      </c>
      <c r="P43">
        <f t="shared" si="3"/>
        <v>-5</v>
      </c>
    </row>
    <row r="44" spans="1:21" ht="15" x14ac:dyDescent="0.25">
      <c r="A44" t="s">
        <v>645</v>
      </c>
      <c r="B44" t="s">
        <v>646</v>
      </c>
      <c r="C44" t="s">
        <v>647</v>
      </c>
      <c r="F44">
        <v>126</v>
      </c>
      <c r="G44">
        <v>449</v>
      </c>
      <c r="H44">
        <f t="shared" si="2"/>
        <v>0.28062360801781738</v>
      </c>
      <c r="I44">
        <v>5</v>
      </c>
      <c r="J44">
        <v>249</v>
      </c>
      <c r="K44" t="s">
        <v>10</v>
      </c>
      <c r="L44" s="232">
        <v>40366.488136574073</v>
      </c>
      <c r="M44" s="232">
        <v>42780.222951388889</v>
      </c>
      <c r="N44">
        <v>40</v>
      </c>
      <c r="O44">
        <v>14.3066</v>
      </c>
      <c r="P44">
        <f t="shared" si="3"/>
        <v>-5</v>
      </c>
    </row>
    <row r="45" spans="1:21" ht="15" x14ac:dyDescent="0.25">
      <c r="A45" t="s">
        <v>648</v>
      </c>
      <c r="B45" t="s">
        <v>649</v>
      </c>
      <c r="C45" t="s">
        <v>650</v>
      </c>
      <c r="E45" s="237" t="str">
        <f>HYPERLINK("http://t.co/ob70zpViFq")</f>
        <v>http://t.co/ob70zpViFq</v>
      </c>
      <c r="F45">
        <v>2749</v>
      </c>
      <c r="G45">
        <v>2296</v>
      </c>
      <c r="H45">
        <f t="shared" si="2"/>
        <v>1.1972996515679442</v>
      </c>
      <c r="I45">
        <v>38</v>
      </c>
      <c r="J45">
        <v>668</v>
      </c>
      <c r="K45" t="s">
        <v>46</v>
      </c>
      <c r="L45" s="232">
        <v>40001.255752314813</v>
      </c>
      <c r="M45" s="232">
        <v>42772.63726851852</v>
      </c>
      <c r="N45">
        <v>41</v>
      </c>
      <c r="O45">
        <v>46.832700000000003</v>
      </c>
      <c r="P45">
        <f t="shared" si="3"/>
        <v>-5</v>
      </c>
    </row>
    <row r="46" spans="1:21" ht="15" x14ac:dyDescent="0.25">
      <c r="A46" t="s">
        <v>651</v>
      </c>
      <c r="B46" t="s">
        <v>652</v>
      </c>
      <c r="C46" t="s">
        <v>653</v>
      </c>
      <c r="D46" t="s">
        <v>654</v>
      </c>
      <c r="E46" s="237" t="str">
        <f>HYPERLINK("https://t.co/0KrvHeNI0M")</f>
        <v>https://t.co/0KrvHeNI0M</v>
      </c>
      <c r="F46">
        <v>732</v>
      </c>
      <c r="G46">
        <v>4767</v>
      </c>
      <c r="H46">
        <f t="shared" si="2"/>
        <v>0.15355569540591568</v>
      </c>
      <c r="I46">
        <v>72</v>
      </c>
      <c r="J46">
        <v>3261</v>
      </c>
      <c r="L46" s="232">
        <v>41842.382314814815</v>
      </c>
      <c r="M46" s="232">
        <v>42779.916608796295</v>
      </c>
      <c r="N46">
        <v>46</v>
      </c>
      <c r="O46">
        <v>36.239199999999997</v>
      </c>
      <c r="P46">
        <f t="shared" si="3"/>
        <v>-5</v>
      </c>
    </row>
    <row r="47" spans="1:21" ht="15" x14ac:dyDescent="0.25">
      <c r="A47" t="s">
        <v>655</v>
      </c>
      <c r="B47" t="s">
        <v>656</v>
      </c>
      <c r="C47" t="s">
        <v>657</v>
      </c>
      <c r="D47" t="s">
        <v>658</v>
      </c>
      <c r="F47">
        <v>17</v>
      </c>
      <c r="G47">
        <v>71</v>
      </c>
      <c r="H47">
        <f t="shared" si="2"/>
        <v>0.23943661971830985</v>
      </c>
      <c r="I47">
        <v>2</v>
      </c>
      <c r="J47">
        <v>67</v>
      </c>
      <c r="K47" t="s">
        <v>48</v>
      </c>
      <c r="L47" s="232">
        <v>42228.473773148151</v>
      </c>
      <c r="M47" s="232">
        <v>42513.059317129628</v>
      </c>
      <c r="N47">
        <v>47</v>
      </c>
      <c r="O47">
        <v>15.507899999999999</v>
      </c>
      <c r="P47">
        <f t="shared" si="3"/>
        <v>-5</v>
      </c>
    </row>
    <row r="48" spans="1:21" ht="15" x14ac:dyDescent="0.25">
      <c r="A48" t="s">
        <v>659</v>
      </c>
      <c r="B48" t="s">
        <v>660</v>
      </c>
      <c r="D48" t="s">
        <v>661</v>
      </c>
      <c r="F48">
        <v>42</v>
      </c>
      <c r="G48">
        <v>657</v>
      </c>
      <c r="H48">
        <f t="shared" si="2"/>
        <v>6.3926940639269403E-2</v>
      </c>
      <c r="I48">
        <v>0</v>
      </c>
      <c r="J48">
        <v>9</v>
      </c>
      <c r="K48" t="s">
        <v>48</v>
      </c>
      <c r="L48" s="232">
        <v>42507.604942129627</v>
      </c>
      <c r="M48" s="232">
        <v>42632.40902777778</v>
      </c>
      <c r="N48">
        <v>44</v>
      </c>
      <c r="P48">
        <f t="shared" si="3"/>
        <v>-5</v>
      </c>
    </row>
    <row r="49" spans="1:21" ht="15" x14ac:dyDescent="0.25">
      <c r="A49" t="s">
        <v>662</v>
      </c>
      <c r="B49" t="s">
        <v>662</v>
      </c>
      <c r="C49" t="s">
        <v>663</v>
      </c>
      <c r="D49" t="s">
        <v>658</v>
      </c>
      <c r="E49" s="237" t="str">
        <f>HYPERLINK("http://t.co/TL4yNo9w")</f>
        <v>http://t.co/TL4yNo9w</v>
      </c>
      <c r="F49">
        <v>1739</v>
      </c>
      <c r="G49">
        <v>776</v>
      </c>
      <c r="H49">
        <f t="shared" si="2"/>
        <v>2.240979381443299</v>
      </c>
      <c r="I49">
        <v>53</v>
      </c>
      <c r="J49">
        <v>1333</v>
      </c>
      <c r="K49" t="s">
        <v>8</v>
      </c>
      <c r="L49" s="232">
        <v>40354.159490740742</v>
      </c>
      <c r="M49" s="232">
        <v>42781.972222222219</v>
      </c>
      <c r="N49">
        <v>45</v>
      </c>
      <c r="O49">
        <v>40.554400000000001</v>
      </c>
      <c r="P49">
        <f t="shared" si="3"/>
        <v>-3</v>
      </c>
      <c r="Q49" t="s">
        <v>664</v>
      </c>
    </row>
    <row r="50" spans="1:21" ht="15" x14ac:dyDescent="0.25">
      <c r="A50" t="s">
        <v>665</v>
      </c>
      <c r="B50" t="s">
        <v>666</v>
      </c>
      <c r="C50" t="s">
        <v>667</v>
      </c>
      <c r="D50" t="s">
        <v>668</v>
      </c>
      <c r="E50" s="237" t="str">
        <f>HYPERLINK("http://t.co/cfhzH7y6WS")</f>
        <v>http://t.co/cfhzH7y6WS</v>
      </c>
      <c r="F50">
        <v>330</v>
      </c>
      <c r="G50">
        <v>747</v>
      </c>
      <c r="H50">
        <f t="shared" si="2"/>
        <v>0.44176706827309237</v>
      </c>
      <c r="I50">
        <v>0</v>
      </c>
      <c r="J50">
        <v>1305</v>
      </c>
      <c r="K50" t="s">
        <v>60</v>
      </c>
      <c r="L50" s="232">
        <v>39990.045763888891</v>
      </c>
      <c r="M50" s="232">
        <v>42782.141597222224</v>
      </c>
      <c r="N50">
        <v>51</v>
      </c>
      <c r="O50">
        <v>42.105400000000003</v>
      </c>
      <c r="P50">
        <f t="shared" si="3"/>
        <v>5</v>
      </c>
      <c r="Q50" t="s">
        <v>669</v>
      </c>
      <c r="R50" t="s">
        <v>670</v>
      </c>
      <c r="S50" t="s">
        <v>671</v>
      </c>
      <c r="T50" t="s">
        <v>672</v>
      </c>
      <c r="U50" t="s">
        <v>673</v>
      </c>
    </row>
    <row r="51" spans="1:21" ht="15" x14ac:dyDescent="0.25">
      <c r="A51" t="s">
        <v>674</v>
      </c>
      <c r="B51" t="s">
        <v>675</v>
      </c>
      <c r="C51" t="s">
        <v>676</v>
      </c>
      <c r="F51">
        <v>98</v>
      </c>
      <c r="G51">
        <v>183</v>
      </c>
      <c r="H51">
        <f t="shared" si="2"/>
        <v>0.53551912568306015</v>
      </c>
      <c r="I51">
        <v>12</v>
      </c>
      <c r="J51">
        <v>327</v>
      </c>
      <c r="L51" s="232">
        <v>41807.313148148147</v>
      </c>
      <c r="M51" s="232">
        <v>42781.438773148147</v>
      </c>
      <c r="N51">
        <v>50</v>
      </c>
      <c r="O51">
        <v>26.404800000000002</v>
      </c>
      <c r="P51">
        <f t="shared" si="3"/>
        <v>-5</v>
      </c>
    </row>
    <row r="52" spans="1:21" ht="15" x14ac:dyDescent="0.25">
      <c r="A52" t="s">
        <v>677</v>
      </c>
      <c r="B52" t="s">
        <v>678</v>
      </c>
      <c r="C52" t="s">
        <v>679</v>
      </c>
      <c r="F52">
        <v>270</v>
      </c>
      <c r="G52">
        <v>856</v>
      </c>
      <c r="H52">
        <f t="shared" si="2"/>
        <v>0.31542056074766356</v>
      </c>
      <c r="I52">
        <v>0</v>
      </c>
      <c r="J52">
        <v>2048</v>
      </c>
      <c r="L52" s="232">
        <v>41824.945844907408</v>
      </c>
      <c r="M52" s="232">
        <v>42632.190740740742</v>
      </c>
      <c r="N52">
        <v>49</v>
      </c>
      <c r="O52">
        <v>23.021100000000001</v>
      </c>
      <c r="P52">
        <f t="shared" si="3"/>
        <v>-5</v>
      </c>
    </row>
    <row r="53" spans="1:21" ht="15" x14ac:dyDescent="0.25">
      <c r="A53" t="s">
        <v>680</v>
      </c>
      <c r="B53" t="s">
        <v>681</v>
      </c>
      <c r="F53">
        <v>156</v>
      </c>
      <c r="G53">
        <v>1827</v>
      </c>
      <c r="H53">
        <f t="shared" si="2"/>
        <v>8.5385878489326772E-2</v>
      </c>
      <c r="I53">
        <v>2</v>
      </c>
      <c r="J53">
        <v>5969</v>
      </c>
      <c r="L53" s="232">
        <v>40671.02542824074</v>
      </c>
      <c r="M53" s="232">
        <v>42150.887395833335</v>
      </c>
      <c r="N53">
        <v>48</v>
      </c>
      <c r="O53">
        <v>22.546399999999998</v>
      </c>
      <c r="P53">
        <f t="shared" si="3"/>
        <v>-5</v>
      </c>
    </row>
    <row r="54" spans="1:21" ht="15" x14ac:dyDescent="0.25">
      <c r="A54" t="s">
        <v>682</v>
      </c>
      <c r="B54" t="s">
        <v>683</v>
      </c>
      <c r="C54" t="s">
        <v>684</v>
      </c>
      <c r="F54">
        <v>12</v>
      </c>
      <c r="G54">
        <v>22</v>
      </c>
      <c r="H54">
        <f t="shared" si="2"/>
        <v>0.54545454545454541</v>
      </c>
      <c r="I54">
        <v>0</v>
      </c>
      <c r="J54">
        <v>24</v>
      </c>
      <c r="L54" s="232">
        <v>42436.122083333335</v>
      </c>
      <c r="M54" s="232">
        <v>42780.109513888892</v>
      </c>
      <c r="N54">
        <v>55</v>
      </c>
      <c r="O54">
        <v>11.916399999999999</v>
      </c>
      <c r="P54">
        <f t="shared" si="3"/>
        <v>-5</v>
      </c>
    </row>
    <row r="55" spans="1:21" ht="15" x14ac:dyDescent="0.25">
      <c r="A55" t="s">
        <v>685</v>
      </c>
      <c r="B55" t="s">
        <v>686</v>
      </c>
      <c r="C55" t="s">
        <v>687</v>
      </c>
      <c r="E55" s="237" t="str">
        <f>HYPERLINK("http://t.co/M4p8U96DRP")</f>
        <v>http://t.co/M4p8U96DRP</v>
      </c>
      <c r="F55">
        <v>5228</v>
      </c>
      <c r="G55">
        <v>1179</v>
      </c>
      <c r="H55">
        <f t="shared" si="2"/>
        <v>4.4342663273960987</v>
      </c>
      <c r="I55">
        <v>0</v>
      </c>
      <c r="J55">
        <v>10257</v>
      </c>
      <c r="L55" s="232">
        <v>40495.526087962964</v>
      </c>
      <c r="M55" s="232">
        <v>42781.629814814813</v>
      </c>
      <c r="N55">
        <v>54</v>
      </c>
      <c r="O55">
        <v>47.798000000000002</v>
      </c>
      <c r="P55">
        <f t="shared" si="3"/>
        <v>1</v>
      </c>
      <c r="Q55" t="s">
        <v>590</v>
      </c>
      <c r="R55" t="s">
        <v>688</v>
      </c>
      <c r="S55" t="s">
        <v>689</v>
      </c>
    </row>
    <row r="56" spans="1:21" ht="15" x14ac:dyDescent="0.25">
      <c r="A56" t="s">
        <v>690</v>
      </c>
      <c r="B56" t="s">
        <v>691</v>
      </c>
      <c r="C56" t="s">
        <v>692</v>
      </c>
      <c r="D56" t="s">
        <v>693</v>
      </c>
      <c r="E56" s="237" t="str">
        <f>HYPERLINK("https://t.co/4mRRaOhe1A")</f>
        <v>https://t.co/4mRRaOhe1A</v>
      </c>
      <c r="F56">
        <v>43</v>
      </c>
      <c r="G56">
        <v>296</v>
      </c>
      <c r="H56">
        <f t="shared" si="2"/>
        <v>0.14527027027027026</v>
      </c>
      <c r="I56">
        <v>0</v>
      </c>
      <c r="J56">
        <v>41</v>
      </c>
      <c r="L56" s="232">
        <v>41225.658726851849</v>
      </c>
      <c r="M56" s="232">
        <v>42698.355891203704</v>
      </c>
      <c r="N56">
        <v>53</v>
      </c>
      <c r="O56">
        <v>12.025</v>
      </c>
      <c r="P56">
        <f t="shared" si="3"/>
        <v>-5</v>
      </c>
    </row>
    <row r="57" spans="1:21" ht="15" x14ac:dyDescent="0.25">
      <c r="A57" t="s">
        <v>694</v>
      </c>
      <c r="B57" t="s">
        <v>695</v>
      </c>
      <c r="C57" t="s">
        <v>696</v>
      </c>
      <c r="F57">
        <v>22</v>
      </c>
      <c r="G57">
        <v>110</v>
      </c>
      <c r="H57">
        <f t="shared" si="2"/>
        <v>0.2</v>
      </c>
      <c r="I57">
        <v>0</v>
      </c>
      <c r="J57">
        <v>92</v>
      </c>
      <c r="K57" t="s">
        <v>17</v>
      </c>
      <c r="L57" s="232">
        <v>41245.40824074074</v>
      </c>
      <c r="M57" s="232">
        <v>41849.344259259262</v>
      </c>
      <c r="N57">
        <v>52</v>
      </c>
      <c r="O57">
        <v>12.1221</v>
      </c>
      <c r="P57">
        <f t="shared" si="3"/>
        <v>-5</v>
      </c>
    </row>
    <row r="58" spans="1:21" ht="15" x14ac:dyDescent="0.25">
      <c r="A58" t="s">
        <v>697</v>
      </c>
      <c r="B58" t="s">
        <v>698</v>
      </c>
      <c r="C58" t="s">
        <v>699</v>
      </c>
      <c r="D58" t="s">
        <v>700</v>
      </c>
      <c r="E58" s="237" t="str">
        <f>HYPERLINK("http://t.co/opOfC9zBrY")</f>
        <v>http://t.co/opOfC9zBrY</v>
      </c>
      <c r="F58">
        <v>287</v>
      </c>
      <c r="G58">
        <v>301</v>
      </c>
      <c r="H58">
        <f t="shared" si="2"/>
        <v>0.95348837209302328</v>
      </c>
      <c r="I58">
        <v>1</v>
      </c>
      <c r="J58">
        <v>275</v>
      </c>
      <c r="K58" t="s">
        <v>8</v>
      </c>
      <c r="L58" s="232">
        <v>40651.490208333336</v>
      </c>
      <c r="M58" s="232">
        <v>42769.118622685186</v>
      </c>
      <c r="N58">
        <v>59</v>
      </c>
      <c r="O58">
        <v>25.796700000000001</v>
      </c>
      <c r="P58">
        <f t="shared" si="3"/>
        <v>-5</v>
      </c>
    </row>
    <row r="59" spans="1:21" ht="15" x14ac:dyDescent="0.25">
      <c r="A59" t="s">
        <v>701</v>
      </c>
      <c r="B59" t="s">
        <v>702</v>
      </c>
      <c r="C59" t="s">
        <v>703</v>
      </c>
      <c r="F59">
        <v>222</v>
      </c>
      <c r="G59">
        <v>1977</v>
      </c>
      <c r="H59">
        <f t="shared" si="2"/>
        <v>0.11229135053110774</v>
      </c>
      <c r="I59">
        <v>0</v>
      </c>
      <c r="J59">
        <v>7</v>
      </c>
      <c r="L59" s="232">
        <v>42410.937222222223</v>
      </c>
      <c r="M59" s="232">
        <v>42533.971319444441</v>
      </c>
      <c r="N59">
        <v>58</v>
      </c>
      <c r="O59">
        <v>19.645700000000001</v>
      </c>
      <c r="P59">
        <f t="shared" si="3"/>
        <v>-5</v>
      </c>
    </row>
    <row r="60" spans="1:21" ht="15" x14ac:dyDescent="0.25">
      <c r="A60" t="s">
        <v>704</v>
      </c>
      <c r="B60" t="s">
        <v>705</v>
      </c>
      <c r="C60" t="s">
        <v>706</v>
      </c>
      <c r="D60" t="s">
        <v>707</v>
      </c>
      <c r="E60" s="237" t="str">
        <f>HYPERLINK("https://t.co/e9Oo8AGNPJ")</f>
        <v>https://t.co/e9Oo8AGNPJ</v>
      </c>
      <c r="F60">
        <v>2055</v>
      </c>
      <c r="G60">
        <v>183</v>
      </c>
      <c r="H60">
        <f t="shared" si="2"/>
        <v>11.229508196721312</v>
      </c>
      <c r="I60">
        <v>25</v>
      </c>
      <c r="J60">
        <v>856</v>
      </c>
      <c r="K60" t="s">
        <v>48</v>
      </c>
      <c r="L60" s="232">
        <v>41562.409143518518</v>
      </c>
      <c r="M60" s="232">
        <v>42781.669664351852</v>
      </c>
      <c r="N60">
        <v>57</v>
      </c>
      <c r="O60">
        <v>27.3811</v>
      </c>
      <c r="P60">
        <f t="shared" si="3"/>
        <v>-5</v>
      </c>
    </row>
    <row r="61" spans="1:21" ht="15" x14ac:dyDescent="0.25">
      <c r="A61" t="s">
        <v>708</v>
      </c>
      <c r="B61" t="s">
        <v>709</v>
      </c>
      <c r="C61" t="s">
        <v>710</v>
      </c>
      <c r="D61" t="s">
        <v>658</v>
      </c>
      <c r="F61">
        <v>62</v>
      </c>
      <c r="G61">
        <v>153</v>
      </c>
      <c r="H61">
        <f t="shared" si="2"/>
        <v>0.40522875816993464</v>
      </c>
      <c r="I61">
        <v>4</v>
      </c>
      <c r="J61">
        <v>132</v>
      </c>
      <c r="K61" t="s">
        <v>48</v>
      </c>
      <c r="L61" s="232">
        <v>40340.23741898148</v>
      </c>
      <c r="M61" s="232">
        <v>42780.084293981483</v>
      </c>
      <c r="N61">
        <v>56</v>
      </c>
      <c r="O61">
        <v>18.2576</v>
      </c>
      <c r="P61">
        <f t="shared" si="3"/>
        <v>-5</v>
      </c>
    </row>
    <row r="62" spans="1:21" ht="15" x14ac:dyDescent="0.25">
      <c r="A62" t="s">
        <v>711</v>
      </c>
      <c r="B62" t="s">
        <v>712</v>
      </c>
      <c r="C62" t="s">
        <v>713</v>
      </c>
      <c r="F62">
        <v>460</v>
      </c>
      <c r="G62">
        <v>1545</v>
      </c>
      <c r="H62">
        <f t="shared" si="2"/>
        <v>0.29773462783171523</v>
      </c>
      <c r="I62">
        <v>18</v>
      </c>
      <c r="J62">
        <v>601</v>
      </c>
      <c r="K62" t="s">
        <v>60</v>
      </c>
      <c r="L62" s="232">
        <v>40213.563668981478</v>
      </c>
      <c r="M62" s="232">
        <v>42763.421354166669</v>
      </c>
      <c r="N62">
        <v>63</v>
      </c>
      <c r="O62">
        <v>38.711300000000001</v>
      </c>
      <c r="P62">
        <f t="shared" si="3"/>
        <v>-5</v>
      </c>
    </row>
    <row r="63" spans="1:21" ht="15" x14ac:dyDescent="0.25">
      <c r="A63" t="s">
        <v>714</v>
      </c>
      <c r="B63" t="s">
        <v>715</v>
      </c>
      <c r="C63" t="s">
        <v>716</v>
      </c>
      <c r="D63" t="s">
        <v>658</v>
      </c>
      <c r="E63" s="237" t="str">
        <f>HYPERLINK("https://t.co/8RutrZeigL")</f>
        <v>https://t.co/8RutrZeigL</v>
      </c>
      <c r="F63">
        <v>32669</v>
      </c>
      <c r="G63">
        <v>35937</v>
      </c>
      <c r="H63">
        <f t="shared" si="2"/>
        <v>0.90906308261680158</v>
      </c>
      <c r="I63">
        <v>354</v>
      </c>
      <c r="J63">
        <v>16622</v>
      </c>
      <c r="L63" s="232">
        <v>40206.265879629631</v>
      </c>
      <c r="M63" s="232">
        <v>42782.1877662037</v>
      </c>
      <c r="N63">
        <v>62</v>
      </c>
      <c r="O63">
        <v>51.614400000000003</v>
      </c>
      <c r="P63">
        <f t="shared" si="3"/>
        <v>-5</v>
      </c>
    </row>
    <row r="64" spans="1:21" ht="15" x14ac:dyDescent="0.25">
      <c r="A64" t="s">
        <v>717</v>
      </c>
      <c r="B64" t="s">
        <v>718</v>
      </c>
      <c r="C64" t="s">
        <v>719</v>
      </c>
      <c r="E64" s="237" t="str">
        <f>HYPERLINK("https://t.co/omIDXxaiDm")</f>
        <v>https://t.co/omIDXxaiDm</v>
      </c>
      <c r="F64">
        <v>402</v>
      </c>
      <c r="G64">
        <v>1768</v>
      </c>
      <c r="H64">
        <f t="shared" si="2"/>
        <v>0.22737556561085973</v>
      </c>
      <c r="I64">
        <v>23</v>
      </c>
      <c r="J64">
        <v>9028</v>
      </c>
      <c r="K64" t="s">
        <v>35</v>
      </c>
      <c r="L64" s="232">
        <v>41058.801585648151</v>
      </c>
      <c r="M64" s="232">
        <v>42776.3127662037</v>
      </c>
      <c r="N64">
        <v>61</v>
      </c>
      <c r="O64">
        <v>27.454599999999999</v>
      </c>
      <c r="P64">
        <f t="shared" si="3"/>
        <v>-5</v>
      </c>
    </row>
    <row r="65" spans="1:20" ht="15" x14ac:dyDescent="0.25">
      <c r="A65" t="s">
        <v>720</v>
      </c>
      <c r="B65" t="s">
        <v>721</v>
      </c>
      <c r="C65" t="s">
        <v>722</v>
      </c>
      <c r="F65">
        <v>166</v>
      </c>
      <c r="G65">
        <v>716</v>
      </c>
      <c r="H65">
        <f t="shared" si="2"/>
        <v>0.23184357541899442</v>
      </c>
      <c r="I65">
        <v>4</v>
      </c>
      <c r="J65">
        <v>7097</v>
      </c>
      <c r="K65" t="s">
        <v>74</v>
      </c>
      <c r="L65" s="232">
        <v>40608.690787037034</v>
      </c>
      <c r="M65" s="232">
        <v>42038.349143518521</v>
      </c>
      <c r="N65">
        <v>60</v>
      </c>
      <c r="O65">
        <v>19.8293</v>
      </c>
      <c r="P65">
        <f t="shared" si="3"/>
        <v>-5</v>
      </c>
    </row>
    <row r="66" spans="1:20" ht="15" x14ac:dyDescent="0.25">
      <c r="A66" t="s">
        <v>723</v>
      </c>
      <c r="B66" t="s">
        <v>724</v>
      </c>
      <c r="C66" t="s">
        <v>725</v>
      </c>
      <c r="D66" t="s">
        <v>726</v>
      </c>
      <c r="E66" s="237" t="str">
        <f>HYPERLINK("http://t.co/9Hp8ruPfAQ")</f>
        <v>http://t.co/9Hp8ruPfAQ</v>
      </c>
      <c r="F66">
        <v>9099</v>
      </c>
      <c r="G66">
        <v>8899</v>
      </c>
      <c r="H66">
        <f t="shared" ref="H66:H97" si="4">IFERROR(F66/G66,0)</f>
        <v>1.0224744353298123</v>
      </c>
      <c r="I66">
        <v>147</v>
      </c>
      <c r="J66">
        <v>5050</v>
      </c>
      <c r="K66" t="s">
        <v>45</v>
      </c>
      <c r="L66" s="232">
        <v>41169.331828703704</v>
      </c>
      <c r="M66" s="232">
        <v>42780.324895833335</v>
      </c>
      <c r="N66">
        <v>68</v>
      </c>
      <c r="O66">
        <v>52.696300000000001</v>
      </c>
      <c r="P66">
        <f t="shared" ref="P66:P97" si="5">COUNTA(Q66:U66)-COUNTBLANK(Q66:U66)</f>
        <v>-5</v>
      </c>
    </row>
    <row r="67" spans="1:20" ht="15" x14ac:dyDescent="0.25">
      <c r="A67" t="s">
        <v>727</v>
      </c>
      <c r="B67" t="s">
        <v>728</v>
      </c>
      <c r="C67" t="s">
        <v>729</v>
      </c>
      <c r="F67">
        <v>20</v>
      </c>
      <c r="G67">
        <v>180</v>
      </c>
      <c r="H67">
        <f t="shared" si="4"/>
        <v>0.1111111111111111</v>
      </c>
      <c r="I67">
        <v>0</v>
      </c>
      <c r="J67">
        <v>0</v>
      </c>
      <c r="L67" s="232">
        <v>41864.491631944446</v>
      </c>
      <c r="M67" s="232">
        <v>42022.404027777775</v>
      </c>
      <c r="N67">
        <v>69</v>
      </c>
      <c r="O67">
        <v>12.495799999999999</v>
      </c>
      <c r="P67">
        <f t="shared" si="5"/>
        <v>-5</v>
      </c>
    </row>
    <row r="68" spans="1:20" ht="15" x14ac:dyDescent="0.25">
      <c r="A68" t="s">
        <v>730</v>
      </c>
      <c r="B68" t="s">
        <v>731</v>
      </c>
      <c r="F68">
        <v>2</v>
      </c>
      <c r="G68">
        <v>60</v>
      </c>
      <c r="H68">
        <f t="shared" si="4"/>
        <v>3.3333333333333333E-2</v>
      </c>
      <c r="I68">
        <v>0</v>
      </c>
      <c r="J68">
        <v>0</v>
      </c>
      <c r="L68" s="232">
        <v>42301.075462962966</v>
      </c>
      <c r="N68">
        <v>70</v>
      </c>
      <c r="P68">
        <f t="shared" si="5"/>
        <v>-5</v>
      </c>
    </row>
    <row r="69" spans="1:20" ht="15" x14ac:dyDescent="0.25">
      <c r="A69" t="s">
        <v>732</v>
      </c>
      <c r="B69" t="s">
        <v>733</v>
      </c>
      <c r="C69" t="s">
        <v>734</v>
      </c>
      <c r="D69" t="s">
        <v>735</v>
      </c>
      <c r="E69" s="237" t="str">
        <f>HYPERLINK("https://t.co/ybvMWNashN")</f>
        <v>https://t.co/ybvMWNashN</v>
      </c>
      <c r="F69">
        <v>1181</v>
      </c>
      <c r="G69">
        <v>1808</v>
      </c>
      <c r="H69">
        <f t="shared" si="4"/>
        <v>0.65320796460176989</v>
      </c>
      <c r="I69">
        <v>17</v>
      </c>
      <c r="J69">
        <v>2522</v>
      </c>
      <c r="K69" t="s">
        <v>64</v>
      </c>
      <c r="L69" s="232">
        <v>39898.932129629633</v>
      </c>
      <c r="M69" s="232">
        <v>42781.490162037036</v>
      </c>
      <c r="N69">
        <v>71</v>
      </c>
      <c r="O69">
        <v>38.5383</v>
      </c>
      <c r="P69">
        <f t="shared" si="5"/>
        <v>-5</v>
      </c>
    </row>
    <row r="70" spans="1:20" ht="15" x14ac:dyDescent="0.25">
      <c r="A70" t="s">
        <v>736</v>
      </c>
      <c r="B70" t="s">
        <v>737</v>
      </c>
      <c r="C70" t="s">
        <v>738</v>
      </c>
      <c r="F70">
        <v>408</v>
      </c>
      <c r="G70">
        <v>214</v>
      </c>
      <c r="H70">
        <f t="shared" si="4"/>
        <v>1.9065420560747663</v>
      </c>
      <c r="I70">
        <v>35</v>
      </c>
      <c r="J70">
        <v>829</v>
      </c>
      <c r="K70" t="s">
        <v>61</v>
      </c>
      <c r="L70" s="232">
        <v>41291.348356481481</v>
      </c>
      <c r="M70" s="232">
        <v>42776.155069444445</v>
      </c>
      <c r="N70">
        <v>64</v>
      </c>
      <c r="O70">
        <v>40.579900000000002</v>
      </c>
      <c r="P70">
        <f t="shared" si="5"/>
        <v>-5</v>
      </c>
    </row>
    <row r="71" spans="1:20" ht="15" x14ac:dyDescent="0.25">
      <c r="A71" t="s">
        <v>739</v>
      </c>
      <c r="B71" t="s">
        <v>740</v>
      </c>
      <c r="C71" t="s">
        <v>741</v>
      </c>
      <c r="D71" t="s">
        <v>557</v>
      </c>
      <c r="E71" s="237" t="str">
        <f>HYPERLINK("http://t.co/F5kPSDJEDZ")</f>
        <v>http://t.co/F5kPSDJEDZ</v>
      </c>
      <c r="F71">
        <v>2828</v>
      </c>
      <c r="G71">
        <v>3573</v>
      </c>
      <c r="H71">
        <f t="shared" si="4"/>
        <v>0.79149174363280161</v>
      </c>
      <c r="I71">
        <v>113</v>
      </c>
      <c r="J71">
        <v>2223</v>
      </c>
      <c r="K71" t="s">
        <v>39</v>
      </c>
      <c r="L71" s="232">
        <v>40122.135300925926</v>
      </c>
      <c r="M71" s="232">
        <v>42779.28087962963</v>
      </c>
      <c r="N71">
        <v>65</v>
      </c>
      <c r="O71">
        <v>38.1265</v>
      </c>
      <c r="P71">
        <f t="shared" si="5"/>
        <v>3</v>
      </c>
      <c r="Q71" t="s">
        <v>488</v>
      </c>
      <c r="R71" t="s">
        <v>742</v>
      </c>
      <c r="S71" t="s">
        <v>743</v>
      </c>
      <c r="T71" t="s">
        <v>488</v>
      </c>
    </row>
    <row r="72" spans="1:20" ht="15" x14ac:dyDescent="0.25">
      <c r="A72" t="s">
        <v>744</v>
      </c>
      <c r="B72" t="s">
        <v>745</v>
      </c>
      <c r="F72">
        <v>19</v>
      </c>
      <c r="G72">
        <v>60</v>
      </c>
      <c r="H72">
        <f t="shared" si="4"/>
        <v>0.31666666666666665</v>
      </c>
      <c r="I72">
        <v>1</v>
      </c>
      <c r="J72">
        <v>29</v>
      </c>
      <c r="L72" s="232">
        <v>42340.180266203701</v>
      </c>
      <c r="M72" s="232">
        <v>42778.082557870373</v>
      </c>
      <c r="N72">
        <v>66</v>
      </c>
      <c r="O72">
        <v>12.290100000000001</v>
      </c>
      <c r="P72">
        <f t="shared" si="5"/>
        <v>-5</v>
      </c>
    </row>
    <row r="73" spans="1:20" ht="15" x14ac:dyDescent="0.25">
      <c r="A73" t="s">
        <v>746</v>
      </c>
      <c r="B73" t="s">
        <v>747</v>
      </c>
      <c r="E73" s="237" t="str">
        <f>HYPERLINK("https://t.co/ovDenMKN6N")</f>
        <v>https://t.co/ovDenMKN6N</v>
      </c>
      <c r="F73">
        <v>822</v>
      </c>
      <c r="G73">
        <v>2577</v>
      </c>
      <c r="H73">
        <f t="shared" si="4"/>
        <v>0.31897555296856811</v>
      </c>
      <c r="I73">
        <v>24</v>
      </c>
      <c r="J73">
        <v>1415</v>
      </c>
      <c r="K73" t="s">
        <v>8</v>
      </c>
      <c r="L73" s="232">
        <v>41383.722546296296</v>
      </c>
      <c r="M73" s="232">
        <v>42782.224421296298</v>
      </c>
      <c r="N73">
        <v>67</v>
      </c>
      <c r="O73">
        <v>27.346699999999998</v>
      </c>
      <c r="P73">
        <f t="shared" si="5"/>
        <v>-5</v>
      </c>
    </row>
    <row r="74" spans="1:20" ht="15" x14ac:dyDescent="0.25">
      <c r="A74" t="s">
        <v>748</v>
      </c>
      <c r="B74" t="s">
        <v>748</v>
      </c>
      <c r="C74" t="s">
        <v>749</v>
      </c>
      <c r="E74" s="237" t="str">
        <f>HYPERLINK("http://t.co/9IjFnJzwXI")</f>
        <v>http://t.co/9IjFnJzwXI</v>
      </c>
      <c r="F74">
        <v>2420</v>
      </c>
      <c r="G74">
        <v>2280</v>
      </c>
      <c r="H74">
        <f t="shared" si="4"/>
        <v>1.0614035087719298</v>
      </c>
      <c r="I74">
        <v>125</v>
      </c>
      <c r="J74">
        <v>5929</v>
      </c>
      <c r="L74" s="232">
        <v>42246.450914351852</v>
      </c>
      <c r="M74" s="232">
        <v>42782.213321759256</v>
      </c>
      <c r="N74">
        <v>76</v>
      </c>
      <c r="O74">
        <v>48.1569</v>
      </c>
      <c r="P74">
        <f t="shared" si="5"/>
        <v>-5</v>
      </c>
    </row>
    <row r="75" spans="1:20" ht="15" x14ac:dyDescent="0.25">
      <c r="A75" t="s">
        <v>750</v>
      </c>
      <c r="B75" t="s">
        <v>751</v>
      </c>
      <c r="C75" t="s">
        <v>752</v>
      </c>
      <c r="D75" t="s">
        <v>753</v>
      </c>
      <c r="E75" s="237" t="str">
        <f>HYPERLINK("https://t.co/7NADvYftg9")</f>
        <v>https://t.co/7NADvYftg9</v>
      </c>
      <c r="F75">
        <v>53</v>
      </c>
      <c r="G75">
        <v>223</v>
      </c>
      <c r="H75">
        <f t="shared" si="4"/>
        <v>0.23766816143497757</v>
      </c>
      <c r="I75">
        <v>0</v>
      </c>
      <c r="J75">
        <v>6741</v>
      </c>
      <c r="L75" s="232">
        <v>42286.253587962965</v>
      </c>
      <c r="N75">
        <v>77</v>
      </c>
      <c r="O75">
        <v>16.7942</v>
      </c>
      <c r="P75">
        <f t="shared" si="5"/>
        <v>-5</v>
      </c>
    </row>
    <row r="76" spans="1:20" ht="15" x14ac:dyDescent="0.25">
      <c r="A76" t="s">
        <v>754</v>
      </c>
      <c r="B76" t="s">
        <v>755</v>
      </c>
      <c r="F76">
        <v>0</v>
      </c>
      <c r="G76">
        <v>2</v>
      </c>
      <c r="H76">
        <f t="shared" si="4"/>
        <v>0</v>
      </c>
      <c r="I76">
        <v>0</v>
      </c>
      <c r="J76">
        <v>0</v>
      </c>
      <c r="L76" s="232">
        <v>42279.456030092595</v>
      </c>
      <c r="N76">
        <v>78</v>
      </c>
      <c r="P76">
        <f t="shared" si="5"/>
        <v>-5</v>
      </c>
    </row>
    <row r="77" spans="1:20" ht="15" x14ac:dyDescent="0.25">
      <c r="A77" t="s">
        <v>756</v>
      </c>
      <c r="B77" t="s">
        <v>757</v>
      </c>
      <c r="C77" t="s">
        <v>758</v>
      </c>
      <c r="E77" s="237" t="str">
        <f>HYPERLINK("https://t.co/lfu2id1UUF")</f>
        <v>https://t.co/lfu2id1UUF</v>
      </c>
      <c r="F77">
        <v>532</v>
      </c>
      <c r="G77">
        <v>328</v>
      </c>
      <c r="H77">
        <f t="shared" si="4"/>
        <v>1.6219512195121952</v>
      </c>
      <c r="I77">
        <v>22</v>
      </c>
      <c r="J77">
        <v>638</v>
      </c>
      <c r="K77" t="s">
        <v>105</v>
      </c>
      <c r="L77" s="232">
        <v>41916.243136574078</v>
      </c>
      <c r="M77" s="232">
        <v>42782.153784722221</v>
      </c>
      <c r="N77">
        <v>79</v>
      </c>
      <c r="O77">
        <v>41.877499999999998</v>
      </c>
      <c r="P77">
        <f t="shared" si="5"/>
        <v>-5</v>
      </c>
    </row>
    <row r="78" spans="1:20" ht="15" x14ac:dyDescent="0.25">
      <c r="A78" t="s">
        <v>759</v>
      </c>
      <c r="B78" t="s">
        <v>760</v>
      </c>
      <c r="C78" t="s">
        <v>761</v>
      </c>
      <c r="D78" t="s">
        <v>557</v>
      </c>
      <c r="E78" s="237" t="str">
        <f>HYPERLINK("https://t.co/otJ17PlGfn")</f>
        <v>https://t.co/otJ17PlGfn</v>
      </c>
      <c r="F78">
        <v>710</v>
      </c>
      <c r="G78">
        <v>1955</v>
      </c>
      <c r="H78">
        <f t="shared" si="4"/>
        <v>0.3631713554987212</v>
      </c>
      <c r="I78">
        <v>130</v>
      </c>
      <c r="J78">
        <v>5446</v>
      </c>
      <c r="K78" t="s">
        <v>52</v>
      </c>
      <c r="L78" s="232">
        <v>40127.667337962965</v>
      </c>
      <c r="M78" s="232">
        <v>42773.272002314814</v>
      </c>
      <c r="N78">
        <v>72</v>
      </c>
      <c r="O78">
        <v>42.318399999999997</v>
      </c>
      <c r="P78">
        <f t="shared" si="5"/>
        <v>-5</v>
      </c>
    </row>
    <row r="79" spans="1:20" ht="15" x14ac:dyDescent="0.25">
      <c r="A79" t="s">
        <v>762</v>
      </c>
      <c r="B79" t="s">
        <v>763</v>
      </c>
      <c r="C79" t="s">
        <v>764</v>
      </c>
      <c r="D79" t="s">
        <v>10</v>
      </c>
      <c r="E79" s="237" t="str">
        <f>HYPERLINK("http://t.co/DzTK5YR9JD")</f>
        <v>http://t.co/DzTK5YR9JD</v>
      </c>
      <c r="F79">
        <v>119</v>
      </c>
      <c r="G79">
        <v>174</v>
      </c>
      <c r="H79">
        <f t="shared" si="4"/>
        <v>0.68390804597701149</v>
      </c>
      <c r="I79">
        <v>5</v>
      </c>
      <c r="J79">
        <v>7</v>
      </c>
      <c r="K79" t="s">
        <v>17</v>
      </c>
      <c r="L79" s="232">
        <v>39983.378113425926</v>
      </c>
      <c r="M79" s="232">
        <v>42758.326157407406</v>
      </c>
      <c r="N79">
        <v>73</v>
      </c>
      <c r="O79">
        <v>22.814599999999999</v>
      </c>
      <c r="P79">
        <f t="shared" si="5"/>
        <v>-5</v>
      </c>
    </row>
    <row r="80" spans="1:20" ht="15" x14ac:dyDescent="0.25">
      <c r="A80" t="s">
        <v>765</v>
      </c>
      <c r="B80" t="s">
        <v>766</v>
      </c>
      <c r="C80" t="s">
        <v>767</v>
      </c>
      <c r="D80" t="s">
        <v>658</v>
      </c>
      <c r="F80">
        <v>171</v>
      </c>
      <c r="G80">
        <v>308</v>
      </c>
      <c r="H80">
        <f t="shared" si="4"/>
        <v>0.55519480519480524</v>
      </c>
      <c r="I80">
        <v>5</v>
      </c>
      <c r="J80">
        <v>241</v>
      </c>
      <c r="K80" t="s">
        <v>48</v>
      </c>
      <c r="L80" s="232">
        <v>42294.092118055552</v>
      </c>
      <c r="M80" s="232">
        <v>42781.592800925922</v>
      </c>
      <c r="N80">
        <v>74</v>
      </c>
      <c r="O80">
        <v>16.662500000000001</v>
      </c>
      <c r="P80">
        <f t="shared" si="5"/>
        <v>-5</v>
      </c>
    </row>
    <row r="81" spans="1:21" ht="15" x14ac:dyDescent="0.25">
      <c r="A81" t="s">
        <v>768</v>
      </c>
      <c r="B81" t="s">
        <v>769</v>
      </c>
      <c r="C81" t="s">
        <v>770</v>
      </c>
      <c r="D81" t="s">
        <v>771</v>
      </c>
      <c r="E81" s="237" t="str">
        <f>HYPERLINK("http://t.co/bVe24nR7tU")</f>
        <v>http://t.co/bVe24nR7tU</v>
      </c>
      <c r="F81">
        <v>921</v>
      </c>
      <c r="G81">
        <v>3993</v>
      </c>
      <c r="H81">
        <f t="shared" si="4"/>
        <v>0.23065364387678436</v>
      </c>
      <c r="I81">
        <v>21</v>
      </c>
      <c r="J81">
        <v>574</v>
      </c>
      <c r="L81" s="232">
        <v>41808.083935185183</v>
      </c>
      <c r="M81" s="232">
        <v>42775.384444444448</v>
      </c>
      <c r="N81">
        <v>75</v>
      </c>
      <c r="O81">
        <v>38.764800000000001</v>
      </c>
      <c r="P81">
        <f t="shared" si="5"/>
        <v>-5</v>
      </c>
    </row>
    <row r="82" spans="1:21" ht="15" x14ac:dyDescent="0.25">
      <c r="A82" t="s">
        <v>772</v>
      </c>
      <c r="B82" t="s">
        <v>773</v>
      </c>
      <c r="C82" t="s">
        <v>774</v>
      </c>
      <c r="D82" t="s">
        <v>775</v>
      </c>
      <c r="E82" s="237" t="str">
        <f>HYPERLINK("https://t.co/E1r2HOjkO5")</f>
        <v>https://t.co/E1r2HOjkO5</v>
      </c>
      <c r="F82">
        <v>6382</v>
      </c>
      <c r="G82">
        <v>2123</v>
      </c>
      <c r="H82">
        <f t="shared" si="4"/>
        <v>3.0061234102684882</v>
      </c>
      <c r="I82">
        <v>280</v>
      </c>
      <c r="J82">
        <v>9432</v>
      </c>
      <c r="K82" t="s">
        <v>39</v>
      </c>
      <c r="L82" s="232">
        <v>40681.303043981483</v>
      </c>
      <c r="M82" s="232">
        <v>42782.256215277775</v>
      </c>
      <c r="N82">
        <v>85</v>
      </c>
      <c r="O82">
        <v>55.387</v>
      </c>
      <c r="P82">
        <f t="shared" si="5"/>
        <v>5</v>
      </c>
      <c r="Q82" t="s">
        <v>776</v>
      </c>
      <c r="R82" t="s">
        <v>777</v>
      </c>
      <c r="S82" t="s">
        <v>488</v>
      </c>
      <c r="T82" t="s">
        <v>778</v>
      </c>
      <c r="U82" t="s">
        <v>779</v>
      </c>
    </row>
    <row r="83" spans="1:21" ht="15" x14ac:dyDescent="0.25">
      <c r="A83" t="s">
        <v>780</v>
      </c>
      <c r="B83" t="s">
        <v>781</v>
      </c>
      <c r="C83" t="s">
        <v>782</v>
      </c>
      <c r="F83">
        <v>108</v>
      </c>
      <c r="G83">
        <v>719</v>
      </c>
      <c r="H83">
        <f t="shared" si="4"/>
        <v>0.1502086230876217</v>
      </c>
      <c r="I83">
        <v>1</v>
      </c>
      <c r="J83">
        <v>36</v>
      </c>
      <c r="K83" t="s">
        <v>10</v>
      </c>
      <c r="L83" s="232">
        <v>41076.2580787037</v>
      </c>
      <c r="M83" s="232">
        <v>42718.180486111109</v>
      </c>
      <c r="N83">
        <v>84</v>
      </c>
      <c r="O83">
        <v>17.925000000000001</v>
      </c>
      <c r="P83">
        <f t="shared" si="5"/>
        <v>-5</v>
      </c>
    </row>
    <row r="84" spans="1:21" ht="15" x14ac:dyDescent="0.25">
      <c r="A84" t="s">
        <v>783</v>
      </c>
      <c r="B84" t="s">
        <v>784</v>
      </c>
      <c r="C84" t="s">
        <v>785</v>
      </c>
      <c r="D84" t="s">
        <v>786</v>
      </c>
      <c r="E84" s="237" t="str">
        <f>HYPERLINK("http://t.co/oGRxBWtD0j")</f>
        <v>http://t.co/oGRxBWtD0j</v>
      </c>
      <c r="F84">
        <v>592</v>
      </c>
      <c r="G84">
        <v>4210</v>
      </c>
      <c r="H84">
        <f t="shared" si="4"/>
        <v>0.14061757719714965</v>
      </c>
      <c r="I84">
        <v>9</v>
      </c>
      <c r="J84">
        <v>272</v>
      </c>
      <c r="K84" t="s">
        <v>90</v>
      </c>
      <c r="L84" s="232">
        <v>42030.246817129628</v>
      </c>
      <c r="M84" s="232">
        <v>42780.16814814815</v>
      </c>
      <c r="N84">
        <v>87</v>
      </c>
      <c r="O84">
        <v>25.890699999999999</v>
      </c>
      <c r="P84">
        <f t="shared" si="5"/>
        <v>-5</v>
      </c>
    </row>
    <row r="85" spans="1:21" ht="15" x14ac:dyDescent="0.25">
      <c r="A85" t="s">
        <v>787</v>
      </c>
      <c r="B85" t="s">
        <v>788</v>
      </c>
      <c r="F85">
        <v>3</v>
      </c>
      <c r="G85">
        <v>47</v>
      </c>
      <c r="H85">
        <f t="shared" si="4"/>
        <v>6.3829787234042548E-2</v>
      </c>
      <c r="I85">
        <v>0</v>
      </c>
      <c r="J85">
        <v>1</v>
      </c>
      <c r="L85" s="232">
        <v>42223.126620370371</v>
      </c>
      <c r="M85" s="232">
        <v>42537.345775462964</v>
      </c>
      <c r="N85">
        <v>86</v>
      </c>
      <c r="P85">
        <f t="shared" si="5"/>
        <v>-5</v>
      </c>
    </row>
    <row r="86" spans="1:21" ht="15" x14ac:dyDescent="0.25">
      <c r="A86" t="s">
        <v>789</v>
      </c>
      <c r="B86" t="s">
        <v>790</v>
      </c>
      <c r="F86">
        <v>2</v>
      </c>
      <c r="G86">
        <v>80</v>
      </c>
      <c r="H86">
        <f t="shared" si="4"/>
        <v>2.5000000000000001E-2</v>
      </c>
      <c r="I86">
        <v>0</v>
      </c>
      <c r="J86">
        <v>2</v>
      </c>
      <c r="L86" s="232">
        <v>42271.881736111114</v>
      </c>
      <c r="M86" s="232">
        <v>42271.887662037036</v>
      </c>
      <c r="N86">
        <v>81</v>
      </c>
      <c r="O86">
        <v>10</v>
      </c>
      <c r="P86">
        <f t="shared" si="5"/>
        <v>-5</v>
      </c>
    </row>
    <row r="87" spans="1:21" ht="15" x14ac:dyDescent="0.25">
      <c r="A87" t="s">
        <v>791</v>
      </c>
      <c r="B87" t="s">
        <v>792</v>
      </c>
      <c r="C87" t="s">
        <v>793</v>
      </c>
      <c r="D87" t="s">
        <v>794</v>
      </c>
      <c r="F87">
        <v>166</v>
      </c>
      <c r="G87">
        <v>344</v>
      </c>
      <c r="H87">
        <f t="shared" si="4"/>
        <v>0.48255813953488375</v>
      </c>
      <c r="I87">
        <v>5</v>
      </c>
      <c r="J87">
        <v>198</v>
      </c>
      <c r="K87" t="s">
        <v>54</v>
      </c>
      <c r="L87" s="232">
        <v>40169.434317129628</v>
      </c>
      <c r="M87" s="232">
        <v>42778.488217592596</v>
      </c>
      <c r="N87">
        <v>80</v>
      </c>
      <c r="O87">
        <v>23.913699999999999</v>
      </c>
      <c r="P87">
        <f t="shared" si="5"/>
        <v>-5</v>
      </c>
    </row>
    <row r="88" spans="1:21" ht="15" x14ac:dyDescent="0.25">
      <c r="A88" t="s">
        <v>795</v>
      </c>
      <c r="B88" t="s">
        <v>796</v>
      </c>
      <c r="F88">
        <v>30</v>
      </c>
      <c r="G88">
        <v>118</v>
      </c>
      <c r="H88">
        <f t="shared" si="4"/>
        <v>0.25423728813559321</v>
      </c>
      <c r="I88">
        <v>0</v>
      </c>
      <c r="J88">
        <v>8</v>
      </c>
      <c r="K88" t="s">
        <v>49</v>
      </c>
      <c r="L88" s="232">
        <v>40744.455891203703</v>
      </c>
      <c r="M88" s="232">
        <v>42330.316828703704</v>
      </c>
      <c r="N88">
        <v>83</v>
      </c>
      <c r="O88">
        <v>14.0997</v>
      </c>
      <c r="P88">
        <f t="shared" si="5"/>
        <v>-5</v>
      </c>
    </row>
    <row r="89" spans="1:21" ht="15" x14ac:dyDescent="0.25">
      <c r="A89" t="s">
        <v>797</v>
      </c>
      <c r="B89" t="s">
        <v>798</v>
      </c>
      <c r="F89">
        <v>4</v>
      </c>
      <c r="G89">
        <v>32</v>
      </c>
      <c r="H89">
        <f t="shared" si="4"/>
        <v>0.125</v>
      </c>
      <c r="I89">
        <v>0</v>
      </c>
      <c r="J89">
        <v>4</v>
      </c>
      <c r="L89" s="232">
        <v>42271.441643518519</v>
      </c>
      <c r="M89" s="232">
        <v>42271.514560185184</v>
      </c>
      <c r="N89">
        <v>82</v>
      </c>
      <c r="O89">
        <v>10.6388</v>
      </c>
      <c r="P89">
        <f t="shared" si="5"/>
        <v>-5</v>
      </c>
    </row>
    <row r="90" spans="1:21" ht="15" x14ac:dyDescent="0.25">
      <c r="A90" t="s">
        <v>799</v>
      </c>
      <c r="B90" t="s">
        <v>800</v>
      </c>
      <c r="C90" t="s">
        <v>801</v>
      </c>
      <c r="D90" t="s">
        <v>802</v>
      </c>
      <c r="F90">
        <v>20</v>
      </c>
      <c r="G90">
        <v>128</v>
      </c>
      <c r="H90">
        <f t="shared" si="4"/>
        <v>0.15625</v>
      </c>
      <c r="I90">
        <v>0</v>
      </c>
      <c r="J90">
        <v>67</v>
      </c>
      <c r="L90" s="232">
        <v>40218.615474537037</v>
      </c>
      <c r="M90" s="232">
        <v>42694.668483796297</v>
      </c>
      <c r="N90">
        <v>93</v>
      </c>
      <c r="O90">
        <v>12.760899999999999</v>
      </c>
      <c r="P90">
        <f t="shared" si="5"/>
        <v>-5</v>
      </c>
    </row>
    <row r="91" spans="1:21" ht="15" x14ac:dyDescent="0.25">
      <c r="A91" t="s">
        <v>803</v>
      </c>
      <c r="B91" t="s">
        <v>804</v>
      </c>
      <c r="F91">
        <v>6</v>
      </c>
      <c r="G91">
        <v>60</v>
      </c>
      <c r="H91">
        <f t="shared" si="4"/>
        <v>0.1</v>
      </c>
      <c r="I91">
        <v>0</v>
      </c>
      <c r="J91">
        <v>1</v>
      </c>
      <c r="L91" s="232">
        <v>42151.749259259261</v>
      </c>
      <c r="M91" s="232">
        <v>42720.55878472222</v>
      </c>
      <c r="N91">
        <v>92</v>
      </c>
      <c r="P91">
        <f t="shared" si="5"/>
        <v>-5</v>
      </c>
    </row>
    <row r="92" spans="1:21" ht="15" x14ac:dyDescent="0.25">
      <c r="A92" t="s">
        <v>805</v>
      </c>
      <c r="B92" t="s">
        <v>806</v>
      </c>
      <c r="F92">
        <v>0</v>
      </c>
      <c r="G92">
        <v>7</v>
      </c>
      <c r="H92">
        <f t="shared" si="4"/>
        <v>0</v>
      </c>
      <c r="I92">
        <v>0</v>
      </c>
      <c r="J92">
        <v>0</v>
      </c>
      <c r="L92" s="232">
        <v>41881.474270833336</v>
      </c>
      <c r="N92">
        <v>95</v>
      </c>
      <c r="P92">
        <f t="shared" si="5"/>
        <v>-5</v>
      </c>
    </row>
    <row r="93" spans="1:21" ht="15" x14ac:dyDescent="0.25">
      <c r="A93" t="s">
        <v>807</v>
      </c>
      <c r="B93" t="s">
        <v>808</v>
      </c>
      <c r="F93">
        <v>5</v>
      </c>
      <c r="G93">
        <v>55</v>
      </c>
      <c r="H93">
        <f t="shared" si="4"/>
        <v>9.0909090909090912E-2</v>
      </c>
      <c r="I93">
        <v>0</v>
      </c>
      <c r="J93">
        <v>2</v>
      </c>
      <c r="L93" s="232">
        <v>42132.054849537039</v>
      </c>
      <c r="M93" s="232">
        <v>42136.078229166669</v>
      </c>
      <c r="N93">
        <v>94</v>
      </c>
      <c r="P93">
        <f t="shared" si="5"/>
        <v>-5</v>
      </c>
    </row>
    <row r="94" spans="1:21" ht="15" x14ac:dyDescent="0.25">
      <c r="A94" t="s">
        <v>809</v>
      </c>
      <c r="B94" t="s">
        <v>810</v>
      </c>
      <c r="C94" t="s">
        <v>811</v>
      </c>
      <c r="D94" t="s">
        <v>557</v>
      </c>
      <c r="E94" s="237" t="str">
        <f>HYPERLINK("https://t.co/Fsev2LEzNV")</f>
        <v>https://t.co/Fsev2LEzNV</v>
      </c>
      <c r="F94">
        <v>1839</v>
      </c>
      <c r="G94">
        <v>656</v>
      </c>
      <c r="H94">
        <f t="shared" si="4"/>
        <v>2.8033536585365852</v>
      </c>
      <c r="I94">
        <v>106</v>
      </c>
      <c r="J94">
        <v>886</v>
      </c>
      <c r="K94" t="s">
        <v>17</v>
      </c>
      <c r="L94" s="232">
        <v>41627.018622685187</v>
      </c>
      <c r="M94" s="232">
        <v>42781.32916666667</v>
      </c>
      <c r="N94">
        <v>89</v>
      </c>
      <c r="O94">
        <v>47.686799999999998</v>
      </c>
      <c r="P94">
        <f t="shared" si="5"/>
        <v>-5</v>
      </c>
    </row>
    <row r="95" spans="1:21" ht="15" x14ac:dyDescent="0.25">
      <c r="A95" t="s">
        <v>812</v>
      </c>
      <c r="B95" t="s">
        <v>813</v>
      </c>
      <c r="C95" t="s">
        <v>814</v>
      </c>
      <c r="D95" t="s">
        <v>60</v>
      </c>
      <c r="E95" s="237" t="str">
        <f>HYPERLINK("http://t.co/hERYzSriWr")</f>
        <v>http://t.co/hERYzSriWr</v>
      </c>
      <c r="F95">
        <v>5802</v>
      </c>
      <c r="G95">
        <v>1917</v>
      </c>
      <c r="H95">
        <f t="shared" si="4"/>
        <v>3.0266040688575901</v>
      </c>
      <c r="I95">
        <v>303</v>
      </c>
      <c r="J95">
        <v>11309</v>
      </c>
      <c r="K95" t="s">
        <v>60</v>
      </c>
      <c r="L95" s="232">
        <v>39813.036724537036</v>
      </c>
      <c r="M95" s="232">
        <v>42782.149131944447</v>
      </c>
      <c r="N95">
        <v>88</v>
      </c>
      <c r="O95">
        <v>54.294800000000002</v>
      </c>
      <c r="P95">
        <f t="shared" si="5"/>
        <v>5</v>
      </c>
      <c r="Q95" t="s">
        <v>815</v>
      </c>
      <c r="R95" t="s">
        <v>488</v>
      </c>
      <c r="S95" t="s">
        <v>816</v>
      </c>
      <c r="T95" t="s">
        <v>817</v>
      </c>
      <c r="U95" t="s">
        <v>818</v>
      </c>
    </row>
    <row r="96" spans="1:21" ht="15" x14ac:dyDescent="0.25">
      <c r="A96" t="s">
        <v>819</v>
      </c>
      <c r="B96" t="s">
        <v>820</v>
      </c>
      <c r="C96" t="s">
        <v>821</v>
      </c>
      <c r="D96" t="s">
        <v>668</v>
      </c>
      <c r="E96" s="237" t="str">
        <f>HYPERLINK("http://t.co/CNuTLMqLXD")</f>
        <v>http://t.co/CNuTLMqLXD</v>
      </c>
      <c r="F96">
        <v>4103</v>
      </c>
      <c r="G96">
        <v>1638</v>
      </c>
      <c r="H96">
        <f t="shared" si="4"/>
        <v>2.5048840048840049</v>
      </c>
      <c r="I96">
        <v>200</v>
      </c>
      <c r="J96">
        <v>3787</v>
      </c>
      <c r="K96" t="s">
        <v>35</v>
      </c>
      <c r="L96" s="232">
        <v>41663.260069444441</v>
      </c>
      <c r="M96" s="232">
        <v>42782.020949074074</v>
      </c>
      <c r="N96">
        <v>91</v>
      </c>
      <c r="O96">
        <v>54.029499999999999</v>
      </c>
      <c r="P96">
        <f t="shared" si="5"/>
        <v>-5</v>
      </c>
    </row>
    <row r="97" spans="1:21" ht="15" x14ac:dyDescent="0.25">
      <c r="A97" t="s">
        <v>822</v>
      </c>
      <c r="B97" t="s">
        <v>823</v>
      </c>
      <c r="F97">
        <v>3</v>
      </c>
      <c r="G97">
        <v>30</v>
      </c>
      <c r="H97">
        <f t="shared" si="4"/>
        <v>0.1</v>
      </c>
      <c r="I97">
        <v>0</v>
      </c>
      <c r="J97">
        <v>0</v>
      </c>
      <c r="L97" s="232">
        <v>42116.169247685182</v>
      </c>
      <c r="N97">
        <v>90</v>
      </c>
      <c r="P97">
        <f t="shared" si="5"/>
        <v>-5</v>
      </c>
    </row>
    <row r="98" spans="1:21" ht="15" x14ac:dyDescent="0.25">
      <c r="A98" t="s">
        <v>824</v>
      </c>
      <c r="B98" t="s">
        <v>825</v>
      </c>
      <c r="F98">
        <v>1</v>
      </c>
      <c r="G98">
        <v>273</v>
      </c>
      <c r="H98">
        <f t="shared" ref="H98:H129" si="6">IFERROR(F98/G98,0)</f>
        <v>3.663003663003663E-3</v>
      </c>
      <c r="I98">
        <v>0</v>
      </c>
      <c r="J98">
        <v>0</v>
      </c>
      <c r="L98" s="232">
        <v>41985.290312500001</v>
      </c>
      <c r="N98">
        <v>102</v>
      </c>
      <c r="P98">
        <f t="shared" ref="P98:P129" si="7">COUNTA(Q98:U98)-COUNTBLANK(Q98:U98)</f>
        <v>-5</v>
      </c>
    </row>
    <row r="99" spans="1:21" ht="15" x14ac:dyDescent="0.25">
      <c r="A99" t="s">
        <v>826</v>
      </c>
      <c r="B99" t="s">
        <v>827</v>
      </c>
      <c r="D99" t="s">
        <v>828</v>
      </c>
      <c r="F99">
        <v>43</v>
      </c>
      <c r="G99">
        <v>675</v>
      </c>
      <c r="H99">
        <f t="shared" si="6"/>
        <v>6.3703703703703707E-2</v>
      </c>
      <c r="I99">
        <v>0</v>
      </c>
      <c r="J99">
        <v>54</v>
      </c>
      <c r="K99" t="s">
        <v>40</v>
      </c>
      <c r="L99" s="232">
        <v>39983.157581018517</v>
      </c>
      <c r="N99">
        <v>103</v>
      </c>
      <c r="O99">
        <v>13.5642</v>
      </c>
      <c r="P99">
        <f t="shared" si="7"/>
        <v>-5</v>
      </c>
    </row>
    <row r="100" spans="1:21" ht="15" x14ac:dyDescent="0.25">
      <c r="A100" t="s">
        <v>829</v>
      </c>
      <c r="B100" t="s">
        <v>830</v>
      </c>
      <c r="C100" t="s">
        <v>831</v>
      </c>
      <c r="E100" s="237" t="str">
        <f>HYPERLINK("https://t.co/K2amVP6eD7")</f>
        <v>https://t.co/K2amVP6eD7</v>
      </c>
      <c r="F100">
        <v>816</v>
      </c>
      <c r="G100">
        <v>93</v>
      </c>
      <c r="H100">
        <f t="shared" si="6"/>
        <v>8.7741935483870961</v>
      </c>
      <c r="I100">
        <v>35</v>
      </c>
      <c r="J100">
        <v>564</v>
      </c>
      <c r="K100" t="s">
        <v>39</v>
      </c>
      <c r="L100" s="232">
        <v>41509.337476851855</v>
      </c>
      <c r="M100" s="232">
        <v>42768.401435185187</v>
      </c>
      <c r="N100">
        <v>100</v>
      </c>
      <c r="O100">
        <v>40.953699999999998</v>
      </c>
      <c r="P100">
        <f t="shared" si="7"/>
        <v>-5</v>
      </c>
    </row>
    <row r="101" spans="1:21" ht="15" x14ac:dyDescent="0.25">
      <c r="A101" t="s">
        <v>832</v>
      </c>
      <c r="B101" t="s">
        <v>833</v>
      </c>
      <c r="C101" t="s">
        <v>834</v>
      </c>
      <c r="D101" t="s">
        <v>835</v>
      </c>
      <c r="E101" s="237" t="str">
        <f>HYPERLINK("http://t.co/5LpXrdyNXe")</f>
        <v>http://t.co/5LpXrdyNXe</v>
      </c>
      <c r="F101">
        <v>1178</v>
      </c>
      <c r="G101">
        <v>1975</v>
      </c>
      <c r="H101">
        <f t="shared" si="6"/>
        <v>0.59645569620253169</v>
      </c>
      <c r="I101">
        <v>26</v>
      </c>
      <c r="J101">
        <v>723</v>
      </c>
      <c r="K101" t="s">
        <v>49</v>
      </c>
      <c r="L101" s="232">
        <v>42038.304166666669</v>
      </c>
      <c r="M101" s="232">
        <v>42780.600254629629</v>
      </c>
      <c r="N101">
        <v>101</v>
      </c>
      <c r="O101">
        <v>37.123100000000001</v>
      </c>
      <c r="P101">
        <f t="shared" si="7"/>
        <v>-5</v>
      </c>
    </row>
    <row r="102" spans="1:21" ht="15" x14ac:dyDescent="0.25">
      <c r="A102" t="s">
        <v>836</v>
      </c>
      <c r="B102" t="s">
        <v>837</v>
      </c>
      <c r="C102" t="s">
        <v>838</v>
      </c>
      <c r="D102" t="s">
        <v>8</v>
      </c>
      <c r="E102" s="237" t="str">
        <f>HYPERLINK("http://t.co/nHCmH1QJuf")</f>
        <v>http://t.co/nHCmH1QJuf</v>
      </c>
      <c r="F102">
        <v>295</v>
      </c>
      <c r="G102">
        <v>1638</v>
      </c>
      <c r="H102">
        <f t="shared" si="6"/>
        <v>0.1800976800976801</v>
      </c>
      <c r="I102">
        <v>7</v>
      </c>
      <c r="J102">
        <v>11</v>
      </c>
      <c r="L102" s="232">
        <v>41150.052511574075</v>
      </c>
      <c r="M102" s="232">
        <v>41916.433125000003</v>
      </c>
      <c r="N102">
        <v>98</v>
      </c>
      <c r="O102">
        <v>18.579000000000001</v>
      </c>
      <c r="P102">
        <f t="shared" si="7"/>
        <v>-5</v>
      </c>
    </row>
    <row r="103" spans="1:21" ht="15" x14ac:dyDescent="0.25">
      <c r="A103" t="s">
        <v>839</v>
      </c>
      <c r="B103" t="s">
        <v>840</v>
      </c>
      <c r="C103" t="s">
        <v>841</v>
      </c>
      <c r="D103" t="s">
        <v>557</v>
      </c>
      <c r="E103" s="237" t="str">
        <f>HYPERLINK("http://t.co/ZYoyR2aHob")</f>
        <v>http://t.co/ZYoyR2aHob</v>
      </c>
      <c r="F103">
        <v>1035</v>
      </c>
      <c r="G103">
        <v>104</v>
      </c>
      <c r="H103">
        <f t="shared" si="6"/>
        <v>9.9519230769230766</v>
      </c>
      <c r="I103">
        <v>25</v>
      </c>
      <c r="J103">
        <v>713</v>
      </c>
      <c r="K103" t="s">
        <v>45</v>
      </c>
      <c r="L103" s="232">
        <v>42072.530023148145</v>
      </c>
      <c r="M103" s="232">
        <v>42768.401354166665</v>
      </c>
      <c r="N103">
        <v>99</v>
      </c>
      <c r="O103">
        <v>42.8919</v>
      </c>
      <c r="P103">
        <f t="shared" si="7"/>
        <v>-5</v>
      </c>
    </row>
    <row r="104" spans="1:21" ht="15" x14ac:dyDescent="0.25">
      <c r="A104" t="s">
        <v>842</v>
      </c>
      <c r="B104" t="s">
        <v>843</v>
      </c>
      <c r="F104">
        <v>21</v>
      </c>
      <c r="G104">
        <v>113</v>
      </c>
      <c r="H104">
        <f t="shared" si="6"/>
        <v>0.18584070796460178</v>
      </c>
      <c r="I104">
        <v>0</v>
      </c>
      <c r="J104">
        <v>0</v>
      </c>
      <c r="L104" s="232">
        <v>42119.491342592592</v>
      </c>
      <c r="N104">
        <v>96</v>
      </c>
      <c r="P104">
        <f t="shared" si="7"/>
        <v>-5</v>
      </c>
    </row>
    <row r="105" spans="1:21" ht="15" x14ac:dyDescent="0.25">
      <c r="A105" t="s">
        <v>844</v>
      </c>
      <c r="B105" t="s">
        <v>845</v>
      </c>
      <c r="C105" t="s">
        <v>846</v>
      </c>
      <c r="D105" t="s">
        <v>557</v>
      </c>
      <c r="E105" s="237" t="str">
        <f>HYPERLINK("http://t.co/WkNiYMLy4H")</f>
        <v>http://t.co/WkNiYMLy4H</v>
      </c>
      <c r="F105">
        <v>308</v>
      </c>
      <c r="G105">
        <v>655</v>
      </c>
      <c r="H105">
        <f t="shared" si="6"/>
        <v>0.47022900763358777</v>
      </c>
      <c r="I105">
        <v>19</v>
      </c>
      <c r="J105">
        <v>650</v>
      </c>
      <c r="K105" t="s">
        <v>8</v>
      </c>
      <c r="L105" s="232">
        <v>39779.626643518517</v>
      </c>
      <c r="M105" s="232">
        <v>42779.050196759257</v>
      </c>
      <c r="N105">
        <v>97</v>
      </c>
      <c r="O105">
        <v>24.293600000000001</v>
      </c>
      <c r="P105">
        <f t="shared" si="7"/>
        <v>-3</v>
      </c>
      <c r="Q105" t="s">
        <v>847</v>
      </c>
    </row>
    <row r="106" spans="1:21" ht="15" x14ac:dyDescent="0.25">
      <c r="A106" t="s">
        <v>848</v>
      </c>
      <c r="B106" t="s">
        <v>849</v>
      </c>
      <c r="C106" t="s">
        <v>850</v>
      </c>
      <c r="D106" t="s">
        <v>629</v>
      </c>
      <c r="F106">
        <v>1545</v>
      </c>
      <c r="G106">
        <v>3814</v>
      </c>
      <c r="H106">
        <f t="shared" si="6"/>
        <v>0.40508652333508127</v>
      </c>
      <c r="I106">
        <v>13</v>
      </c>
      <c r="J106">
        <v>522</v>
      </c>
      <c r="K106" t="s">
        <v>48</v>
      </c>
      <c r="L106" s="232">
        <v>42009.696932870371</v>
      </c>
      <c r="M106" s="232">
        <v>42260.488969907405</v>
      </c>
      <c r="N106">
        <v>110</v>
      </c>
      <c r="O106">
        <v>26.968699999999998</v>
      </c>
      <c r="P106">
        <f t="shared" si="7"/>
        <v>-5</v>
      </c>
    </row>
    <row r="107" spans="1:21" ht="15" x14ac:dyDescent="0.25">
      <c r="A107" t="s">
        <v>851</v>
      </c>
      <c r="B107" t="s">
        <v>852</v>
      </c>
      <c r="C107" t="s">
        <v>853</v>
      </c>
      <c r="D107" t="s">
        <v>854</v>
      </c>
      <c r="E107" s="237" t="str">
        <f>HYPERLINK("http://t.co/HY8bq5vmFT")</f>
        <v>http://t.co/HY8bq5vmFT</v>
      </c>
      <c r="F107">
        <v>9042</v>
      </c>
      <c r="G107">
        <v>6076</v>
      </c>
      <c r="H107">
        <f t="shared" si="6"/>
        <v>1.4881500987491771</v>
      </c>
      <c r="I107">
        <v>234</v>
      </c>
      <c r="J107">
        <v>15428</v>
      </c>
      <c r="K107" t="s">
        <v>49</v>
      </c>
      <c r="L107" s="232">
        <v>39923.200312499997</v>
      </c>
      <c r="M107" s="232">
        <v>42782.189953703702</v>
      </c>
      <c r="N107">
        <v>111</v>
      </c>
      <c r="O107">
        <v>49.173299999999998</v>
      </c>
      <c r="P107">
        <f t="shared" si="7"/>
        <v>5</v>
      </c>
      <c r="Q107" t="s">
        <v>492</v>
      </c>
      <c r="R107" t="s">
        <v>855</v>
      </c>
      <c r="S107" t="s">
        <v>856</v>
      </c>
      <c r="T107" t="s">
        <v>857</v>
      </c>
      <c r="U107" t="s">
        <v>858</v>
      </c>
    </row>
    <row r="108" spans="1:21" ht="15" x14ac:dyDescent="0.25">
      <c r="A108" t="s">
        <v>859</v>
      </c>
      <c r="B108" t="s">
        <v>860</v>
      </c>
      <c r="C108" t="s">
        <v>861</v>
      </c>
      <c r="D108" t="s">
        <v>8</v>
      </c>
      <c r="E108" s="237" t="str">
        <f>HYPERLINK("https://t.co/IRgBrKl2rh")</f>
        <v>https://t.co/IRgBrKl2rh</v>
      </c>
      <c r="F108">
        <v>28466</v>
      </c>
      <c r="G108">
        <v>846</v>
      </c>
      <c r="H108">
        <f t="shared" si="6"/>
        <v>33.64775413711584</v>
      </c>
      <c r="I108">
        <v>1301</v>
      </c>
      <c r="J108">
        <v>20434</v>
      </c>
      <c r="K108" t="s">
        <v>8</v>
      </c>
      <c r="L108" s="232">
        <v>41491.172222222223</v>
      </c>
      <c r="M108" s="232">
        <v>42782.271678240744</v>
      </c>
      <c r="N108">
        <v>108</v>
      </c>
      <c r="O108">
        <v>66.954099999999997</v>
      </c>
      <c r="P108">
        <f t="shared" si="7"/>
        <v>-5</v>
      </c>
    </row>
    <row r="109" spans="1:21" ht="15" x14ac:dyDescent="0.25">
      <c r="A109" t="s">
        <v>862</v>
      </c>
      <c r="B109" t="s">
        <v>863</v>
      </c>
      <c r="C109" t="s">
        <v>864</v>
      </c>
      <c r="E109" s="237" t="str">
        <f>HYPERLINK("http://t.co/WyGPzhMUiR")</f>
        <v>http://t.co/WyGPzhMUiR</v>
      </c>
      <c r="F109">
        <v>8226</v>
      </c>
      <c r="G109">
        <v>6957</v>
      </c>
      <c r="H109">
        <f t="shared" si="6"/>
        <v>1.1824062095730918</v>
      </c>
      <c r="I109">
        <v>165</v>
      </c>
      <c r="J109">
        <v>15651</v>
      </c>
      <c r="K109" t="s">
        <v>97</v>
      </c>
      <c r="L109" s="232">
        <v>40434.317256944443</v>
      </c>
      <c r="M109" s="232">
        <v>42782.272210648145</v>
      </c>
      <c r="N109">
        <v>109</v>
      </c>
      <c r="O109">
        <v>51.1706</v>
      </c>
      <c r="P109">
        <f t="shared" si="7"/>
        <v>5</v>
      </c>
      <c r="Q109" t="s">
        <v>865</v>
      </c>
      <c r="R109" t="s">
        <v>818</v>
      </c>
      <c r="S109" t="s">
        <v>866</v>
      </c>
      <c r="T109" t="s">
        <v>867</v>
      </c>
      <c r="U109" t="s">
        <v>868</v>
      </c>
    </row>
    <row r="110" spans="1:21" ht="15" x14ac:dyDescent="0.25">
      <c r="A110" t="s">
        <v>869</v>
      </c>
      <c r="B110" t="s">
        <v>870</v>
      </c>
      <c r="C110" t="s">
        <v>871</v>
      </c>
      <c r="D110" t="s">
        <v>872</v>
      </c>
      <c r="E110" s="237" t="str">
        <f>HYPERLINK("https://t.co/OjBzoz4TGX")</f>
        <v>https://t.co/OjBzoz4TGX</v>
      </c>
      <c r="F110">
        <v>2942</v>
      </c>
      <c r="G110">
        <v>2951</v>
      </c>
      <c r="H110">
        <f t="shared" si="6"/>
        <v>0.9969501863774991</v>
      </c>
      <c r="I110">
        <v>134</v>
      </c>
      <c r="J110">
        <v>5862</v>
      </c>
      <c r="K110" t="s">
        <v>8</v>
      </c>
      <c r="L110" s="232">
        <v>40213.262754629628</v>
      </c>
      <c r="M110" s="232">
        <v>42781.415613425925</v>
      </c>
      <c r="N110">
        <v>106</v>
      </c>
      <c r="O110">
        <v>45.195900000000002</v>
      </c>
      <c r="P110">
        <f t="shared" si="7"/>
        <v>5</v>
      </c>
      <c r="Q110" t="s">
        <v>488</v>
      </c>
      <c r="R110" t="s">
        <v>873</v>
      </c>
      <c r="S110" t="s">
        <v>874</v>
      </c>
      <c r="T110" t="s">
        <v>875</v>
      </c>
      <c r="U110" t="s">
        <v>876</v>
      </c>
    </row>
    <row r="111" spans="1:21" ht="15" x14ac:dyDescent="0.25">
      <c r="A111" t="s">
        <v>877</v>
      </c>
      <c r="B111" t="s">
        <v>878</v>
      </c>
      <c r="C111" t="s">
        <v>879</v>
      </c>
      <c r="D111" t="s">
        <v>880</v>
      </c>
      <c r="E111" s="237" t="str">
        <f>HYPERLINK("http://t.co/mEEwYlkgnI")</f>
        <v>http://t.co/mEEwYlkgnI</v>
      </c>
      <c r="F111">
        <v>1688</v>
      </c>
      <c r="G111">
        <v>1098</v>
      </c>
      <c r="H111">
        <f t="shared" si="6"/>
        <v>1.5373406193078325</v>
      </c>
      <c r="I111">
        <v>82</v>
      </c>
      <c r="J111">
        <v>2465</v>
      </c>
      <c r="K111" t="s">
        <v>45</v>
      </c>
      <c r="L111" s="232">
        <v>39926.324212962965</v>
      </c>
      <c r="M111" s="232">
        <v>42775.363240740742</v>
      </c>
      <c r="N111">
        <v>107</v>
      </c>
      <c r="O111">
        <v>48.910499999999999</v>
      </c>
      <c r="P111">
        <f t="shared" si="7"/>
        <v>5</v>
      </c>
      <c r="Q111" t="s">
        <v>881</v>
      </c>
      <c r="R111" t="s">
        <v>882</v>
      </c>
      <c r="S111" t="s">
        <v>883</v>
      </c>
      <c r="T111" t="s">
        <v>884</v>
      </c>
      <c r="U111" t="s">
        <v>885</v>
      </c>
    </row>
    <row r="112" spans="1:21" ht="15" x14ac:dyDescent="0.25">
      <c r="A112" t="s">
        <v>886</v>
      </c>
      <c r="B112" t="s">
        <v>887</v>
      </c>
      <c r="C112" t="s">
        <v>888</v>
      </c>
      <c r="D112" t="s">
        <v>31</v>
      </c>
      <c r="F112">
        <v>1937</v>
      </c>
      <c r="G112">
        <v>590</v>
      </c>
      <c r="H112">
        <f t="shared" si="6"/>
        <v>3.283050847457627</v>
      </c>
      <c r="I112">
        <v>30</v>
      </c>
      <c r="J112">
        <v>4924</v>
      </c>
      <c r="K112" t="s">
        <v>48</v>
      </c>
      <c r="L112" s="232">
        <v>40619.282557870371</v>
      </c>
      <c r="M112" s="232">
        <v>42782.230636574073</v>
      </c>
      <c r="N112">
        <v>104</v>
      </c>
      <c r="O112">
        <v>44.695099999999996</v>
      </c>
      <c r="P112">
        <f t="shared" si="7"/>
        <v>-5</v>
      </c>
    </row>
    <row r="113" spans="1:21" ht="15" x14ac:dyDescent="0.25">
      <c r="A113" t="s">
        <v>889</v>
      </c>
      <c r="B113" t="s">
        <v>890</v>
      </c>
      <c r="C113" t="s">
        <v>891</v>
      </c>
      <c r="D113" t="s">
        <v>14</v>
      </c>
      <c r="E113" s="237" t="str">
        <f>HYPERLINK("https://t.co/177fJYUUBM")</f>
        <v>https://t.co/177fJYUUBM</v>
      </c>
      <c r="F113">
        <v>5704</v>
      </c>
      <c r="G113">
        <v>1907</v>
      </c>
      <c r="H113">
        <f t="shared" si="6"/>
        <v>2.9910854745673832</v>
      </c>
      <c r="I113">
        <v>417</v>
      </c>
      <c r="J113">
        <v>18406</v>
      </c>
      <c r="K113" t="s">
        <v>48</v>
      </c>
      <c r="L113" s="232">
        <v>40278.601041666669</v>
      </c>
      <c r="M113" s="232">
        <v>42746.488564814812</v>
      </c>
      <c r="N113">
        <v>105</v>
      </c>
      <c r="O113">
        <v>53.690800000000003</v>
      </c>
      <c r="P113">
        <f t="shared" si="7"/>
        <v>-5</v>
      </c>
    </row>
    <row r="114" spans="1:21" ht="15" x14ac:dyDescent="0.25">
      <c r="A114" t="s">
        <v>892</v>
      </c>
      <c r="B114" t="s">
        <v>893</v>
      </c>
      <c r="C114" t="s">
        <v>894</v>
      </c>
      <c r="D114" t="s">
        <v>668</v>
      </c>
      <c r="E114" s="237" t="str">
        <f>HYPERLINK("http://t.co/S80MfkomVM")</f>
        <v>http://t.co/S80MfkomVM</v>
      </c>
      <c r="F114">
        <v>4544</v>
      </c>
      <c r="G114">
        <v>1307</v>
      </c>
      <c r="H114">
        <f t="shared" si="6"/>
        <v>3.4766641162968632</v>
      </c>
      <c r="I114">
        <v>177</v>
      </c>
      <c r="J114">
        <v>2908</v>
      </c>
      <c r="K114" t="s">
        <v>60</v>
      </c>
      <c r="L114" s="232">
        <v>40241.267187500001</v>
      </c>
      <c r="M114" s="232">
        <v>42782.014050925929</v>
      </c>
      <c r="N114">
        <v>119</v>
      </c>
      <c r="O114">
        <v>47.569400000000002</v>
      </c>
      <c r="P114">
        <f t="shared" si="7"/>
        <v>5</v>
      </c>
      <c r="Q114" t="s">
        <v>895</v>
      </c>
      <c r="R114" t="s">
        <v>896</v>
      </c>
      <c r="S114" t="s">
        <v>590</v>
      </c>
      <c r="T114" t="s">
        <v>776</v>
      </c>
      <c r="U114" t="s">
        <v>488</v>
      </c>
    </row>
    <row r="115" spans="1:21" ht="15" x14ac:dyDescent="0.25">
      <c r="A115" t="s">
        <v>897</v>
      </c>
      <c r="B115" t="s">
        <v>898</v>
      </c>
      <c r="C115" t="s">
        <v>899</v>
      </c>
      <c r="D115" t="s">
        <v>500</v>
      </c>
      <c r="F115">
        <v>119</v>
      </c>
      <c r="G115">
        <v>1239</v>
      </c>
      <c r="H115">
        <f t="shared" si="6"/>
        <v>9.6045197740112997E-2</v>
      </c>
      <c r="I115">
        <v>0</v>
      </c>
      <c r="J115">
        <v>736</v>
      </c>
      <c r="K115" t="s">
        <v>40</v>
      </c>
      <c r="L115" s="232">
        <v>41017.000127314815</v>
      </c>
      <c r="M115" s="232">
        <v>41586.098344907405</v>
      </c>
      <c r="N115">
        <v>118</v>
      </c>
      <c r="O115">
        <v>18.312799999999999</v>
      </c>
      <c r="P115">
        <f t="shared" si="7"/>
        <v>-5</v>
      </c>
    </row>
    <row r="116" spans="1:21" ht="15" x14ac:dyDescent="0.25">
      <c r="A116" t="s">
        <v>900</v>
      </c>
      <c r="B116" t="s">
        <v>901</v>
      </c>
      <c r="C116" t="s">
        <v>902</v>
      </c>
      <c r="D116" t="s">
        <v>903</v>
      </c>
      <c r="E116" s="237" t="str">
        <f>HYPERLINK("http://t.co/K1q0toIOAa")</f>
        <v>http://t.co/K1q0toIOAa</v>
      </c>
      <c r="F116">
        <v>10460</v>
      </c>
      <c r="G116">
        <v>3009</v>
      </c>
      <c r="H116">
        <f t="shared" si="6"/>
        <v>3.4762379528082419</v>
      </c>
      <c r="I116">
        <v>281</v>
      </c>
      <c r="J116">
        <v>7464</v>
      </c>
      <c r="K116" t="s">
        <v>45</v>
      </c>
      <c r="L116" s="232">
        <v>39993.283599537041</v>
      </c>
      <c r="M116" s="232">
        <v>42781.56790509259</v>
      </c>
      <c r="N116">
        <v>117</v>
      </c>
      <c r="O116">
        <v>55.674599999999998</v>
      </c>
      <c r="P116">
        <f t="shared" si="7"/>
        <v>5</v>
      </c>
      <c r="Q116" t="s">
        <v>492</v>
      </c>
      <c r="R116" t="s">
        <v>904</v>
      </c>
      <c r="S116" t="s">
        <v>905</v>
      </c>
      <c r="T116" t="s">
        <v>906</v>
      </c>
      <c r="U116" t="s">
        <v>907</v>
      </c>
    </row>
    <row r="117" spans="1:21" ht="15" x14ac:dyDescent="0.25">
      <c r="A117" t="s">
        <v>908</v>
      </c>
      <c r="B117" t="s">
        <v>909</v>
      </c>
      <c r="C117" t="s">
        <v>910</v>
      </c>
      <c r="D117" t="s">
        <v>911</v>
      </c>
      <c r="E117" s="237" t="str">
        <f>HYPERLINK("http://t.co/pJ5gD6mReP")</f>
        <v>http://t.co/pJ5gD6mReP</v>
      </c>
      <c r="F117">
        <v>199</v>
      </c>
      <c r="G117">
        <v>773</v>
      </c>
      <c r="H117">
        <f t="shared" si="6"/>
        <v>0.25743855109961189</v>
      </c>
      <c r="I117">
        <v>3</v>
      </c>
      <c r="J117">
        <v>41</v>
      </c>
      <c r="K117" t="s">
        <v>48</v>
      </c>
      <c r="L117" s="232">
        <v>41985.336701388886</v>
      </c>
      <c r="M117" s="232">
        <v>42748.024097222224</v>
      </c>
      <c r="N117">
        <v>116</v>
      </c>
      <c r="O117">
        <v>24.4953</v>
      </c>
      <c r="P117">
        <f t="shared" si="7"/>
        <v>-5</v>
      </c>
    </row>
    <row r="118" spans="1:21" ht="15" x14ac:dyDescent="0.25">
      <c r="A118" t="s">
        <v>912</v>
      </c>
      <c r="B118" t="s">
        <v>913</v>
      </c>
      <c r="F118">
        <v>16</v>
      </c>
      <c r="G118">
        <v>50</v>
      </c>
      <c r="H118">
        <f t="shared" si="6"/>
        <v>0.32</v>
      </c>
      <c r="I118">
        <v>0</v>
      </c>
      <c r="J118">
        <v>1</v>
      </c>
      <c r="L118" s="232">
        <v>41713.294583333336</v>
      </c>
      <c r="M118" s="232">
        <v>41713.294583333336</v>
      </c>
      <c r="N118">
        <v>115</v>
      </c>
      <c r="O118">
        <v>10</v>
      </c>
      <c r="P118">
        <f t="shared" si="7"/>
        <v>-5</v>
      </c>
    </row>
    <row r="119" spans="1:21" ht="15" x14ac:dyDescent="0.25">
      <c r="A119" t="s">
        <v>914</v>
      </c>
      <c r="B119" t="s">
        <v>915</v>
      </c>
      <c r="C119" t="s">
        <v>916</v>
      </c>
      <c r="D119" t="s">
        <v>917</v>
      </c>
      <c r="F119">
        <v>599</v>
      </c>
      <c r="G119">
        <v>1626</v>
      </c>
      <c r="H119">
        <f t="shared" si="6"/>
        <v>0.36838868388683887</v>
      </c>
      <c r="I119">
        <v>12</v>
      </c>
      <c r="J119">
        <v>266</v>
      </c>
      <c r="K119" t="s">
        <v>48</v>
      </c>
      <c r="L119" s="232">
        <v>41110.892569444448</v>
      </c>
      <c r="M119" s="232">
        <v>42697.006909722222</v>
      </c>
      <c r="N119">
        <v>114</v>
      </c>
      <c r="O119">
        <v>23.248000000000001</v>
      </c>
      <c r="P119">
        <f t="shared" si="7"/>
        <v>-1</v>
      </c>
      <c r="Q119" t="s">
        <v>918</v>
      </c>
      <c r="R119" t="s">
        <v>919</v>
      </c>
    </row>
    <row r="120" spans="1:21" ht="15" x14ac:dyDescent="0.25">
      <c r="A120" t="s">
        <v>920</v>
      </c>
      <c r="B120" t="s">
        <v>921</v>
      </c>
      <c r="C120" t="s">
        <v>922</v>
      </c>
      <c r="E120" s="237" t="str">
        <f>HYPERLINK("https://t.co/hAfqTTl1gu")</f>
        <v>https://t.co/hAfqTTl1gu</v>
      </c>
      <c r="F120">
        <v>214</v>
      </c>
      <c r="G120">
        <v>162</v>
      </c>
      <c r="H120">
        <f t="shared" si="6"/>
        <v>1.3209876543209877</v>
      </c>
      <c r="I120">
        <v>3</v>
      </c>
      <c r="J120">
        <v>566</v>
      </c>
      <c r="L120" s="232">
        <v>41761.174641203703</v>
      </c>
      <c r="M120" s="232">
        <v>42775.383946759262</v>
      </c>
      <c r="N120">
        <v>113</v>
      </c>
      <c r="O120">
        <v>29.661200000000001</v>
      </c>
      <c r="P120">
        <f t="shared" si="7"/>
        <v>-5</v>
      </c>
    </row>
    <row r="121" spans="1:21" ht="15" x14ac:dyDescent="0.25">
      <c r="A121" t="s">
        <v>923</v>
      </c>
      <c r="B121" t="s">
        <v>924</v>
      </c>
      <c r="C121" t="s">
        <v>925</v>
      </c>
      <c r="D121" t="s">
        <v>60</v>
      </c>
      <c r="F121">
        <v>393</v>
      </c>
      <c r="G121">
        <v>965</v>
      </c>
      <c r="H121">
        <f t="shared" si="6"/>
        <v>0.40725388601036272</v>
      </c>
      <c r="I121">
        <v>16</v>
      </c>
      <c r="J121">
        <v>275</v>
      </c>
      <c r="K121" t="s">
        <v>39</v>
      </c>
      <c r="L121" s="232">
        <v>40022.052337962959</v>
      </c>
      <c r="M121" s="232">
        <v>42754.114861111113</v>
      </c>
      <c r="N121">
        <v>112</v>
      </c>
      <c r="O121">
        <v>30.839200000000002</v>
      </c>
      <c r="P121">
        <f t="shared" si="7"/>
        <v>-5</v>
      </c>
    </row>
    <row r="122" spans="1:21" ht="15" x14ac:dyDescent="0.25">
      <c r="A122" t="s">
        <v>926</v>
      </c>
      <c r="B122" t="s">
        <v>927</v>
      </c>
      <c r="C122" t="s">
        <v>928</v>
      </c>
      <c r="F122">
        <v>380</v>
      </c>
      <c r="G122">
        <v>1041</v>
      </c>
      <c r="H122">
        <f t="shared" si="6"/>
        <v>0.36503362151777136</v>
      </c>
      <c r="I122">
        <v>2</v>
      </c>
      <c r="J122">
        <v>912</v>
      </c>
      <c r="L122" s="232">
        <v>41311.44121527778</v>
      </c>
      <c r="M122" s="232">
        <v>42780.399722222224</v>
      </c>
      <c r="N122">
        <v>127</v>
      </c>
      <c r="O122">
        <v>36.551200000000001</v>
      </c>
      <c r="P122">
        <f t="shared" si="7"/>
        <v>-5</v>
      </c>
    </row>
    <row r="123" spans="1:21" ht="15" x14ac:dyDescent="0.25">
      <c r="A123" t="s">
        <v>929</v>
      </c>
      <c r="B123" t="s">
        <v>930</v>
      </c>
      <c r="C123" t="s">
        <v>931</v>
      </c>
      <c r="E123" s="237" t="str">
        <f>HYPERLINK("http://t.co/frJbJXza7i")</f>
        <v>http://t.co/frJbJXza7i</v>
      </c>
      <c r="F123">
        <v>465</v>
      </c>
      <c r="G123">
        <v>2008</v>
      </c>
      <c r="H123">
        <f t="shared" si="6"/>
        <v>0.23157370517928286</v>
      </c>
      <c r="I123">
        <v>6</v>
      </c>
      <c r="J123">
        <v>786</v>
      </c>
      <c r="K123" t="s">
        <v>7</v>
      </c>
      <c r="L123" s="232">
        <v>41589.092581018522</v>
      </c>
      <c r="M123" s="232">
        <v>42753.102997685186</v>
      </c>
      <c r="N123">
        <v>126</v>
      </c>
      <c r="O123">
        <v>26.835599999999999</v>
      </c>
      <c r="P123">
        <f t="shared" si="7"/>
        <v>-5</v>
      </c>
    </row>
    <row r="124" spans="1:21" ht="15" x14ac:dyDescent="0.25">
      <c r="A124" t="s">
        <v>932</v>
      </c>
      <c r="B124" t="s">
        <v>933</v>
      </c>
      <c r="C124" t="s">
        <v>934</v>
      </c>
      <c r="D124" t="s">
        <v>935</v>
      </c>
      <c r="E124" s="237" t="str">
        <f>HYPERLINK("http://t.co/VBqnSkKLQh")</f>
        <v>http://t.co/VBqnSkKLQh</v>
      </c>
      <c r="F124">
        <v>491</v>
      </c>
      <c r="G124">
        <v>828</v>
      </c>
      <c r="H124">
        <f t="shared" si="6"/>
        <v>0.59299516908212557</v>
      </c>
      <c r="I124">
        <v>36</v>
      </c>
      <c r="J124">
        <v>1402</v>
      </c>
      <c r="K124" t="s">
        <v>25</v>
      </c>
      <c r="L124" s="232">
        <v>40115.452511574076</v>
      </c>
      <c r="M124" s="232">
        <v>42780.283252314817</v>
      </c>
      <c r="N124">
        <v>125</v>
      </c>
      <c r="O124">
        <v>48.834899999999998</v>
      </c>
      <c r="P124">
        <f t="shared" si="7"/>
        <v>3</v>
      </c>
      <c r="Q124" t="s">
        <v>936</v>
      </c>
      <c r="R124" t="s">
        <v>937</v>
      </c>
      <c r="S124" t="s">
        <v>938</v>
      </c>
      <c r="T124" t="s">
        <v>671</v>
      </c>
    </row>
    <row r="125" spans="1:21" ht="15" x14ac:dyDescent="0.25">
      <c r="A125" t="s">
        <v>939</v>
      </c>
      <c r="B125" t="s">
        <v>940</v>
      </c>
      <c r="C125" t="s">
        <v>941</v>
      </c>
      <c r="F125">
        <v>195</v>
      </c>
      <c r="G125">
        <v>440</v>
      </c>
      <c r="H125">
        <f t="shared" si="6"/>
        <v>0.44318181818181818</v>
      </c>
      <c r="I125">
        <v>3</v>
      </c>
      <c r="J125">
        <v>846</v>
      </c>
      <c r="K125" t="s">
        <v>17</v>
      </c>
      <c r="L125" s="232">
        <v>41467.318379629629</v>
      </c>
      <c r="M125" s="232">
        <v>42781.305208333331</v>
      </c>
      <c r="N125">
        <v>124</v>
      </c>
      <c r="O125">
        <v>18.226400000000002</v>
      </c>
      <c r="P125">
        <f t="shared" si="7"/>
        <v>-5</v>
      </c>
    </row>
    <row r="126" spans="1:21" ht="15" x14ac:dyDescent="0.25">
      <c r="A126" t="s">
        <v>942</v>
      </c>
      <c r="B126" t="s">
        <v>943</v>
      </c>
      <c r="C126" t="s">
        <v>944</v>
      </c>
      <c r="D126" t="s">
        <v>668</v>
      </c>
      <c r="E126" s="237" t="str">
        <f>HYPERLINK("http://t.co/X3scgriKyJ")</f>
        <v>http://t.co/X3scgriKyJ</v>
      </c>
      <c r="F126">
        <v>1466</v>
      </c>
      <c r="G126">
        <v>578</v>
      </c>
      <c r="H126">
        <f t="shared" si="6"/>
        <v>2.5363321799307958</v>
      </c>
      <c r="I126">
        <v>55</v>
      </c>
      <c r="J126">
        <v>822</v>
      </c>
      <c r="K126" t="s">
        <v>60</v>
      </c>
      <c r="L126" s="232">
        <v>40842.380949074075</v>
      </c>
      <c r="M126" s="232">
        <v>42780.315729166665</v>
      </c>
      <c r="N126">
        <v>123</v>
      </c>
      <c r="O126">
        <v>43.253700000000002</v>
      </c>
      <c r="P126">
        <f t="shared" si="7"/>
        <v>5</v>
      </c>
      <c r="Q126" t="s">
        <v>945</v>
      </c>
      <c r="R126" t="s">
        <v>946</v>
      </c>
      <c r="S126" t="s">
        <v>947</v>
      </c>
      <c r="T126" t="s">
        <v>948</v>
      </c>
      <c r="U126" t="s">
        <v>866</v>
      </c>
    </row>
    <row r="127" spans="1:21" ht="15" x14ac:dyDescent="0.25">
      <c r="A127" t="s">
        <v>949</v>
      </c>
      <c r="B127" t="s">
        <v>950</v>
      </c>
      <c r="C127" t="s">
        <v>951</v>
      </c>
      <c r="D127" t="s">
        <v>629</v>
      </c>
      <c r="F127">
        <v>2080</v>
      </c>
      <c r="G127">
        <v>886</v>
      </c>
      <c r="H127">
        <f t="shared" si="6"/>
        <v>2.3476297968397293</v>
      </c>
      <c r="I127">
        <v>97</v>
      </c>
      <c r="J127">
        <v>13863</v>
      </c>
      <c r="K127" t="s">
        <v>50</v>
      </c>
      <c r="L127" s="232">
        <v>39856.3046412037</v>
      </c>
      <c r="M127" s="232">
        <v>42175.582395833335</v>
      </c>
      <c r="N127">
        <v>122</v>
      </c>
      <c r="O127">
        <v>33.114800000000002</v>
      </c>
      <c r="P127">
        <f t="shared" si="7"/>
        <v>-5</v>
      </c>
    </row>
    <row r="128" spans="1:21" ht="15" x14ac:dyDescent="0.25">
      <c r="A128" t="s">
        <v>952</v>
      </c>
      <c r="B128" t="s">
        <v>953</v>
      </c>
      <c r="E128" s="237" t="str">
        <f>HYPERLINK("http://t.co/t2MSOLW8et")</f>
        <v>http://t.co/t2MSOLW8et</v>
      </c>
      <c r="F128">
        <v>53127</v>
      </c>
      <c r="G128">
        <v>5105</v>
      </c>
      <c r="H128">
        <f t="shared" si="6"/>
        <v>10.406856023506366</v>
      </c>
      <c r="I128">
        <v>4</v>
      </c>
      <c r="J128">
        <v>50</v>
      </c>
      <c r="K128" t="s">
        <v>35</v>
      </c>
      <c r="L128" s="232">
        <v>41673.735277777778</v>
      </c>
      <c r="M128" s="232">
        <v>42577.046527777777</v>
      </c>
      <c r="N128">
        <v>121</v>
      </c>
      <c r="O128">
        <v>32.541600000000003</v>
      </c>
      <c r="P128">
        <f t="shared" si="7"/>
        <v>-5</v>
      </c>
    </row>
    <row r="129" spans="1:21" ht="15" x14ac:dyDescent="0.25">
      <c r="A129" t="s">
        <v>954</v>
      </c>
      <c r="B129" t="s">
        <v>955</v>
      </c>
      <c r="C129" t="s">
        <v>956</v>
      </c>
      <c r="D129" t="s">
        <v>957</v>
      </c>
      <c r="F129">
        <v>33</v>
      </c>
      <c r="G129">
        <v>151</v>
      </c>
      <c r="H129">
        <f t="shared" si="6"/>
        <v>0.2185430463576159</v>
      </c>
      <c r="I129">
        <v>1</v>
      </c>
      <c r="J129">
        <v>206</v>
      </c>
      <c r="K129" t="s">
        <v>20</v>
      </c>
      <c r="L129" s="232">
        <v>40820.274421296293</v>
      </c>
      <c r="M129" s="232">
        <v>41930.134884259256</v>
      </c>
      <c r="N129">
        <v>120</v>
      </c>
      <c r="O129">
        <v>13.1648</v>
      </c>
      <c r="P129">
        <f t="shared" si="7"/>
        <v>-5</v>
      </c>
    </row>
    <row r="130" spans="1:21" ht="15" x14ac:dyDescent="0.25">
      <c r="A130" t="s">
        <v>958</v>
      </c>
      <c r="B130" t="s">
        <v>958</v>
      </c>
      <c r="C130" t="s">
        <v>959</v>
      </c>
      <c r="D130" t="s">
        <v>668</v>
      </c>
      <c r="E130" s="237" t="str">
        <f>HYPERLINK("https://t.co/eVUaxHWu44")</f>
        <v>https://t.co/eVUaxHWu44</v>
      </c>
      <c r="F130">
        <v>85182</v>
      </c>
      <c r="G130">
        <v>20448</v>
      </c>
      <c r="H130">
        <f t="shared" ref="H130:H161" si="8">IFERROR(F130/G130,0)</f>
        <v>4.165786384976526</v>
      </c>
      <c r="I130">
        <v>1511</v>
      </c>
      <c r="J130">
        <v>22359</v>
      </c>
      <c r="K130" t="s">
        <v>60</v>
      </c>
      <c r="L130" s="232">
        <v>40911.161828703705</v>
      </c>
      <c r="M130" s="232">
        <v>42782.222118055557</v>
      </c>
      <c r="N130">
        <v>137</v>
      </c>
      <c r="O130">
        <v>81.977900000000005</v>
      </c>
      <c r="P130">
        <f t="shared" ref="P130:P161" si="9">COUNTA(Q130:U130)-COUNTBLANK(Q130:U130)</f>
        <v>5</v>
      </c>
      <c r="Q130" t="s">
        <v>493</v>
      </c>
      <c r="R130" t="s">
        <v>960</v>
      </c>
      <c r="S130" t="s">
        <v>857</v>
      </c>
      <c r="T130" t="s">
        <v>961</v>
      </c>
      <c r="U130" t="s">
        <v>962</v>
      </c>
    </row>
    <row r="131" spans="1:21" ht="15" x14ac:dyDescent="0.25">
      <c r="A131" t="s">
        <v>963</v>
      </c>
      <c r="B131" t="s">
        <v>964</v>
      </c>
      <c r="C131" t="s">
        <v>965</v>
      </c>
      <c r="E131" s="237" t="str">
        <f>HYPERLINK("http://t.co/ejdd1IFeQI")</f>
        <v>http://t.co/ejdd1IFeQI</v>
      </c>
      <c r="F131">
        <v>5661</v>
      </c>
      <c r="G131">
        <v>141</v>
      </c>
      <c r="H131">
        <f t="shared" si="8"/>
        <v>40.148936170212764</v>
      </c>
      <c r="I131">
        <v>196</v>
      </c>
      <c r="J131">
        <v>836</v>
      </c>
      <c r="L131" s="232">
        <v>40801.255104166667</v>
      </c>
      <c r="M131" s="232">
        <v>42779.250023148146</v>
      </c>
      <c r="N131">
        <v>136</v>
      </c>
      <c r="O131">
        <v>47.219200000000001</v>
      </c>
      <c r="P131">
        <f t="shared" si="9"/>
        <v>5</v>
      </c>
      <c r="Q131" t="s">
        <v>966</v>
      </c>
      <c r="R131" t="s">
        <v>967</v>
      </c>
      <c r="S131" t="s">
        <v>488</v>
      </c>
      <c r="T131" t="s">
        <v>968</v>
      </c>
      <c r="U131" t="s">
        <v>969</v>
      </c>
    </row>
    <row r="132" spans="1:21" ht="15" x14ac:dyDescent="0.25">
      <c r="A132" t="s">
        <v>970</v>
      </c>
      <c r="B132" t="s">
        <v>971</v>
      </c>
      <c r="C132" t="s">
        <v>972</v>
      </c>
      <c r="D132" t="s">
        <v>973</v>
      </c>
      <c r="E132" s="237" t="str">
        <f>HYPERLINK("http://t.co/AXw0PH6I3K")</f>
        <v>http://t.co/AXw0PH6I3K</v>
      </c>
      <c r="F132">
        <v>1886</v>
      </c>
      <c r="G132">
        <v>1348</v>
      </c>
      <c r="H132">
        <f t="shared" si="8"/>
        <v>1.3991097922848665</v>
      </c>
      <c r="I132">
        <v>41</v>
      </c>
      <c r="J132">
        <v>774</v>
      </c>
      <c r="K132" t="s">
        <v>82</v>
      </c>
      <c r="L132" s="232">
        <v>41583.99554398148</v>
      </c>
      <c r="M132" s="232">
        <v>42776.037974537037</v>
      </c>
      <c r="N132">
        <v>139</v>
      </c>
      <c r="O132">
        <v>41.7378</v>
      </c>
      <c r="P132">
        <f t="shared" si="9"/>
        <v>-5</v>
      </c>
    </row>
    <row r="133" spans="1:21" ht="15" x14ac:dyDescent="0.25">
      <c r="A133" t="s">
        <v>974</v>
      </c>
      <c r="B133" t="s">
        <v>975</v>
      </c>
      <c r="C133" t="s">
        <v>976</v>
      </c>
      <c r="F133">
        <v>91</v>
      </c>
      <c r="G133">
        <v>669</v>
      </c>
      <c r="H133">
        <f t="shared" si="8"/>
        <v>0.13602391629297458</v>
      </c>
      <c r="I133">
        <v>4</v>
      </c>
      <c r="J133">
        <v>812</v>
      </c>
      <c r="K133" t="s">
        <v>35</v>
      </c>
      <c r="L133" s="232">
        <v>41436.041145833333</v>
      </c>
      <c r="M133" s="232">
        <v>42765.938240740739</v>
      </c>
      <c r="N133">
        <v>138</v>
      </c>
      <c r="O133">
        <v>20.004899999999999</v>
      </c>
      <c r="P133">
        <f t="shared" si="9"/>
        <v>-5</v>
      </c>
    </row>
    <row r="134" spans="1:21" ht="15" x14ac:dyDescent="0.25">
      <c r="A134" t="s">
        <v>977</v>
      </c>
      <c r="B134" t="s">
        <v>978</v>
      </c>
      <c r="C134" t="s">
        <v>979</v>
      </c>
      <c r="D134" t="s">
        <v>668</v>
      </c>
      <c r="E134" s="237" t="str">
        <f>HYPERLINK("http://t.co/vJ1Pu2DO0F")</f>
        <v>http://t.co/vJ1Pu2DO0F</v>
      </c>
      <c r="F134">
        <v>210157</v>
      </c>
      <c r="G134">
        <v>63054</v>
      </c>
      <c r="H134">
        <f t="shared" si="8"/>
        <v>3.3329685666254321</v>
      </c>
      <c r="I134">
        <v>4656</v>
      </c>
      <c r="J134">
        <v>27549</v>
      </c>
      <c r="K134" t="s">
        <v>60</v>
      </c>
      <c r="L134" s="232">
        <v>39841.189988425926</v>
      </c>
      <c r="M134" s="232">
        <v>42782.234918981485</v>
      </c>
      <c r="N134">
        <v>141</v>
      </c>
      <c r="O134">
        <v>70.584299999999999</v>
      </c>
      <c r="P134">
        <f t="shared" si="9"/>
        <v>5</v>
      </c>
      <c r="Q134" t="s">
        <v>895</v>
      </c>
      <c r="R134" t="s">
        <v>488</v>
      </c>
      <c r="S134" t="s">
        <v>980</v>
      </c>
      <c r="T134" t="s">
        <v>981</v>
      </c>
      <c r="U134" t="s">
        <v>492</v>
      </c>
    </row>
    <row r="135" spans="1:21" ht="15" x14ac:dyDescent="0.25">
      <c r="A135" t="s">
        <v>982</v>
      </c>
      <c r="B135" t="s">
        <v>983</v>
      </c>
      <c r="C135" t="s">
        <v>984</v>
      </c>
      <c r="D135" t="s">
        <v>985</v>
      </c>
      <c r="F135">
        <v>430</v>
      </c>
      <c r="G135">
        <v>487</v>
      </c>
      <c r="H135">
        <f t="shared" si="8"/>
        <v>0.88295687885010266</v>
      </c>
      <c r="I135">
        <v>8</v>
      </c>
      <c r="J135">
        <v>3044</v>
      </c>
      <c r="L135" s="232">
        <v>41325.876643518517</v>
      </c>
      <c r="M135" s="232">
        <v>42781.661064814813</v>
      </c>
      <c r="N135">
        <v>140</v>
      </c>
      <c r="O135">
        <v>40.7836</v>
      </c>
      <c r="P135">
        <f t="shared" si="9"/>
        <v>-5</v>
      </c>
    </row>
    <row r="136" spans="1:21" ht="15" x14ac:dyDescent="0.25">
      <c r="A136" t="s">
        <v>986</v>
      </c>
      <c r="B136" t="s">
        <v>987</v>
      </c>
      <c r="F136">
        <v>50</v>
      </c>
      <c r="G136">
        <v>103</v>
      </c>
      <c r="H136">
        <f t="shared" si="8"/>
        <v>0.4854368932038835</v>
      </c>
      <c r="I136">
        <v>0</v>
      </c>
      <c r="J136">
        <v>160</v>
      </c>
      <c r="L136" s="232">
        <v>41323.092175925929</v>
      </c>
      <c r="M136" s="232">
        <v>42775.043634259258</v>
      </c>
      <c r="N136">
        <v>143</v>
      </c>
      <c r="O136">
        <v>13.5678</v>
      </c>
      <c r="P136">
        <f t="shared" si="9"/>
        <v>-5</v>
      </c>
    </row>
    <row r="137" spans="1:21" ht="15" x14ac:dyDescent="0.25">
      <c r="A137" t="s">
        <v>988</v>
      </c>
      <c r="B137" t="s">
        <v>989</v>
      </c>
      <c r="C137" t="s">
        <v>990</v>
      </c>
      <c r="D137" t="s">
        <v>991</v>
      </c>
      <c r="E137" s="237" t="str">
        <f>HYPERLINK("https://t.co/n4cSVFnLz9")</f>
        <v>https://t.co/n4cSVFnLz9</v>
      </c>
      <c r="F137">
        <v>4334</v>
      </c>
      <c r="G137">
        <v>3832</v>
      </c>
      <c r="H137">
        <f t="shared" si="8"/>
        <v>1.1310020876826723</v>
      </c>
      <c r="I137">
        <v>124</v>
      </c>
      <c r="J137">
        <v>3038</v>
      </c>
      <c r="K137" t="s">
        <v>17</v>
      </c>
      <c r="L137" s="232">
        <v>40352.104143518518</v>
      </c>
      <c r="M137" s="232">
        <v>42782.10596064815</v>
      </c>
      <c r="N137">
        <v>142</v>
      </c>
      <c r="O137">
        <v>46.878999999999998</v>
      </c>
      <c r="P137">
        <f t="shared" si="9"/>
        <v>-5</v>
      </c>
    </row>
    <row r="138" spans="1:21" ht="15" x14ac:dyDescent="0.25">
      <c r="A138" t="s">
        <v>992</v>
      </c>
      <c r="B138" t="s">
        <v>993</v>
      </c>
      <c r="C138" t="s">
        <v>994</v>
      </c>
      <c r="F138">
        <v>185</v>
      </c>
      <c r="G138">
        <v>1959</v>
      </c>
      <c r="H138">
        <f t="shared" si="8"/>
        <v>9.4435936702399179E-2</v>
      </c>
      <c r="I138">
        <v>4</v>
      </c>
      <c r="J138">
        <v>488</v>
      </c>
      <c r="K138" t="s">
        <v>8</v>
      </c>
      <c r="L138" s="232">
        <v>41714.551990740743</v>
      </c>
      <c r="M138" s="232">
        <v>42409.010034722225</v>
      </c>
      <c r="N138">
        <v>129</v>
      </c>
      <c r="O138">
        <v>21.786899999999999</v>
      </c>
      <c r="P138">
        <f t="shared" si="9"/>
        <v>-5</v>
      </c>
    </row>
    <row r="139" spans="1:21" ht="15" x14ac:dyDescent="0.25">
      <c r="A139" t="s">
        <v>995</v>
      </c>
      <c r="B139" t="s">
        <v>996</v>
      </c>
      <c r="C139" t="s">
        <v>997</v>
      </c>
      <c r="D139" t="s">
        <v>998</v>
      </c>
      <c r="E139" s="237" t="str">
        <f>HYPERLINK("http://t.co/wNFjXSyzs4")</f>
        <v>http://t.co/wNFjXSyzs4</v>
      </c>
      <c r="F139">
        <v>482</v>
      </c>
      <c r="G139">
        <v>2089</v>
      </c>
      <c r="H139">
        <f t="shared" si="8"/>
        <v>0.23073240785064625</v>
      </c>
      <c r="I139">
        <v>13</v>
      </c>
      <c r="J139">
        <v>2156</v>
      </c>
      <c r="K139" t="s">
        <v>83</v>
      </c>
      <c r="L139" s="232">
        <v>40614.643148148149</v>
      </c>
      <c r="M139" s="232">
        <v>42741.217210648145</v>
      </c>
      <c r="N139">
        <v>128</v>
      </c>
      <c r="O139">
        <v>26.744700000000002</v>
      </c>
      <c r="P139">
        <f t="shared" si="9"/>
        <v>3</v>
      </c>
      <c r="Q139" t="s">
        <v>559</v>
      </c>
      <c r="R139" t="s">
        <v>999</v>
      </c>
      <c r="S139" t="s">
        <v>488</v>
      </c>
      <c r="T139" t="s">
        <v>999</v>
      </c>
    </row>
    <row r="140" spans="1:21" ht="15" x14ac:dyDescent="0.25">
      <c r="A140" t="s">
        <v>1000</v>
      </c>
      <c r="B140" t="s">
        <v>1001</v>
      </c>
      <c r="F140">
        <v>61</v>
      </c>
      <c r="G140">
        <v>298</v>
      </c>
      <c r="H140">
        <f t="shared" si="8"/>
        <v>0.20469798657718122</v>
      </c>
      <c r="I140">
        <v>2</v>
      </c>
      <c r="J140">
        <v>661</v>
      </c>
      <c r="L140" s="232">
        <v>41692.053622685184</v>
      </c>
      <c r="M140" s="232">
        <v>42779.2109837963</v>
      </c>
      <c r="N140">
        <v>131</v>
      </c>
      <c r="O140">
        <v>15.7523</v>
      </c>
      <c r="P140">
        <f t="shared" si="9"/>
        <v>-5</v>
      </c>
    </row>
    <row r="141" spans="1:21" ht="15" x14ac:dyDescent="0.25">
      <c r="A141" t="s">
        <v>1002</v>
      </c>
      <c r="B141" t="s">
        <v>1002</v>
      </c>
      <c r="F141">
        <v>22</v>
      </c>
      <c r="G141">
        <v>201</v>
      </c>
      <c r="H141">
        <f t="shared" si="8"/>
        <v>0.10945273631840796</v>
      </c>
      <c r="I141">
        <v>0</v>
      </c>
      <c r="J141">
        <v>36</v>
      </c>
      <c r="L141" s="232">
        <v>41503.273113425923</v>
      </c>
      <c r="M141" s="232">
        <v>42132.043946759259</v>
      </c>
      <c r="N141">
        <v>130</v>
      </c>
      <c r="O141">
        <v>12.209899999999999</v>
      </c>
      <c r="P141">
        <f t="shared" si="9"/>
        <v>-5</v>
      </c>
    </row>
    <row r="142" spans="1:21" ht="15" x14ac:dyDescent="0.25">
      <c r="A142" t="s">
        <v>1003</v>
      </c>
      <c r="B142" t="s">
        <v>1004</v>
      </c>
      <c r="C142" t="s">
        <v>1005</v>
      </c>
      <c r="D142" t="s">
        <v>1006</v>
      </c>
      <c r="E142" s="237" t="str">
        <f>HYPERLINK("http://t.co/10LuFiIPWP")</f>
        <v>http://t.co/10LuFiIPWP</v>
      </c>
      <c r="F142">
        <v>891</v>
      </c>
      <c r="G142">
        <v>1368</v>
      </c>
      <c r="H142">
        <f t="shared" si="8"/>
        <v>0.65131578947368418</v>
      </c>
      <c r="I142">
        <v>318</v>
      </c>
      <c r="J142">
        <v>2135</v>
      </c>
      <c r="K142" t="s">
        <v>17</v>
      </c>
      <c r="L142" s="232">
        <v>41220.299259259256</v>
      </c>
      <c r="M142" s="232">
        <v>42782.170416666668</v>
      </c>
      <c r="N142">
        <v>133</v>
      </c>
      <c r="O142">
        <v>47.710099999999997</v>
      </c>
      <c r="P142">
        <f t="shared" si="9"/>
        <v>-5</v>
      </c>
    </row>
    <row r="143" spans="1:21" ht="15" x14ac:dyDescent="0.25">
      <c r="A143" t="s">
        <v>1007</v>
      </c>
      <c r="B143" t="s">
        <v>1008</v>
      </c>
      <c r="C143" t="s">
        <v>1009</v>
      </c>
      <c r="D143" t="s">
        <v>8</v>
      </c>
      <c r="F143">
        <v>1844</v>
      </c>
      <c r="G143">
        <v>762</v>
      </c>
      <c r="H143">
        <f t="shared" si="8"/>
        <v>2.4199475065616798</v>
      </c>
      <c r="I143">
        <v>101</v>
      </c>
      <c r="J143">
        <v>3158</v>
      </c>
      <c r="L143" s="232">
        <v>40711.294479166667</v>
      </c>
      <c r="M143" s="232">
        <v>42782.19090277778</v>
      </c>
      <c r="N143">
        <v>132</v>
      </c>
      <c r="O143">
        <v>46.4191</v>
      </c>
      <c r="P143">
        <f t="shared" si="9"/>
        <v>1</v>
      </c>
      <c r="Q143" t="s">
        <v>1010</v>
      </c>
      <c r="R143" t="s">
        <v>488</v>
      </c>
      <c r="S143" t="s">
        <v>777</v>
      </c>
    </row>
    <row r="144" spans="1:21" ht="15" x14ac:dyDescent="0.25">
      <c r="A144" t="s">
        <v>1011</v>
      </c>
      <c r="B144" t="s">
        <v>1012</v>
      </c>
      <c r="C144" t="s">
        <v>1013</v>
      </c>
      <c r="E144" s="237" t="str">
        <f>HYPERLINK("http://t.co/ySyLwe5lXz")</f>
        <v>http://t.co/ySyLwe5lXz</v>
      </c>
      <c r="F144">
        <v>3829</v>
      </c>
      <c r="G144">
        <v>109</v>
      </c>
      <c r="H144">
        <f t="shared" si="8"/>
        <v>35.128440366972477</v>
      </c>
      <c r="I144">
        <v>96</v>
      </c>
      <c r="J144">
        <v>2867</v>
      </c>
      <c r="K144" t="s">
        <v>8</v>
      </c>
      <c r="L144" s="232">
        <v>41395.315115740741</v>
      </c>
      <c r="M144" s="232">
        <v>42768.164664351854</v>
      </c>
      <c r="N144">
        <v>135</v>
      </c>
      <c r="O144">
        <v>45.937199999999997</v>
      </c>
      <c r="P144">
        <f t="shared" si="9"/>
        <v>-5</v>
      </c>
    </row>
    <row r="145" spans="1:21" ht="15" x14ac:dyDescent="0.25">
      <c r="A145" t="s">
        <v>1014</v>
      </c>
      <c r="B145" t="s">
        <v>1015</v>
      </c>
      <c r="C145" t="s">
        <v>1016</v>
      </c>
      <c r="D145" t="s">
        <v>1017</v>
      </c>
      <c r="E145" s="237" t="str">
        <f>HYPERLINK("http://t.co/cIZsTFGV0y")</f>
        <v>http://t.co/cIZsTFGV0y</v>
      </c>
      <c r="F145">
        <v>191171</v>
      </c>
      <c r="G145">
        <v>146156</v>
      </c>
      <c r="H145">
        <f t="shared" si="8"/>
        <v>1.3079928295793535</v>
      </c>
      <c r="I145">
        <v>3007</v>
      </c>
      <c r="J145">
        <v>21988</v>
      </c>
      <c r="K145" t="s">
        <v>45</v>
      </c>
      <c r="L145" s="232">
        <v>41215.572546296295</v>
      </c>
      <c r="M145" s="232">
        <v>42782.170393518521</v>
      </c>
      <c r="N145">
        <v>134</v>
      </c>
      <c r="O145">
        <v>70.457400000000007</v>
      </c>
      <c r="P145">
        <f t="shared" si="9"/>
        <v>-5</v>
      </c>
    </row>
    <row r="146" spans="1:21" ht="15" x14ac:dyDescent="0.25">
      <c r="A146" t="s">
        <v>1018</v>
      </c>
      <c r="B146" t="s">
        <v>1019</v>
      </c>
      <c r="C146" t="s">
        <v>1020</v>
      </c>
      <c r="D146" t="s">
        <v>668</v>
      </c>
      <c r="E146" s="237" t="str">
        <f>HYPERLINK("http://t.co/I0qrvG4JqP")</f>
        <v>http://t.co/I0qrvG4JqP</v>
      </c>
      <c r="F146">
        <v>2113</v>
      </c>
      <c r="G146">
        <v>1159</v>
      </c>
      <c r="H146">
        <f t="shared" si="8"/>
        <v>1.8231233822260569</v>
      </c>
      <c r="I146">
        <v>84</v>
      </c>
      <c r="J146">
        <v>1798</v>
      </c>
      <c r="K146" t="s">
        <v>35</v>
      </c>
      <c r="L146" s="232">
        <v>41394.126886574071</v>
      </c>
      <c r="M146" s="232">
        <v>42780.12605324074</v>
      </c>
      <c r="N146">
        <v>144</v>
      </c>
      <c r="O146">
        <v>47.714700000000001</v>
      </c>
      <c r="P146">
        <f t="shared" si="9"/>
        <v>-5</v>
      </c>
    </row>
    <row r="147" spans="1:21" ht="15" x14ac:dyDescent="0.25">
      <c r="A147" t="s">
        <v>1021</v>
      </c>
      <c r="B147" t="s">
        <v>1022</v>
      </c>
      <c r="C147" t="s">
        <v>1023</v>
      </c>
      <c r="D147" t="s">
        <v>1024</v>
      </c>
      <c r="E147" s="237" t="str">
        <f>HYPERLINK("https://t.co/Vrux9L7SPj")</f>
        <v>https://t.co/Vrux9L7SPj</v>
      </c>
      <c r="F147">
        <v>735</v>
      </c>
      <c r="G147">
        <v>2501</v>
      </c>
      <c r="H147">
        <f t="shared" si="8"/>
        <v>0.29388244702119154</v>
      </c>
      <c r="I147">
        <v>508</v>
      </c>
      <c r="J147">
        <v>15281</v>
      </c>
      <c r="K147" t="s">
        <v>60</v>
      </c>
      <c r="L147" s="232">
        <v>39828.910428240742</v>
      </c>
      <c r="M147" s="232">
        <v>42782.267893518518</v>
      </c>
      <c r="N147">
        <v>145</v>
      </c>
      <c r="O147">
        <v>44.7316</v>
      </c>
      <c r="P147">
        <f t="shared" si="9"/>
        <v>-5</v>
      </c>
    </row>
    <row r="148" spans="1:21" ht="15" x14ac:dyDescent="0.25">
      <c r="A148" t="s">
        <v>1025</v>
      </c>
      <c r="B148" t="s">
        <v>1026</v>
      </c>
      <c r="C148" t="s">
        <v>1027</v>
      </c>
      <c r="D148" t="s">
        <v>60</v>
      </c>
      <c r="E148" s="237" t="str">
        <f>HYPERLINK("http://t.co/zXmc7fY27R")</f>
        <v>http://t.co/zXmc7fY27R</v>
      </c>
      <c r="F148">
        <v>53</v>
      </c>
      <c r="G148">
        <v>15</v>
      </c>
      <c r="H148">
        <f t="shared" si="8"/>
        <v>3.5333333333333332</v>
      </c>
      <c r="I148">
        <v>4</v>
      </c>
      <c r="J148">
        <v>38</v>
      </c>
      <c r="L148" s="232">
        <v>41621.189270833333</v>
      </c>
      <c r="M148" s="232">
        <v>42536.373784722222</v>
      </c>
      <c r="N148">
        <v>146</v>
      </c>
      <c r="O148">
        <v>18.508500000000002</v>
      </c>
      <c r="P148">
        <f t="shared" si="9"/>
        <v>-5</v>
      </c>
    </row>
    <row r="149" spans="1:21" ht="15" x14ac:dyDescent="0.25">
      <c r="A149" t="s">
        <v>1028</v>
      </c>
      <c r="B149" t="s">
        <v>1029</v>
      </c>
      <c r="C149" t="s">
        <v>1030</v>
      </c>
      <c r="D149" t="s">
        <v>668</v>
      </c>
      <c r="E149" s="237" t="str">
        <f>HYPERLINK("http://t.co/t7QPN4EAGd")</f>
        <v>http://t.co/t7QPN4EAGd</v>
      </c>
      <c r="F149">
        <v>1644</v>
      </c>
      <c r="G149">
        <v>374</v>
      </c>
      <c r="H149">
        <f t="shared" si="8"/>
        <v>4.3957219251336896</v>
      </c>
      <c r="I149">
        <v>44</v>
      </c>
      <c r="J149">
        <v>456</v>
      </c>
      <c r="K149" t="s">
        <v>60</v>
      </c>
      <c r="L149" s="232">
        <v>41620.340486111112</v>
      </c>
      <c r="M149" s="232">
        <v>42782.009236111109</v>
      </c>
      <c r="N149">
        <v>147</v>
      </c>
      <c r="O149">
        <v>46.769199999999998</v>
      </c>
      <c r="P149">
        <f t="shared" si="9"/>
        <v>-5</v>
      </c>
    </row>
    <row r="150" spans="1:21" ht="15" x14ac:dyDescent="0.25">
      <c r="A150" t="s">
        <v>1031</v>
      </c>
      <c r="B150" t="s">
        <v>1032</v>
      </c>
      <c r="C150" t="s">
        <v>1033</v>
      </c>
      <c r="D150" t="s">
        <v>1034</v>
      </c>
      <c r="E150" s="237" t="str">
        <f>HYPERLINK("https://t.co/Ea2Z08zrtL")</f>
        <v>https://t.co/Ea2Z08zrtL</v>
      </c>
      <c r="F150">
        <v>1034</v>
      </c>
      <c r="G150">
        <v>1446</v>
      </c>
      <c r="H150">
        <f t="shared" si="8"/>
        <v>0.71507607192254496</v>
      </c>
      <c r="I150">
        <v>82</v>
      </c>
      <c r="J150">
        <v>3048</v>
      </c>
      <c r="K150" t="s">
        <v>48</v>
      </c>
      <c r="L150" s="232">
        <v>40283.123032407406</v>
      </c>
      <c r="M150" s="232">
        <v>42782.056215277778</v>
      </c>
      <c r="N150">
        <v>148</v>
      </c>
      <c r="O150">
        <v>47.812899999999999</v>
      </c>
      <c r="P150">
        <f t="shared" si="9"/>
        <v>-5</v>
      </c>
    </row>
    <row r="151" spans="1:21" ht="15" x14ac:dyDescent="0.25">
      <c r="A151" t="s">
        <v>1035</v>
      </c>
      <c r="B151" t="s">
        <v>1036</v>
      </c>
      <c r="C151" t="s">
        <v>1037</v>
      </c>
      <c r="D151" t="s">
        <v>1038</v>
      </c>
      <c r="E151" s="237" t="str">
        <f>HYPERLINK("https://t.co/2iMKulenP0")</f>
        <v>https://t.co/2iMKulenP0</v>
      </c>
      <c r="F151">
        <v>46295</v>
      </c>
      <c r="G151">
        <v>3303</v>
      </c>
      <c r="H151">
        <f t="shared" si="8"/>
        <v>14.016046018770814</v>
      </c>
      <c r="I151">
        <v>1067</v>
      </c>
      <c r="J151">
        <v>10508</v>
      </c>
      <c r="K151" t="s">
        <v>35</v>
      </c>
      <c r="L151" s="232">
        <v>41204.224247685182</v>
      </c>
      <c r="M151" s="232">
        <v>42782.073703703703</v>
      </c>
      <c r="N151">
        <v>149</v>
      </c>
      <c r="O151">
        <v>61.095300000000002</v>
      </c>
      <c r="P151">
        <f t="shared" si="9"/>
        <v>5</v>
      </c>
      <c r="Q151" t="s">
        <v>488</v>
      </c>
      <c r="R151" t="s">
        <v>559</v>
      </c>
      <c r="S151" t="s">
        <v>1039</v>
      </c>
      <c r="T151" t="s">
        <v>1040</v>
      </c>
      <c r="U151" t="s">
        <v>1041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 customHeight="1" x14ac:dyDescent="0.25"/>
  <cols>
    <col min="1" max="1" width="24.7109375" style="69" customWidth="1"/>
    <col min="2" max="2" width="20.28515625" customWidth="1"/>
    <col min="3" max="3" width="12.42578125" style="58" bestFit="1" customWidth="1"/>
    <col min="4" max="16384" width="9.140625" style="58"/>
  </cols>
  <sheetData>
    <row r="1" spans="1:3" ht="12.75" customHeight="1" x14ac:dyDescent="0.25">
      <c r="A1" t="s">
        <v>1</v>
      </c>
      <c r="B1" t="s">
        <v>2</v>
      </c>
      <c r="C1" t="s">
        <v>430</v>
      </c>
    </row>
    <row r="2" spans="1:3" ht="15" x14ac:dyDescent="0.25">
      <c r="A2" s="232">
        <v>42782</v>
      </c>
      <c r="B2">
        <v>150</v>
      </c>
      <c r="C2">
        <v>122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 customHeight="1" x14ac:dyDescent="0.25"/>
  <cols>
    <col min="1" max="1" width="14.85546875" style="2" bestFit="1" customWidth="1"/>
    <col min="2" max="2" width="11" style="58" bestFit="1" customWidth="1"/>
    <col min="3" max="16384" width="9.140625" style="58"/>
  </cols>
  <sheetData>
    <row r="1" spans="1:2" ht="12.75" customHeight="1" x14ac:dyDescent="0.25">
      <c r="A1" t="s">
        <v>1</v>
      </c>
      <c r="B1" t="s">
        <v>6</v>
      </c>
    </row>
    <row r="2" spans="1:2" ht="15" x14ac:dyDescent="0.25">
      <c r="A2" s="232">
        <v>42782</v>
      </c>
      <c r="B2">
        <v>27.489000000000001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 customHeight="1" x14ac:dyDescent="0.25"/>
  <cols>
    <col min="1" max="1" width="36.85546875" bestFit="1" customWidth="1"/>
    <col min="2" max="2" width="6.28515625" style="58" bestFit="1" customWidth="1"/>
    <col min="3" max="3" width="12.7109375" style="58" bestFit="1" customWidth="1"/>
  </cols>
  <sheetData>
    <row r="1" spans="1:3" ht="12.75" customHeight="1" x14ac:dyDescent="0.25">
      <c r="A1" t="s">
        <v>340</v>
      </c>
      <c r="B1" t="s">
        <v>332</v>
      </c>
      <c r="C1" t="s">
        <v>431</v>
      </c>
    </row>
    <row r="2" spans="1:3" ht="15" x14ac:dyDescent="0.25">
      <c r="A2" t="s">
        <v>535</v>
      </c>
      <c r="B2">
        <v>1</v>
      </c>
      <c r="C2">
        <f ca="1">B2/Calculations!$B$14</f>
        <v>6.6666666666666671E-3</v>
      </c>
    </row>
    <row r="3" spans="1:3" ht="15" x14ac:dyDescent="0.25">
      <c r="A3" t="s">
        <v>558</v>
      </c>
      <c r="B3">
        <v>1</v>
      </c>
      <c r="C3">
        <f ca="1">B3/Calculations!$B$14</f>
        <v>6.6666666666666671E-3</v>
      </c>
    </row>
    <row r="4" spans="1:3" ht="15" x14ac:dyDescent="0.25">
      <c r="A4" t="s">
        <v>559</v>
      </c>
      <c r="B4">
        <v>3</v>
      </c>
      <c r="C4">
        <f ca="1">B4/Calculations!$B$14</f>
        <v>0.02</v>
      </c>
    </row>
    <row r="5" spans="1:3" ht="15" x14ac:dyDescent="0.25">
      <c r="A5" t="s">
        <v>560</v>
      </c>
      <c r="B5">
        <v>1</v>
      </c>
      <c r="C5">
        <f ca="1">B5/Calculations!$B$14</f>
        <v>6.6666666666666671E-3</v>
      </c>
    </row>
    <row r="6" spans="1:3" ht="15" x14ac:dyDescent="0.25">
      <c r="A6" t="s">
        <v>561</v>
      </c>
      <c r="B6">
        <v>1</v>
      </c>
      <c r="C6">
        <f ca="1">B6/Calculations!$B$14</f>
        <v>6.6666666666666671E-3</v>
      </c>
    </row>
    <row r="7" spans="1:3" ht="15" x14ac:dyDescent="0.25">
      <c r="A7" t="s">
        <v>562</v>
      </c>
      <c r="B7">
        <v>1</v>
      </c>
      <c r="C7">
        <f ca="1">B7/Calculations!$B$14</f>
        <v>6.6666666666666671E-3</v>
      </c>
    </row>
    <row r="8" spans="1:3" ht="15" x14ac:dyDescent="0.25">
      <c r="A8" t="s">
        <v>586</v>
      </c>
      <c r="B8">
        <v>1</v>
      </c>
      <c r="C8">
        <f ca="1">B8/Calculations!$B$14</f>
        <v>6.6666666666666671E-3</v>
      </c>
    </row>
    <row r="9" spans="1:3" ht="15" x14ac:dyDescent="0.25">
      <c r="A9" t="s">
        <v>587</v>
      </c>
      <c r="B9">
        <v>1</v>
      </c>
      <c r="C9">
        <f ca="1">B9/Calculations!$B$14</f>
        <v>6.6666666666666671E-3</v>
      </c>
    </row>
    <row r="10" spans="1:3" ht="15" x14ac:dyDescent="0.25">
      <c r="A10" t="s">
        <v>588</v>
      </c>
      <c r="B10">
        <v>1</v>
      </c>
      <c r="C10">
        <f ca="1">B10/Calculations!$B$14</f>
        <v>6.6666666666666671E-3</v>
      </c>
    </row>
    <row r="11" spans="1:3" ht="15" x14ac:dyDescent="0.25">
      <c r="A11" t="s">
        <v>589</v>
      </c>
      <c r="B11">
        <v>1</v>
      </c>
      <c r="C11">
        <f ca="1">B11/Calculations!$B$14</f>
        <v>6.6666666666666671E-3</v>
      </c>
    </row>
    <row r="12" spans="1:3" ht="15" x14ac:dyDescent="0.25">
      <c r="A12" t="s">
        <v>590</v>
      </c>
      <c r="B12">
        <v>3</v>
      </c>
      <c r="C12">
        <f ca="1">B12/Calculations!$B$14</f>
        <v>0.02</v>
      </c>
    </row>
    <row r="13" spans="1:3" ht="15" x14ac:dyDescent="0.25">
      <c r="A13" t="s">
        <v>492</v>
      </c>
      <c r="B13">
        <v>4</v>
      </c>
      <c r="C13">
        <f ca="1">B13/Calculations!$B$14</f>
        <v>2.6666666666666668E-2</v>
      </c>
    </row>
    <row r="14" spans="1:3" ht="15" x14ac:dyDescent="0.25">
      <c r="A14" t="s">
        <v>613</v>
      </c>
      <c r="B14">
        <v>1</v>
      </c>
      <c r="C14">
        <f ca="1">B14/Calculations!$B$14</f>
        <v>6.6666666666666671E-3</v>
      </c>
    </row>
    <row r="15" spans="1:3" ht="15" x14ac:dyDescent="0.25">
      <c r="A15" t="s">
        <v>614</v>
      </c>
      <c r="B15">
        <v>1</v>
      </c>
      <c r="C15">
        <f ca="1">B15/Calculations!$B$14</f>
        <v>6.6666666666666671E-3</v>
      </c>
    </row>
    <row r="16" spans="1:3" ht="15" x14ac:dyDescent="0.25">
      <c r="A16" t="s">
        <v>615</v>
      </c>
      <c r="B16">
        <v>1</v>
      </c>
      <c r="C16">
        <f ca="1">B16/Calculations!$B$14</f>
        <v>6.6666666666666671E-3</v>
      </c>
    </row>
    <row r="17" spans="1:3" ht="15" x14ac:dyDescent="0.25">
      <c r="A17" t="s">
        <v>616</v>
      </c>
      <c r="B17">
        <v>1</v>
      </c>
      <c r="C17">
        <f ca="1">B17/Calculations!$B$14</f>
        <v>6.6666666666666671E-3</v>
      </c>
    </row>
    <row r="18" spans="1:3" ht="15" x14ac:dyDescent="0.25">
      <c r="A18" t="s">
        <v>634</v>
      </c>
      <c r="B18">
        <v>2</v>
      </c>
      <c r="C18">
        <f ca="1">B18/Calculations!$B$14</f>
        <v>1.3333333333333334E-2</v>
      </c>
    </row>
    <row r="19" spans="1:3" ht="15" x14ac:dyDescent="0.25">
      <c r="A19" t="s">
        <v>635</v>
      </c>
      <c r="B19">
        <v>1</v>
      </c>
      <c r="C19">
        <f ca="1">B19/Calculations!$B$14</f>
        <v>6.6666666666666671E-3</v>
      </c>
    </row>
    <row r="20" spans="1:3" ht="15" x14ac:dyDescent="0.25">
      <c r="A20" t="s">
        <v>639</v>
      </c>
      <c r="B20">
        <v>2</v>
      </c>
      <c r="C20">
        <f ca="1">B20/Calculations!$B$14</f>
        <v>1.3333333333333334E-2</v>
      </c>
    </row>
    <row r="21" spans="1:3" ht="15" x14ac:dyDescent="0.25">
      <c r="A21" t="s">
        <v>640</v>
      </c>
      <c r="B21">
        <v>1</v>
      </c>
      <c r="C21">
        <f ca="1">B21/Calculations!$B$14</f>
        <v>6.6666666666666671E-3</v>
      </c>
    </row>
    <row r="22" spans="1:3" ht="15" x14ac:dyDescent="0.25">
      <c r="A22" t="s">
        <v>664</v>
      </c>
      <c r="B22">
        <v>1</v>
      </c>
      <c r="C22">
        <f ca="1">B22/Calculations!$B$14</f>
        <v>6.6666666666666671E-3</v>
      </c>
    </row>
    <row r="23" spans="1:3" ht="15" x14ac:dyDescent="0.25">
      <c r="A23" t="s">
        <v>669</v>
      </c>
      <c r="B23">
        <v>1</v>
      </c>
      <c r="C23">
        <f ca="1">B23/Calculations!$B$14</f>
        <v>6.6666666666666671E-3</v>
      </c>
    </row>
    <row r="24" spans="1:3" ht="15" x14ac:dyDescent="0.25">
      <c r="A24" t="s">
        <v>670</v>
      </c>
      <c r="B24">
        <v>1</v>
      </c>
      <c r="C24">
        <f ca="1">B24/Calculations!$B$14</f>
        <v>6.6666666666666671E-3</v>
      </c>
    </row>
    <row r="25" spans="1:3" ht="15" x14ac:dyDescent="0.25">
      <c r="A25" t="s">
        <v>671</v>
      </c>
      <c r="B25">
        <v>2</v>
      </c>
      <c r="C25">
        <f ca="1">B25/Calculations!$B$14</f>
        <v>1.3333333333333334E-2</v>
      </c>
    </row>
    <row r="26" spans="1:3" ht="15" x14ac:dyDescent="0.25">
      <c r="A26" t="s">
        <v>672</v>
      </c>
      <c r="B26">
        <v>1</v>
      </c>
      <c r="C26">
        <f ca="1">B26/Calculations!$B$14</f>
        <v>6.6666666666666671E-3</v>
      </c>
    </row>
    <row r="27" spans="1:3" ht="15" x14ac:dyDescent="0.25">
      <c r="A27" t="s">
        <v>673</v>
      </c>
      <c r="B27">
        <v>1</v>
      </c>
      <c r="C27">
        <f ca="1">B27/Calculations!$B$14</f>
        <v>6.6666666666666671E-3</v>
      </c>
    </row>
    <row r="28" spans="1:3" ht="15" x14ac:dyDescent="0.25">
      <c r="A28" t="s">
        <v>688</v>
      </c>
      <c r="B28">
        <v>1</v>
      </c>
      <c r="C28">
        <f ca="1">B28/Calculations!$B$14</f>
        <v>6.6666666666666671E-3</v>
      </c>
    </row>
    <row r="29" spans="1:3" ht="15" x14ac:dyDescent="0.25">
      <c r="A29" t="s">
        <v>689</v>
      </c>
      <c r="B29">
        <v>1</v>
      </c>
      <c r="C29">
        <f ca="1">B29/Calculations!$B$14</f>
        <v>6.6666666666666671E-3</v>
      </c>
    </row>
    <row r="30" spans="1:3" ht="15" x14ac:dyDescent="0.25">
      <c r="A30" t="s">
        <v>488</v>
      </c>
      <c r="B30">
        <v>11</v>
      </c>
      <c r="C30">
        <f ca="1">B30/Calculations!$B$14</f>
        <v>7.3333333333333334E-2</v>
      </c>
    </row>
    <row r="31" spans="1:3" ht="15" x14ac:dyDescent="0.25">
      <c r="A31" t="s">
        <v>742</v>
      </c>
      <c r="B31">
        <v>1</v>
      </c>
      <c r="C31">
        <f ca="1">B31/Calculations!$B$14</f>
        <v>6.6666666666666671E-3</v>
      </c>
    </row>
    <row r="32" spans="1:3" ht="15" x14ac:dyDescent="0.25">
      <c r="A32" t="s">
        <v>743</v>
      </c>
      <c r="B32">
        <v>1</v>
      </c>
      <c r="C32">
        <f ca="1">B32/Calculations!$B$14</f>
        <v>6.6666666666666671E-3</v>
      </c>
    </row>
    <row r="33" spans="1:3" ht="15" x14ac:dyDescent="0.25">
      <c r="A33" t="s">
        <v>776</v>
      </c>
      <c r="B33">
        <v>2</v>
      </c>
      <c r="C33">
        <f ca="1">B33/Calculations!$B$14</f>
        <v>1.3333333333333334E-2</v>
      </c>
    </row>
    <row r="34" spans="1:3" ht="15" x14ac:dyDescent="0.25">
      <c r="A34" t="s">
        <v>777</v>
      </c>
      <c r="B34">
        <v>2</v>
      </c>
      <c r="C34">
        <f ca="1">B34/Calculations!$B$14</f>
        <v>1.3333333333333334E-2</v>
      </c>
    </row>
    <row r="35" spans="1:3" ht="15" x14ac:dyDescent="0.25">
      <c r="A35" t="s">
        <v>778</v>
      </c>
      <c r="B35">
        <v>1</v>
      </c>
      <c r="C35">
        <f ca="1">B35/Calculations!$B$14</f>
        <v>6.6666666666666671E-3</v>
      </c>
    </row>
    <row r="36" spans="1:3" ht="15" x14ac:dyDescent="0.25">
      <c r="A36" t="s">
        <v>779</v>
      </c>
      <c r="B36">
        <v>1</v>
      </c>
      <c r="C36">
        <f ca="1">B36/Calculations!$B$14</f>
        <v>6.6666666666666671E-3</v>
      </c>
    </row>
    <row r="37" spans="1:3" ht="15" x14ac:dyDescent="0.25">
      <c r="A37" t="s">
        <v>815</v>
      </c>
      <c r="B37">
        <v>1</v>
      </c>
      <c r="C37">
        <f ca="1">B37/Calculations!$B$14</f>
        <v>6.6666666666666671E-3</v>
      </c>
    </row>
    <row r="38" spans="1:3" ht="15" x14ac:dyDescent="0.25">
      <c r="A38" t="s">
        <v>816</v>
      </c>
      <c r="B38">
        <v>1</v>
      </c>
      <c r="C38">
        <f ca="1">B38/Calculations!$B$14</f>
        <v>6.6666666666666671E-3</v>
      </c>
    </row>
    <row r="39" spans="1:3" ht="15" x14ac:dyDescent="0.25">
      <c r="A39" t="s">
        <v>817</v>
      </c>
      <c r="B39">
        <v>1</v>
      </c>
      <c r="C39">
        <f ca="1">B39/Calculations!$B$14</f>
        <v>6.6666666666666671E-3</v>
      </c>
    </row>
    <row r="40" spans="1:3" ht="15" x14ac:dyDescent="0.25">
      <c r="A40" t="s">
        <v>818</v>
      </c>
      <c r="B40">
        <v>2</v>
      </c>
      <c r="C40">
        <f ca="1">B40/Calculations!$B$14</f>
        <v>1.3333333333333334E-2</v>
      </c>
    </row>
    <row r="41" spans="1:3" ht="15" x14ac:dyDescent="0.25">
      <c r="A41" t="s">
        <v>847</v>
      </c>
      <c r="B41">
        <v>1</v>
      </c>
      <c r="C41">
        <f ca="1">B41/Calculations!$B$14</f>
        <v>6.6666666666666671E-3</v>
      </c>
    </row>
    <row r="42" spans="1:3" ht="15" x14ac:dyDescent="0.25">
      <c r="A42" t="s">
        <v>855</v>
      </c>
      <c r="B42">
        <v>1</v>
      </c>
      <c r="C42">
        <f ca="1">B42/Calculations!$B$14</f>
        <v>6.6666666666666671E-3</v>
      </c>
    </row>
    <row r="43" spans="1:3" ht="15" x14ac:dyDescent="0.25">
      <c r="A43" t="s">
        <v>856</v>
      </c>
      <c r="B43">
        <v>1</v>
      </c>
      <c r="C43">
        <f ca="1">B43/Calculations!$B$14</f>
        <v>6.6666666666666671E-3</v>
      </c>
    </row>
    <row r="44" spans="1:3" ht="15" x14ac:dyDescent="0.25">
      <c r="A44" t="s">
        <v>857</v>
      </c>
      <c r="B44">
        <v>2</v>
      </c>
      <c r="C44">
        <f ca="1">B44/Calculations!$B$14</f>
        <v>1.3333333333333334E-2</v>
      </c>
    </row>
    <row r="45" spans="1:3" ht="15" x14ac:dyDescent="0.25">
      <c r="A45" t="s">
        <v>858</v>
      </c>
      <c r="B45">
        <v>1</v>
      </c>
      <c r="C45">
        <f ca="1">B45/Calculations!$B$14</f>
        <v>6.6666666666666671E-3</v>
      </c>
    </row>
    <row r="46" spans="1:3" ht="15" x14ac:dyDescent="0.25">
      <c r="A46" t="s">
        <v>865</v>
      </c>
      <c r="B46">
        <v>1</v>
      </c>
      <c r="C46">
        <f ca="1">B46/Calculations!$B$14</f>
        <v>6.6666666666666671E-3</v>
      </c>
    </row>
    <row r="47" spans="1:3" ht="15" x14ac:dyDescent="0.25">
      <c r="A47" t="s">
        <v>866</v>
      </c>
      <c r="B47">
        <v>2</v>
      </c>
      <c r="C47">
        <f ca="1">B47/Calculations!$B$14</f>
        <v>1.3333333333333334E-2</v>
      </c>
    </row>
    <row r="48" spans="1:3" ht="15" x14ac:dyDescent="0.25">
      <c r="A48" t="s">
        <v>867</v>
      </c>
      <c r="B48">
        <v>1</v>
      </c>
      <c r="C48">
        <f ca="1">B48/Calculations!$B$14</f>
        <v>6.6666666666666671E-3</v>
      </c>
    </row>
    <row r="49" spans="1:3" ht="15" x14ac:dyDescent="0.25">
      <c r="A49" t="s">
        <v>868</v>
      </c>
      <c r="B49">
        <v>1</v>
      </c>
      <c r="C49">
        <f ca="1">B49/Calculations!$B$14</f>
        <v>6.6666666666666671E-3</v>
      </c>
    </row>
    <row r="50" spans="1:3" ht="15" x14ac:dyDescent="0.25">
      <c r="A50" t="s">
        <v>873</v>
      </c>
      <c r="B50">
        <v>1</v>
      </c>
      <c r="C50">
        <f ca="1">B50/Calculations!$B$14</f>
        <v>6.6666666666666671E-3</v>
      </c>
    </row>
    <row r="51" spans="1:3" ht="15" x14ac:dyDescent="0.25">
      <c r="A51" t="s">
        <v>874</v>
      </c>
      <c r="B51">
        <v>1</v>
      </c>
      <c r="C51">
        <f ca="1">B51/Calculations!$B$14</f>
        <v>6.6666666666666671E-3</v>
      </c>
    </row>
    <row r="52" spans="1:3" ht="15" x14ac:dyDescent="0.25">
      <c r="A52" t="s">
        <v>875</v>
      </c>
      <c r="B52">
        <v>1</v>
      </c>
      <c r="C52">
        <f ca="1">B52/Calculations!$B$14</f>
        <v>6.6666666666666671E-3</v>
      </c>
    </row>
    <row r="53" spans="1:3" ht="15" x14ac:dyDescent="0.25">
      <c r="A53" t="s">
        <v>876</v>
      </c>
      <c r="B53">
        <v>1</v>
      </c>
      <c r="C53">
        <f ca="1">B53/Calculations!$B$14</f>
        <v>6.6666666666666671E-3</v>
      </c>
    </row>
    <row r="54" spans="1:3" ht="15" x14ac:dyDescent="0.25">
      <c r="A54" t="s">
        <v>881</v>
      </c>
      <c r="B54">
        <v>1</v>
      </c>
      <c r="C54">
        <f ca="1">B54/Calculations!$B$14</f>
        <v>6.6666666666666671E-3</v>
      </c>
    </row>
    <row r="55" spans="1:3" ht="15" x14ac:dyDescent="0.25">
      <c r="A55" t="s">
        <v>882</v>
      </c>
      <c r="B55">
        <v>1</v>
      </c>
      <c r="C55">
        <f ca="1">B55/Calculations!$B$14</f>
        <v>6.6666666666666671E-3</v>
      </c>
    </row>
    <row r="56" spans="1:3" ht="15" x14ac:dyDescent="0.25">
      <c r="A56" t="s">
        <v>883</v>
      </c>
      <c r="B56">
        <v>1</v>
      </c>
      <c r="C56">
        <f ca="1">B56/Calculations!$B$14</f>
        <v>6.6666666666666671E-3</v>
      </c>
    </row>
    <row r="57" spans="1:3" ht="15" x14ac:dyDescent="0.25">
      <c r="A57" t="s">
        <v>884</v>
      </c>
      <c r="B57">
        <v>1</v>
      </c>
      <c r="C57">
        <f ca="1">B57/Calculations!$B$14</f>
        <v>6.6666666666666671E-3</v>
      </c>
    </row>
    <row r="58" spans="1:3" ht="15" x14ac:dyDescent="0.25">
      <c r="A58" t="s">
        <v>885</v>
      </c>
      <c r="B58">
        <v>1</v>
      </c>
      <c r="C58">
        <f ca="1">B58/Calculations!$B$14</f>
        <v>6.6666666666666671E-3</v>
      </c>
    </row>
    <row r="59" spans="1:3" ht="15" x14ac:dyDescent="0.25">
      <c r="A59" t="s">
        <v>895</v>
      </c>
      <c r="B59">
        <v>2</v>
      </c>
      <c r="C59">
        <f ca="1">B59/Calculations!$B$14</f>
        <v>1.3333333333333334E-2</v>
      </c>
    </row>
    <row r="60" spans="1:3" ht="15" x14ac:dyDescent="0.25">
      <c r="A60" t="s">
        <v>896</v>
      </c>
      <c r="B60">
        <v>1</v>
      </c>
      <c r="C60">
        <f ca="1">B60/Calculations!$B$14</f>
        <v>6.6666666666666671E-3</v>
      </c>
    </row>
    <row r="61" spans="1:3" ht="15" x14ac:dyDescent="0.25">
      <c r="A61" t="s">
        <v>904</v>
      </c>
      <c r="B61">
        <v>1</v>
      </c>
      <c r="C61">
        <f ca="1">B61/Calculations!$B$14</f>
        <v>6.6666666666666671E-3</v>
      </c>
    </row>
    <row r="62" spans="1:3" ht="15" x14ac:dyDescent="0.25">
      <c r="A62" t="s">
        <v>905</v>
      </c>
      <c r="B62">
        <v>1</v>
      </c>
      <c r="C62">
        <f ca="1">B62/Calculations!$B$14</f>
        <v>6.6666666666666671E-3</v>
      </c>
    </row>
    <row r="63" spans="1:3" ht="15" x14ac:dyDescent="0.25">
      <c r="A63" t="s">
        <v>906</v>
      </c>
      <c r="B63">
        <v>1</v>
      </c>
      <c r="C63">
        <f ca="1">B63/Calculations!$B$14</f>
        <v>6.6666666666666671E-3</v>
      </c>
    </row>
    <row r="64" spans="1:3" ht="15" x14ac:dyDescent="0.25">
      <c r="A64" t="s">
        <v>907</v>
      </c>
      <c r="B64">
        <v>1</v>
      </c>
      <c r="C64">
        <f ca="1">B64/Calculations!$B$14</f>
        <v>6.6666666666666671E-3</v>
      </c>
    </row>
    <row r="65" spans="1:3" ht="15" x14ac:dyDescent="0.25">
      <c r="A65" t="s">
        <v>918</v>
      </c>
      <c r="B65">
        <v>1</v>
      </c>
      <c r="C65">
        <f ca="1">B65/Calculations!$B$14</f>
        <v>6.6666666666666671E-3</v>
      </c>
    </row>
    <row r="66" spans="1:3" ht="15" x14ac:dyDescent="0.25">
      <c r="A66" t="s">
        <v>919</v>
      </c>
      <c r="B66">
        <v>1</v>
      </c>
      <c r="C66">
        <f ca="1">B66/Calculations!$B$14</f>
        <v>6.6666666666666671E-3</v>
      </c>
    </row>
    <row r="67" spans="1:3" ht="15" x14ac:dyDescent="0.25">
      <c r="A67" t="s">
        <v>936</v>
      </c>
      <c r="B67">
        <v>1</v>
      </c>
      <c r="C67">
        <f ca="1">B67/Calculations!$B$14</f>
        <v>6.6666666666666671E-3</v>
      </c>
    </row>
    <row r="68" spans="1:3" ht="15" x14ac:dyDescent="0.25">
      <c r="A68" t="s">
        <v>937</v>
      </c>
      <c r="B68">
        <v>1</v>
      </c>
      <c r="C68">
        <f ca="1">B68/Calculations!$B$14</f>
        <v>6.6666666666666671E-3</v>
      </c>
    </row>
    <row r="69" spans="1:3" ht="15" x14ac:dyDescent="0.25">
      <c r="A69" t="s">
        <v>938</v>
      </c>
      <c r="B69">
        <v>1</v>
      </c>
      <c r="C69">
        <f ca="1">B69/Calculations!$B$14</f>
        <v>6.6666666666666671E-3</v>
      </c>
    </row>
    <row r="70" spans="1:3" ht="15" x14ac:dyDescent="0.25">
      <c r="A70" t="s">
        <v>945</v>
      </c>
      <c r="B70">
        <v>1</v>
      </c>
      <c r="C70">
        <f ca="1">B70/Calculations!$B$14</f>
        <v>6.6666666666666671E-3</v>
      </c>
    </row>
    <row r="71" spans="1:3" ht="15" x14ac:dyDescent="0.25">
      <c r="A71" t="s">
        <v>946</v>
      </c>
      <c r="B71">
        <v>1</v>
      </c>
      <c r="C71">
        <f ca="1">B71/Calculations!$B$14</f>
        <v>6.6666666666666671E-3</v>
      </c>
    </row>
    <row r="72" spans="1:3" ht="15" x14ac:dyDescent="0.25">
      <c r="A72" t="s">
        <v>947</v>
      </c>
      <c r="B72">
        <v>1</v>
      </c>
      <c r="C72">
        <f ca="1">B72/Calculations!$B$14</f>
        <v>6.6666666666666671E-3</v>
      </c>
    </row>
    <row r="73" spans="1:3" ht="15" x14ac:dyDescent="0.25">
      <c r="A73" t="s">
        <v>948</v>
      </c>
      <c r="B73">
        <v>1</v>
      </c>
      <c r="C73">
        <f ca="1">B73/Calculations!$B$14</f>
        <v>6.6666666666666671E-3</v>
      </c>
    </row>
    <row r="74" spans="1:3" ht="15" x14ac:dyDescent="0.25">
      <c r="A74" t="s">
        <v>493</v>
      </c>
      <c r="B74">
        <v>1</v>
      </c>
      <c r="C74">
        <f ca="1">B74/Calculations!$B$14</f>
        <v>6.6666666666666671E-3</v>
      </c>
    </row>
    <row r="75" spans="1:3" ht="15" x14ac:dyDescent="0.25">
      <c r="A75" t="s">
        <v>960</v>
      </c>
      <c r="B75">
        <v>1</v>
      </c>
      <c r="C75">
        <f ca="1">B75/Calculations!$B$14</f>
        <v>6.6666666666666671E-3</v>
      </c>
    </row>
    <row r="76" spans="1:3" ht="15" x14ac:dyDescent="0.25">
      <c r="A76" t="s">
        <v>961</v>
      </c>
      <c r="B76">
        <v>1</v>
      </c>
      <c r="C76">
        <f ca="1">B76/Calculations!$B$14</f>
        <v>6.6666666666666671E-3</v>
      </c>
    </row>
    <row r="77" spans="1:3" ht="15" x14ac:dyDescent="0.25">
      <c r="A77" t="s">
        <v>962</v>
      </c>
      <c r="B77">
        <v>1</v>
      </c>
      <c r="C77">
        <f ca="1">B77/Calculations!$B$14</f>
        <v>6.6666666666666671E-3</v>
      </c>
    </row>
    <row r="78" spans="1:3" ht="15" x14ac:dyDescent="0.25">
      <c r="A78" t="s">
        <v>966</v>
      </c>
      <c r="B78">
        <v>1</v>
      </c>
      <c r="C78">
        <f ca="1">B78/Calculations!$B$14</f>
        <v>6.6666666666666671E-3</v>
      </c>
    </row>
    <row r="79" spans="1:3" ht="15" x14ac:dyDescent="0.25">
      <c r="A79" t="s">
        <v>967</v>
      </c>
      <c r="B79">
        <v>1</v>
      </c>
      <c r="C79">
        <f ca="1">B79/Calculations!$B$14</f>
        <v>6.6666666666666671E-3</v>
      </c>
    </row>
    <row r="80" spans="1:3" ht="15" x14ac:dyDescent="0.25">
      <c r="A80" t="s">
        <v>968</v>
      </c>
      <c r="B80">
        <v>1</v>
      </c>
      <c r="C80">
        <f ca="1">B80/Calculations!$B$14</f>
        <v>6.6666666666666671E-3</v>
      </c>
    </row>
    <row r="81" spans="1:3" ht="15" x14ac:dyDescent="0.25">
      <c r="A81" t="s">
        <v>969</v>
      </c>
      <c r="B81">
        <v>1</v>
      </c>
      <c r="C81">
        <f ca="1">B81/Calculations!$B$14</f>
        <v>6.6666666666666671E-3</v>
      </c>
    </row>
    <row r="82" spans="1:3" ht="15" x14ac:dyDescent="0.25">
      <c r="A82" t="s">
        <v>980</v>
      </c>
      <c r="B82">
        <v>1</v>
      </c>
      <c r="C82">
        <f ca="1">B82/Calculations!$B$14</f>
        <v>6.6666666666666671E-3</v>
      </c>
    </row>
    <row r="83" spans="1:3" ht="15" x14ac:dyDescent="0.25">
      <c r="A83" t="s">
        <v>981</v>
      </c>
      <c r="B83">
        <v>1</v>
      </c>
      <c r="C83">
        <f ca="1">B83/Calculations!$B$14</f>
        <v>6.6666666666666671E-3</v>
      </c>
    </row>
    <row r="84" spans="1:3" ht="15" x14ac:dyDescent="0.25">
      <c r="A84" t="s">
        <v>999</v>
      </c>
      <c r="B84">
        <v>2</v>
      </c>
      <c r="C84">
        <f ca="1">B84/Calculations!$B$14</f>
        <v>1.3333333333333334E-2</v>
      </c>
    </row>
    <row r="85" spans="1:3" ht="15" x14ac:dyDescent="0.25">
      <c r="A85" t="s">
        <v>1010</v>
      </c>
      <c r="B85">
        <v>1</v>
      </c>
      <c r="C85">
        <f ca="1">B85/Calculations!$B$14</f>
        <v>6.6666666666666671E-3</v>
      </c>
    </row>
    <row r="86" spans="1:3" ht="15" x14ac:dyDescent="0.25">
      <c r="A86" t="s">
        <v>1039</v>
      </c>
      <c r="B86">
        <v>1</v>
      </c>
      <c r="C86">
        <f ca="1">B86/Calculations!$B$14</f>
        <v>6.6666666666666671E-3</v>
      </c>
    </row>
    <row r="87" spans="1:3" ht="15" x14ac:dyDescent="0.25">
      <c r="A87" t="s">
        <v>1040</v>
      </c>
      <c r="B87">
        <v>1</v>
      </c>
      <c r="C87">
        <f ca="1">B87/Calculations!$B$14</f>
        <v>6.6666666666666671E-3</v>
      </c>
    </row>
    <row r="88" spans="1:3" ht="15" x14ac:dyDescent="0.25">
      <c r="A88" t="s">
        <v>1041</v>
      </c>
      <c r="B88">
        <v>1</v>
      </c>
      <c r="C88">
        <f ca="1">B88/Calculations!$B$14</f>
        <v>6.6666666666666671E-3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 customHeight="1" x14ac:dyDescent="0.25"/>
  <cols>
    <col min="2" max="2" width="14.85546875" bestFit="1" customWidth="1"/>
    <col min="3" max="3" width="7.42578125" bestFit="1" customWidth="1"/>
    <col min="4" max="4" width="9.7109375" bestFit="1" customWidth="1"/>
  </cols>
  <sheetData>
    <row r="1" spans="1:4" ht="12.75" customHeight="1" x14ac:dyDescent="0.25">
      <c r="A1" t="s">
        <v>432</v>
      </c>
      <c r="B1" t="s">
        <v>1</v>
      </c>
      <c r="C1" t="s">
        <v>109</v>
      </c>
      <c r="D1" s="233" t="s">
        <v>111</v>
      </c>
    </row>
    <row r="2" spans="1:4" ht="15" x14ac:dyDescent="0.25">
      <c r="A2" t="s">
        <v>1042</v>
      </c>
      <c r="B2" s="232">
        <v>42782</v>
      </c>
      <c r="C2">
        <v>143</v>
      </c>
      <c r="D2">
        <v>150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Charts</vt:lpstr>
      <vt:lpstr>Tables</vt:lpstr>
      <vt:lpstr>Calculations</vt:lpstr>
      <vt:lpstr>Controls</vt:lpstr>
      <vt:lpstr>Follower List</vt:lpstr>
      <vt:lpstr>Follower Count</vt:lpstr>
      <vt:lpstr>Klout</vt:lpstr>
      <vt:lpstr>Topics</vt:lpstr>
      <vt:lpstr>User</vt:lpstr>
      <vt:lpstr>calculations.influencer_sort</vt:lpstr>
      <vt:lpstr>calculations.influencers</vt:lpstr>
      <vt:lpstr>calculations.topic_sort</vt:lpstr>
      <vt:lpstr>calculations.zone_followers</vt:lpstr>
      <vt:lpstr>calculations.zone_name</vt:lpstr>
      <vt:lpstr>Charts!Print_Area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2017-02-16T14:32:57Z</dcterms:modified>
</cp:coreProperties>
</file>